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 LIEU\CONG VIEC HONG ANH\LUONG\VAN PHONG\2018\Bao cao Luong\"/>
    </mc:Choice>
  </mc:AlternateContent>
  <bookViews>
    <workbookView xWindow="0" yWindow="0" windowWidth="19200" windowHeight="11490" tabRatio="553" firstSheet="9" activeTab="12"/>
  </bookViews>
  <sheets>
    <sheet name="TRUY LANH GN-VC 12T" sheetId="38" state="hidden" r:id="rId1"/>
    <sheet name="THUONG DOT 1 - 2018" sheetId="53" r:id="rId2"/>
    <sheet name="THUONG DOT 2 -2018" sheetId="56" r:id="rId3"/>
    <sheet name="Thang 01-2019" sheetId="52" r:id="rId4"/>
    <sheet name="Thang 02-2019" sheetId="54" r:id="rId5"/>
    <sheet name="Thang 03 - 2019" sheetId="55" r:id="rId6"/>
    <sheet name="Thang 04 - 2019" sheetId="57" r:id="rId7"/>
    <sheet name="Thang 05 - 2019" sheetId="58" r:id="rId8"/>
    <sheet name="Thang 06 - 2019" sheetId="59" r:id="rId9"/>
    <sheet name="Thang 07 - 2019" sheetId="60" r:id="rId10"/>
    <sheet name="Thang 08 - 2019" sheetId="61" r:id="rId11"/>
    <sheet name="Thang 09 - 2019" sheetId="62" r:id="rId12"/>
    <sheet name="Thang 10 - 2019" sheetId="63" r:id="rId13"/>
  </sheets>
  <externalReferences>
    <externalReference r:id="rId14"/>
  </externalReferences>
  <definedNames>
    <definedName name="BangLuong">#REF!</definedName>
    <definedName name="CongLV">'[1]Cham cong'!$B$7:$AQ$99</definedName>
    <definedName name="CongNG">'[1]Cham cong'!$B$104:$AO$196</definedName>
    <definedName name="CTacxa">'[1]Cham cong'!$B$201:$AP$294</definedName>
    <definedName name="luongKD">#REF!</definedName>
    <definedName name="MaNhom">#REF!</definedName>
    <definedName name="MaNV">#REF!</definedName>
    <definedName name="Tamung">'[1]Tam ung'!$B$5:$E$96</definedName>
    <definedName name="THCong">'[1]TH cong'!$B$7:$O$99</definedName>
  </definedNames>
  <calcPr calcId="162913" concurrentCalc="0"/>
</workbook>
</file>

<file path=xl/calcChain.xml><?xml version="1.0" encoding="utf-8"?>
<calcChain xmlns="http://schemas.openxmlformats.org/spreadsheetml/2006/main">
  <c r="C6" i="63" l="1"/>
  <c r="P21" i="63"/>
  <c r="P22" i="63"/>
  <c r="P23" i="63"/>
  <c r="P24" i="63"/>
  <c r="P25" i="63"/>
  <c r="P27" i="63"/>
  <c r="P28" i="63"/>
  <c r="P31" i="63"/>
  <c r="P20" i="63"/>
  <c r="P34" i="63"/>
  <c r="P33" i="63"/>
  <c r="P15" i="63"/>
  <c r="P11" i="63"/>
  <c r="P8" i="63"/>
  <c r="P6" i="63"/>
  <c r="P4" i="63"/>
  <c r="P38" i="63"/>
  <c r="P40" i="63"/>
  <c r="E25" i="63"/>
  <c r="F25" i="63"/>
  <c r="G25" i="63"/>
  <c r="H25" i="63"/>
  <c r="D21" i="63"/>
  <c r="E21" i="63"/>
  <c r="F21" i="63"/>
  <c r="G21" i="63"/>
  <c r="H21" i="63"/>
  <c r="D22" i="63"/>
  <c r="E22" i="63"/>
  <c r="F22" i="63"/>
  <c r="G22" i="63"/>
  <c r="H22" i="63"/>
  <c r="D23" i="63"/>
  <c r="E23" i="63"/>
  <c r="F23" i="63"/>
  <c r="G23" i="63"/>
  <c r="H23" i="63"/>
  <c r="D24" i="63"/>
  <c r="E24" i="63"/>
  <c r="F24" i="63"/>
  <c r="G24" i="63"/>
  <c r="H24" i="63"/>
  <c r="E26" i="63"/>
  <c r="F26" i="63"/>
  <c r="G26" i="63"/>
  <c r="H26" i="63"/>
  <c r="P26" i="63"/>
  <c r="E27" i="63"/>
  <c r="F27" i="63"/>
  <c r="G27" i="63"/>
  <c r="H27" i="63"/>
  <c r="E28" i="63"/>
  <c r="F28" i="63"/>
  <c r="G28" i="63"/>
  <c r="H28" i="63"/>
  <c r="E29" i="63"/>
  <c r="F29" i="63"/>
  <c r="G29" i="63"/>
  <c r="H29" i="63"/>
  <c r="P29" i="63"/>
  <c r="E30" i="63"/>
  <c r="F30" i="63"/>
  <c r="G30" i="63"/>
  <c r="H30" i="63"/>
  <c r="P30" i="63"/>
  <c r="E31" i="63"/>
  <c r="F31" i="63"/>
  <c r="G31" i="63"/>
  <c r="H31" i="63"/>
  <c r="E32" i="63"/>
  <c r="F32" i="63"/>
  <c r="G32" i="63"/>
  <c r="H32" i="63"/>
  <c r="P32" i="63"/>
  <c r="D10" i="63"/>
  <c r="D7" i="63"/>
  <c r="E5" i="63"/>
  <c r="F5" i="63"/>
  <c r="G5" i="63"/>
  <c r="H5" i="63"/>
  <c r="P5" i="63"/>
  <c r="E7" i="63"/>
  <c r="F7" i="63"/>
  <c r="G7" i="63"/>
  <c r="H7" i="63"/>
  <c r="P7" i="63"/>
  <c r="E8" i="63"/>
  <c r="F8" i="63"/>
  <c r="G8" i="63"/>
  <c r="H8" i="63"/>
  <c r="D9" i="63"/>
  <c r="E9" i="63"/>
  <c r="F9" i="63"/>
  <c r="G9" i="63"/>
  <c r="H9" i="63"/>
  <c r="P9" i="63"/>
  <c r="E10" i="63"/>
  <c r="F10" i="63"/>
  <c r="G10" i="63"/>
  <c r="H10" i="63"/>
  <c r="P10" i="63"/>
  <c r="E11" i="63"/>
  <c r="F11" i="63"/>
  <c r="G11" i="63"/>
  <c r="H11" i="63"/>
  <c r="E13" i="63"/>
  <c r="F13" i="63"/>
  <c r="G13" i="63"/>
  <c r="H13" i="63"/>
  <c r="P13" i="63"/>
  <c r="D14" i="63"/>
  <c r="E14" i="63"/>
  <c r="F14" i="63"/>
  <c r="G14" i="63"/>
  <c r="H14" i="63"/>
  <c r="P14" i="63"/>
  <c r="E15" i="63"/>
  <c r="F15" i="63"/>
  <c r="G15" i="63"/>
  <c r="H15" i="63"/>
  <c r="E16" i="63"/>
  <c r="F16" i="63"/>
  <c r="G16" i="63"/>
  <c r="H16" i="63"/>
  <c r="P16" i="63"/>
  <c r="E17" i="63"/>
  <c r="F17" i="63"/>
  <c r="G17" i="63"/>
  <c r="H17" i="63"/>
  <c r="P17" i="63"/>
  <c r="E18" i="63"/>
  <c r="F18" i="63"/>
  <c r="G18" i="63"/>
  <c r="H18" i="63"/>
  <c r="P18" i="63"/>
  <c r="E19" i="63"/>
  <c r="F19" i="63"/>
  <c r="G19" i="63"/>
  <c r="H19" i="63"/>
  <c r="P19" i="63"/>
  <c r="E34" i="63"/>
  <c r="F34" i="63"/>
  <c r="G34" i="63"/>
  <c r="H34" i="63"/>
  <c r="E35" i="63"/>
  <c r="F35" i="63"/>
  <c r="G35" i="63"/>
  <c r="H35" i="63"/>
  <c r="P35" i="63"/>
  <c r="E36" i="63"/>
  <c r="F36" i="63"/>
  <c r="G36" i="63"/>
  <c r="H36" i="63"/>
  <c r="P36" i="63"/>
  <c r="E37" i="63"/>
  <c r="F37" i="63"/>
  <c r="G37" i="63"/>
  <c r="H37" i="63"/>
  <c r="P37" i="63"/>
  <c r="O6" i="63"/>
  <c r="O4" i="63"/>
  <c r="O20" i="63"/>
  <c r="I5" i="63"/>
  <c r="J5" i="63"/>
  <c r="K5" i="63"/>
  <c r="L5" i="63"/>
  <c r="M5" i="63"/>
  <c r="N5" i="63"/>
  <c r="I7" i="63"/>
  <c r="J7" i="63"/>
  <c r="K7" i="63"/>
  <c r="L7" i="63"/>
  <c r="M7" i="63"/>
  <c r="N7" i="63"/>
  <c r="I8" i="63"/>
  <c r="J8" i="63"/>
  <c r="K8" i="63"/>
  <c r="L8" i="63"/>
  <c r="M8" i="63"/>
  <c r="N8" i="63"/>
  <c r="I9" i="63"/>
  <c r="J9" i="63"/>
  <c r="K9" i="63"/>
  <c r="L9" i="63"/>
  <c r="M9" i="63"/>
  <c r="N9" i="63"/>
  <c r="I10" i="63"/>
  <c r="J10" i="63"/>
  <c r="K10" i="63"/>
  <c r="L10" i="63"/>
  <c r="M10" i="63"/>
  <c r="N10" i="63"/>
  <c r="N6" i="63"/>
  <c r="I11" i="63"/>
  <c r="J11" i="63"/>
  <c r="K11" i="63"/>
  <c r="L11" i="63"/>
  <c r="M11" i="63"/>
  <c r="N11" i="63"/>
  <c r="J12" i="63"/>
  <c r="N12" i="63"/>
  <c r="I13" i="63"/>
  <c r="J13" i="63"/>
  <c r="K13" i="63"/>
  <c r="L13" i="63"/>
  <c r="M13" i="63"/>
  <c r="N13" i="63"/>
  <c r="I14" i="63"/>
  <c r="J14" i="63"/>
  <c r="K14" i="63"/>
  <c r="L14" i="63"/>
  <c r="M14" i="63"/>
  <c r="N14" i="63"/>
  <c r="I15" i="63"/>
  <c r="J15" i="63"/>
  <c r="K15" i="63"/>
  <c r="L15" i="63"/>
  <c r="M15" i="63"/>
  <c r="N15" i="63"/>
  <c r="I16" i="63"/>
  <c r="J16" i="63"/>
  <c r="K16" i="63"/>
  <c r="L16" i="63"/>
  <c r="M16" i="63"/>
  <c r="N16" i="63"/>
  <c r="I17" i="63"/>
  <c r="J17" i="63"/>
  <c r="K17" i="63"/>
  <c r="L17" i="63"/>
  <c r="M17" i="63"/>
  <c r="N17" i="63"/>
  <c r="I18" i="63"/>
  <c r="J18" i="63"/>
  <c r="K18" i="63"/>
  <c r="L18" i="63"/>
  <c r="M18" i="63"/>
  <c r="N18" i="63"/>
  <c r="I19" i="63"/>
  <c r="J19" i="63"/>
  <c r="K19" i="63"/>
  <c r="L19" i="63"/>
  <c r="M19" i="63"/>
  <c r="N19" i="63"/>
  <c r="N4" i="63"/>
  <c r="I21" i="63"/>
  <c r="J21" i="63"/>
  <c r="K21" i="63"/>
  <c r="L21" i="63"/>
  <c r="M21" i="63"/>
  <c r="N21" i="63"/>
  <c r="I22" i="63"/>
  <c r="J22" i="63"/>
  <c r="K22" i="63"/>
  <c r="L22" i="63"/>
  <c r="M22" i="63"/>
  <c r="N22" i="63"/>
  <c r="I23" i="63"/>
  <c r="J23" i="63"/>
  <c r="K23" i="63"/>
  <c r="L23" i="63"/>
  <c r="M23" i="63"/>
  <c r="N23" i="63"/>
  <c r="I24" i="63"/>
  <c r="J24" i="63"/>
  <c r="K24" i="63"/>
  <c r="L24" i="63"/>
  <c r="M24" i="63"/>
  <c r="N24" i="63"/>
  <c r="I25" i="63"/>
  <c r="J25" i="63"/>
  <c r="K25" i="63"/>
  <c r="L25" i="63"/>
  <c r="M25" i="63"/>
  <c r="N25" i="63"/>
  <c r="I26" i="63"/>
  <c r="J26" i="63"/>
  <c r="K26" i="63"/>
  <c r="L26" i="63"/>
  <c r="M26" i="63"/>
  <c r="N26" i="63"/>
  <c r="I27" i="63"/>
  <c r="J27" i="63"/>
  <c r="K27" i="63"/>
  <c r="L27" i="63"/>
  <c r="M27" i="63"/>
  <c r="N27" i="63"/>
  <c r="I28" i="63"/>
  <c r="J28" i="63"/>
  <c r="K28" i="63"/>
  <c r="L28" i="63"/>
  <c r="M28" i="63"/>
  <c r="N28" i="63"/>
  <c r="I29" i="63"/>
  <c r="J29" i="63"/>
  <c r="K29" i="63"/>
  <c r="L29" i="63"/>
  <c r="M29" i="63"/>
  <c r="N29" i="63"/>
  <c r="I30" i="63"/>
  <c r="J30" i="63"/>
  <c r="K30" i="63"/>
  <c r="L30" i="63"/>
  <c r="M30" i="63"/>
  <c r="N30" i="63"/>
  <c r="I31" i="63"/>
  <c r="J31" i="63"/>
  <c r="K31" i="63"/>
  <c r="L31" i="63"/>
  <c r="M31" i="63"/>
  <c r="N31" i="63"/>
  <c r="I32" i="63"/>
  <c r="J32" i="63"/>
  <c r="K32" i="63"/>
  <c r="L32" i="63"/>
  <c r="M32" i="63"/>
  <c r="N32" i="63"/>
  <c r="N20" i="63"/>
  <c r="I34" i="63"/>
  <c r="J34" i="63"/>
  <c r="K34" i="63"/>
  <c r="L34" i="63"/>
  <c r="M34" i="63"/>
  <c r="N34" i="63"/>
  <c r="I35" i="63"/>
  <c r="J35" i="63"/>
  <c r="K35" i="63"/>
  <c r="L35" i="63"/>
  <c r="M35" i="63"/>
  <c r="N35" i="63"/>
  <c r="I36" i="63"/>
  <c r="J36" i="63"/>
  <c r="K36" i="63"/>
  <c r="L36" i="63"/>
  <c r="M36" i="63"/>
  <c r="N36" i="63"/>
  <c r="I37" i="63"/>
  <c r="J37" i="63"/>
  <c r="K37" i="63"/>
  <c r="L37" i="63"/>
  <c r="M37" i="63"/>
  <c r="N37" i="63"/>
  <c r="N33" i="63"/>
  <c r="N38" i="63"/>
  <c r="M6" i="63"/>
  <c r="M4" i="63"/>
  <c r="M20" i="63"/>
  <c r="M33" i="63"/>
  <c r="M38" i="63"/>
  <c r="L6" i="63"/>
  <c r="L4" i="63"/>
  <c r="L20" i="63"/>
  <c r="L33" i="63"/>
  <c r="L38" i="63"/>
  <c r="K6" i="63"/>
  <c r="K4" i="63"/>
  <c r="K20" i="63"/>
  <c r="K33" i="63"/>
  <c r="K38" i="63"/>
  <c r="J6" i="63"/>
  <c r="J4" i="63"/>
  <c r="J20" i="63"/>
  <c r="J33" i="63"/>
  <c r="J38" i="63"/>
  <c r="I6" i="63"/>
  <c r="I4" i="63"/>
  <c r="I20" i="63"/>
  <c r="I33" i="63"/>
  <c r="I38" i="63"/>
  <c r="H6" i="63"/>
  <c r="H4" i="63"/>
  <c r="H20" i="63"/>
  <c r="H33" i="63"/>
  <c r="H38" i="63"/>
  <c r="G6" i="63"/>
  <c r="G4" i="63"/>
  <c r="G20" i="63"/>
  <c r="G33" i="63"/>
  <c r="G38" i="63"/>
  <c r="F6" i="63"/>
  <c r="F4" i="63"/>
  <c r="F20" i="63"/>
  <c r="F33" i="63"/>
  <c r="F38" i="63"/>
  <c r="E6" i="63"/>
  <c r="E4" i="63"/>
  <c r="E20" i="63"/>
  <c r="E33" i="63"/>
  <c r="E38" i="63"/>
  <c r="D6" i="63"/>
  <c r="D4" i="63"/>
  <c r="D20" i="63"/>
  <c r="D33" i="63"/>
  <c r="D38" i="63"/>
  <c r="C4" i="63"/>
  <c r="C20" i="63"/>
  <c r="C33" i="63"/>
  <c r="C38" i="63"/>
  <c r="N2" i="63"/>
  <c r="L1" i="63"/>
  <c r="H1" i="63"/>
  <c r="O34" i="62"/>
  <c r="C34" i="62"/>
  <c r="D34" i="62"/>
  <c r="D21" i="62"/>
  <c r="C26" i="62"/>
  <c r="C25" i="62"/>
  <c r="C22" i="62"/>
  <c r="C24" i="62"/>
  <c r="C23" i="62"/>
  <c r="C21" i="62"/>
  <c r="C27" i="62"/>
  <c r="C28" i="62"/>
  <c r="C29" i="62"/>
  <c r="C30" i="62"/>
  <c r="C31" i="62"/>
  <c r="C32" i="62"/>
  <c r="D14" i="62"/>
  <c r="D9" i="62"/>
  <c r="M35" i="62"/>
  <c r="L35" i="62"/>
  <c r="K35" i="62"/>
  <c r="J35" i="62"/>
  <c r="I35" i="62"/>
  <c r="G35" i="62"/>
  <c r="F35" i="62"/>
  <c r="E35" i="62"/>
  <c r="M37" i="62"/>
  <c r="L37" i="62"/>
  <c r="K37" i="62"/>
  <c r="J37" i="62"/>
  <c r="I37" i="62"/>
  <c r="N37" i="62"/>
  <c r="G37" i="62"/>
  <c r="F37" i="62"/>
  <c r="E37" i="62"/>
  <c r="M36" i="62"/>
  <c r="L36" i="62"/>
  <c r="K36" i="62"/>
  <c r="J36" i="62"/>
  <c r="I36" i="62"/>
  <c r="G36" i="62"/>
  <c r="F36" i="62"/>
  <c r="E36" i="62"/>
  <c r="H36" i="62"/>
  <c r="P36" i="62"/>
  <c r="M34" i="62"/>
  <c r="M33" i="62"/>
  <c r="L34" i="62"/>
  <c r="K34" i="62"/>
  <c r="J34" i="62"/>
  <c r="I34" i="62"/>
  <c r="G34" i="62"/>
  <c r="F34" i="62"/>
  <c r="E34" i="62"/>
  <c r="O33" i="62"/>
  <c r="D33" i="62"/>
  <c r="C33" i="62"/>
  <c r="M32" i="62"/>
  <c r="L32" i="62"/>
  <c r="K32" i="62"/>
  <c r="J32" i="62"/>
  <c r="N32" i="62"/>
  <c r="I32" i="62"/>
  <c r="G32" i="62"/>
  <c r="F32" i="62"/>
  <c r="E32" i="62"/>
  <c r="M31" i="62"/>
  <c r="L31" i="62"/>
  <c r="K31" i="62"/>
  <c r="J31" i="62"/>
  <c r="I31" i="62"/>
  <c r="G31" i="62"/>
  <c r="F31" i="62"/>
  <c r="E31" i="62"/>
  <c r="H31" i="62"/>
  <c r="P31" i="62"/>
  <c r="M30" i="62"/>
  <c r="L30" i="62"/>
  <c r="K30" i="62"/>
  <c r="J30" i="62"/>
  <c r="I30" i="62"/>
  <c r="G30" i="62"/>
  <c r="F30" i="62"/>
  <c r="E30" i="62"/>
  <c r="H30" i="62"/>
  <c r="P30" i="62"/>
  <c r="M29" i="62"/>
  <c r="L29" i="62"/>
  <c r="K29" i="62"/>
  <c r="J29" i="62"/>
  <c r="I29" i="62"/>
  <c r="G29" i="62"/>
  <c r="F29" i="62"/>
  <c r="E29" i="62"/>
  <c r="M28" i="62"/>
  <c r="L28" i="62"/>
  <c r="K28" i="62"/>
  <c r="J28" i="62"/>
  <c r="I28" i="62"/>
  <c r="G28" i="62"/>
  <c r="F28" i="62"/>
  <c r="E28" i="62"/>
  <c r="H28" i="62"/>
  <c r="P28" i="62"/>
  <c r="M27" i="62"/>
  <c r="L27" i="62"/>
  <c r="K27" i="62"/>
  <c r="J27" i="62"/>
  <c r="I27" i="62"/>
  <c r="G27" i="62"/>
  <c r="F27" i="62"/>
  <c r="E27" i="62"/>
  <c r="H27" i="62"/>
  <c r="P27" i="62"/>
  <c r="M26" i="62"/>
  <c r="L26" i="62"/>
  <c r="K26" i="62"/>
  <c r="J26" i="62"/>
  <c r="I26" i="62"/>
  <c r="G26" i="62"/>
  <c r="F26" i="62"/>
  <c r="E26" i="62"/>
  <c r="H26" i="62"/>
  <c r="P26" i="62"/>
  <c r="M25" i="62"/>
  <c r="L25" i="62"/>
  <c r="K25" i="62"/>
  <c r="J25" i="62"/>
  <c r="I25" i="62"/>
  <c r="G25" i="62"/>
  <c r="F25" i="62"/>
  <c r="E25" i="62"/>
  <c r="H25" i="62"/>
  <c r="P25" i="62"/>
  <c r="J24" i="62"/>
  <c r="I24" i="62"/>
  <c r="G24" i="62"/>
  <c r="F24" i="62"/>
  <c r="D24" i="62"/>
  <c r="M24" i="62"/>
  <c r="D23" i="62"/>
  <c r="I23" i="62"/>
  <c r="J22" i="62"/>
  <c r="I22" i="62"/>
  <c r="G22" i="62"/>
  <c r="F22" i="62"/>
  <c r="D22" i="62"/>
  <c r="M22" i="62"/>
  <c r="K21" i="62"/>
  <c r="J21" i="62"/>
  <c r="I21" i="62"/>
  <c r="O20" i="62"/>
  <c r="C20" i="62"/>
  <c r="M19" i="62"/>
  <c r="L19" i="62"/>
  <c r="K19" i="62"/>
  <c r="J19" i="62"/>
  <c r="I19" i="62"/>
  <c r="G19" i="62"/>
  <c r="F19" i="62"/>
  <c r="E19" i="62"/>
  <c r="M18" i="62"/>
  <c r="L18" i="62"/>
  <c r="K18" i="62"/>
  <c r="J18" i="62"/>
  <c r="I18" i="62"/>
  <c r="G18" i="62"/>
  <c r="F18" i="62"/>
  <c r="E18" i="62"/>
  <c r="M17" i="62"/>
  <c r="L17" i="62"/>
  <c r="K17" i="62"/>
  <c r="J17" i="62"/>
  <c r="I17" i="62"/>
  <c r="G17" i="62"/>
  <c r="F17" i="62"/>
  <c r="E17" i="62"/>
  <c r="M16" i="62"/>
  <c r="L16" i="62"/>
  <c r="K16" i="62"/>
  <c r="J16" i="62"/>
  <c r="I16" i="62"/>
  <c r="G16" i="62"/>
  <c r="F16" i="62"/>
  <c r="E16" i="62"/>
  <c r="M15" i="62"/>
  <c r="L15" i="62"/>
  <c r="K15" i="62"/>
  <c r="J15" i="62"/>
  <c r="I15" i="62"/>
  <c r="G15" i="62"/>
  <c r="F15" i="62"/>
  <c r="E15" i="62"/>
  <c r="M14" i="62"/>
  <c r="L14" i="62"/>
  <c r="K14" i="62"/>
  <c r="J14" i="62"/>
  <c r="I14" i="62"/>
  <c r="G14" i="62"/>
  <c r="F14" i="62"/>
  <c r="E14" i="62"/>
  <c r="M13" i="62"/>
  <c r="L13" i="62"/>
  <c r="K13" i="62"/>
  <c r="J13" i="62"/>
  <c r="I13" i="62"/>
  <c r="G13" i="62"/>
  <c r="F13" i="62"/>
  <c r="E13" i="62"/>
  <c r="J12" i="62"/>
  <c r="N12" i="62"/>
  <c r="K11" i="62"/>
  <c r="J11" i="62"/>
  <c r="M10" i="62"/>
  <c r="L10" i="62"/>
  <c r="K10" i="62"/>
  <c r="J10" i="62"/>
  <c r="I10" i="62"/>
  <c r="G10" i="62"/>
  <c r="F10" i="62"/>
  <c r="E10" i="62"/>
  <c r="K9" i="62"/>
  <c r="J9" i="62"/>
  <c r="I9" i="62"/>
  <c r="M8" i="62"/>
  <c r="L8" i="62"/>
  <c r="K8" i="62"/>
  <c r="J8" i="62"/>
  <c r="I8" i="62"/>
  <c r="G8" i="62"/>
  <c r="F8" i="62"/>
  <c r="E8" i="62"/>
  <c r="D7" i="62"/>
  <c r="E7" i="62"/>
  <c r="O6" i="62"/>
  <c r="O4" i="62"/>
  <c r="C6" i="62"/>
  <c r="M5" i="62"/>
  <c r="L5" i="62"/>
  <c r="K5" i="62"/>
  <c r="J5" i="62"/>
  <c r="I5" i="62"/>
  <c r="G5" i="62"/>
  <c r="F5" i="62"/>
  <c r="E5" i="62"/>
  <c r="C4" i="62"/>
  <c r="N2" i="62"/>
  <c r="L1" i="62"/>
  <c r="H1" i="62"/>
  <c r="F33" i="62"/>
  <c r="N30" i="62"/>
  <c r="K7" i="62"/>
  <c r="H15" i="62"/>
  <c r="P15" i="62"/>
  <c r="N13" i="62"/>
  <c r="N15" i="62"/>
  <c r="N18" i="62"/>
  <c r="J23" i="62"/>
  <c r="H32" i="62"/>
  <c r="P32" i="62"/>
  <c r="I7" i="62"/>
  <c r="H35" i="62"/>
  <c r="P35" i="62"/>
  <c r="J7" i="62"/>
  <c r="J6" i="62"/>
  <c r="J4" i="62"/>
  <c r="H37" i="62"/>
  <c r="P37" i="62"/>
  <c r="N5" i="62"/>
  <c r="K23" i="62"/>
  <c r="N36" i="62"/>
  <c r="N8" i="62"/>
  <c r="G33" i="62"/>
  <c r="L33" i="62"/>
  <c r="I33" i="62"/>
  <c r="H34" i="62"/>
  <c r="O38" i="62"/>
  <c r="C38" i="62"/>
  <c r="N35" i="62"/>
  <c r="N17" i="62"/>
  <c r="H10" i="62"/>
  <c r="P10" i="62"/>
  <c r="H29" i="62"/>
  <c r="P29" i="62"/>
  <c r="K33" i="62"/>
  <c r="N27" i="62"/>
  <c r="N14" i="62"/>
  <c r="N10" i="62"/>
  <c r="N31" i="62"/>
  <c r="H13" i="62"/>
  <c r="P13" i="62"/>
  <c r="H14" i="62"/>
  <c r="P14" i="62"/>
  <c r="N16" i="62"/>
  <c r="N25" i="62"/>
  <c r="N28" i="62"/>
  <c r="H18" i="62"/>
  <c r="P18" i="62"/>
  <c r="J20" i="62"/>
  <c r="K6" i="62"/>
  <c r="N19" i="62"/>
  <c r="N26" i="62"/>
  <c r="N29" i="62"/>
  <c r="H8" i="62"/>
  <c r="P8" i="62"/>
  <c r="H16" i="62"/>
  <c r="P16" i="62"/>
  <c r="H17" i="62"/>
  <c r="P17" i="62"/>
  <c r="H19" i="62"/>
  <c r="P19" i="62"/>
  <c r="I20" i="62"/>
  <c r="I6" i="62"/>
  <c r="H33" i="62"/>
  <c r="P34" i="62"/>
  <c r="P33" i="62"/>
  <c r="J33" i="62"/>
  <c r="N34" i="62"/>
  <c r="N33" i="62"/>
  <c r="E9" i="62"/>
  <c r="E6" i="62"/>
  <c r="M21" i="62"/>
  <c r="M23" i="62"/>
  <c r="K4" i="62"/>
  <c r="E33" i="62"/>
  <c r="H5" i="62"/>
  <c r="F7" i="62"/>
  <c r="G9" i="62"/>
  <c r="D20" i="62"/>
  <c r="G21" i="62"/>
  <c r="K22" i="62"/>
  <c r="N22" i="62"/>
  <c r="G23" i="62"/>
  <c r="K24" i="62"/>
  <c r="N24" i="62"/>
  <c r="M11" i="62"/>
  <c r="L21" i="62"/>
  <c r="M9" i="62"/>
  <c r="F11" i="62"/>
  <c r="E21" i="62"/>
  <c r="E23" i="62"/>
  <c r="M7" i="62"/>
  <c r="F9" i="62"/>
  <c r="F23" i="62"/>
  <c r="D6" i="62"/>
  <c r="D4" i="62"/>
  <c r="G7" i="62"/>
  <c r="G6" i="62"/>
  <c r="I11" i="62"/>
  <c r="L22" i="62"/>
  <c r="L24" i="62"/>
  <c r="L11" i="62"/>
  <c r="L9" i="62"/>
  <c r="E11" i="62"/>
  <c r="L23" i="62"/>
  <c r="L7" i="62"/>
  <c r="G11" i="62"/>
  <c r="F21" i="62"/>
  <c r="E22" i="62"/>
  <c r="H22" i="62"/>
  <c r="P22" i="62"/>
  <c r="E24" i="62"/>
  <c r="H24" i="62"/>
  <c r="P24" i="62"/>
  <c r="M36" i="61"/>
  <c r="L36" i="61"/>
  <c r="K36" i="61"/>
  <c r="J36" i="61"/>
  <c r="I36" i="61"/>
  <c r="G36" i="61"/>
  <c r="F36" i="61"/>
  <c r="E36" i="61"/>
  <c r="M35" i="61"/>
  <c r="L35" i="61"/>
  <c r="K35" i="61"/>
  <c r="J35" i="61"/>
  <c r="I35" i="61"/>
  <c r="G35" i="61"/>
  <c r="F35" i="61"/>
  <c r="E35" i="61"/>
  <c r="H35" i="61"/>
  <c r="P35" i="61"/>
  <c r="L34" i="61"/>
  <c r="O33" i="61"/>
  <c r="C33" i="61"/>
  <c r="M32" i="61"/>
  <c r="L32" i="61"/>
  <c r="K32" i="61"/>
  <c r="J32" i="61"/>
  <c r="I32" i="61"/>
  <c r="N32" i="61"/>
  <c r="G32" i="61"/>
  <c r="F32" i="61"/>
  <c r="E32" i="61"/>
  <c r="M31" i="61"/>
  <c r="L31" i="61"/>
  <c r="K31" i="61"/>
  <c r="J31" i="61"/>
  <c r="I31" i="61"/>
  <c r="N31" i="61"/>
  <c r="G31" i="61"/>
  <c r="F31" i="61"/>
  <c r="E31" i="61"/>
  <c r="M30" i="61"/>
  <c r="L30" i="61"/>
  <c r="K30" i="61"/>
  <c r="J30" i="61"/>
  <c r="I30" i="61"/>
  <c r="G30" i="61"/>
  <c r="F30" i="61"/>
  <c r="E30" i="61"/>
  <c r="M29" i="61"/>
  <c r="L29" i="61"/>
  <c r="K29" i="61"/>
  <c r="J29" i="61"/>
  <c r="I29" i="61"/>
  <c r="N29" i="61"/>
  <c r="G29" i="61"/>
  <c r="F29" i="61"/>
  <c r="E29" i="61"/>
  <c r="M28" i="61"/>
  <c r="L28" i="61"/>
  <c r="K28" i="61"/>
  <c r="J28" i="61"/>
  <c r="I28" i="61"/>
  <c r="G28" i="61"/>
  <c r="F28" i="61"/>
  <c r="E28" i="61"/>
  <c r="M27" i="61"/>
  <c r="L27" i="61"/>
  <c r="K27" i="61"/>
  <c r="J27" i="61"/>
  <c r="I27" i="61"/>
  <c r="G27" i="61"/>
  <c r="F27" i="61"/>
  <c r="E27" i="61"/>
  <c r="M26" i="61"/>
  <c r="L26" i="61"/>
  <c r="K26" i="61"/>
  <c r="J26" i="61"/>
  <c r="I26" i="61"/>
  <c r="N26" i="61"/>
  <c r="G26" i="61"/>
  <c r="F26" i="61"/>
  <c r="H26" i="61"/>
  <c r="P26" i="61"/>
  <c r="E26" i="61"/>
  <c r="M25" i="61"/>
  <c r="L25" i="61"/>
  <c r="K25" i="61"/>
  <c r="J25" i="61"/>
  <c r="I25" i="61"/>
  <c r="G25" i="61"/>
  <c r="F25" i="61"/>
  <c r="E25" i="61"/>
  <c r="D24" i="61"/>
  <c r="M24" i="61"/>
  <c r="K23" i="61"/>
  <c r="J23" i="61"/>
  <c r="D23" i="61"/>
  <c r="I23" i="61"/>
  <c r="D22" i="61"/>
  <c r="M22" i="61"/>
  <c r="D21" i="61"/>
  <c r="I21" i="61"/>
  <c r="O20" i="61"/>
  <c r="C20" i="61"/>
  <c r="M19" i="61"/>
  <c r="L19" i="61"/>
  <c r="K19" i="61"/>
  <c r="J19" i="61"/>
  <c r="I19" i="61"/>
  <c r="G19" i="61"/>
  <c r="F19" i="61"/>
  <c r="E19" i="61"/>
  <c r="M18" i="61"/>
  <c r="L18" i="61"/>
  <c r="K18" i="61"/>
  <c r="J18" i="61"/>
  <c r="I18" i="61"/>
  <c r="G18" i="61"/>
  <c r="F18" i="61"/>
  <c r="E18" i="61"/>
  <c r="M17" i="61"/>
  <c r="L17" i="61"/>
  <c r="K17" i="61"/>
  <c r="J17" i="61"/>
  <c r="I17" i="61"/>
  <c r="G17" i="61"/>
  <c r="F17" i="61"/>
  <c r="E17" i="61"/>
  <c r="M16" i="61"/>
  <c r="L16" i="61"/>
  <c r="K16" i="61"/>
  <c r="J16" i="61"/>
  <c r="I16" i="61"/>
  <c r="G16" i="61"/>
  <c r="F16" i="61"/>
  <c r="E16" i="61"/>
  <c r="M15" i="61"/>
  <c r="L15" i="61"/>
  <c r="K15" i="61"/>
  <c r="J15" i="61"/>
  <c r="I15" i="61"/>
  <c r="G15" i="61"/>
  <c r="F15" i="61"/>
  <c r="E15" i="61"/>
  <c r="M14" i="61"/>
  <c r="L14" i="61"/>
  <c r="K14" i="61"/>
  <c r="J14" i="61"/>
  <c r="I14" i="61"/>
  <c r="G14" i="61"/>
  <c r="F14" i="61"/>
  <c r="E14" i="61"/>
  <c r="M13" i="61"/>
  <c r="L13" i="61"/>
  <c r="K13" i="61"/>
  <c r="J13" i="61"/>
  <c r="I13" i="61"/>
  <c r="N13" i="61"/>
  <c r="G13" i="61"/>
  <c r="F13" i="61"/>
  <c r="E13" i="61"/>
  <c r="J12" i="61"/>
  <c r="N12" i="61"/>
  <c r="D11" i="61"/>
  <c r="L11" i="61"/>
  <c r="M10" i="61"/>
  <c r="L10" i="61"/>
  <c r="K10" i="61"/>
  <c r="J10" i="61"/>
  <c r="I10" i="61"/>
  <c r="G10" i="61"/>
  <c r="F10" i="61"/>
  <c r="E10" i="61"/>
  <c r="D9" i="61"/>
  <c r="I9" i="61"/>
  <c r="M8" i="61"/>
  <c r="L8" i="61"/>
  <c r="K8" i="61"/>
  <c r="J8" i="61"/>
  <c r="I8" i="61"/>
  <c r="G8" i="61"/>
  <c r="F8" i="61"/>
  <c r="E8" i="61"/>
  <c r="D7" i="61"/>
  <c r="E7" i="61"/>
  <c r="O6" i="61"/>
  <c r="O4" i="61"/>
  <c r="C6" i="61"/>
  <c r="C4" i="61"/>
  <c r="M5" i="61"/>
  <c r="L5" i="61"/>
  <c r="K5" i="61"/>
  <c r="J5" i="61"/>
  <c r="I5" i="61"/>
  <c r="G5" i="61"/>
  <c r="F5" i="61"/>
  <c r="E5" i="61"/>
  <c r="N2" i="61"/>
  <c r="L1" i="61"/>
  <c r="H1" i="61"/>
  <c r="H7" i="62"/>
  <c r="N9" i="62"/>
  <c r="N21" i="62"/>
  <c r="E4" i="62"/>
  <c r="M6" i="62"/>
  <c r="M4" i="62"/>
  <c r="N20" i="62"/>
  <c r="I4" i="62"/>
  <c r="I38" i="62"/>
  <c r="J38" i="62"/>
  <c r="N23" i="62"/>
  <c r="F20" i="62"/>
  <c r="P7" i="62"/>
  <c r="L6" i="62"/>
  <c r="L4" i="62"/>
  <c r="G4" i="62"/>
  <c r="H9" i="62"/>
  <c r="P9" i="62"/>
  <c r="P5" i="62"/>
  <c r="H23" i="62"/>
  <c r="P23" i="62"/>
  <c r="G20" i="62"/>
  <c r="N11" i="62"/>
  <c r="M20" i="62"/>
  <c r="D38" i="62"/>
  <c r="L20" i="62"/>
  <c r="N7" i="62"/>
  <c r="N6" i="62"/>
  <c r="H21" i="62"/>
  <c r="E20" i="62"/>
  <c r="H11" i="62"/>
  <c r="P11" i="62"/>
  <c r="F6" i="62"/>
  <c r="F4" i="62"/>
  <c r="F38" i="62"/>
  <c r="K20" i="62"/>
  <c r="K38" i="62"/>
  <c r="J9" i="61"/>
  <c r="F24" i="61"/>
  <c r="N8" i="61"/>
  <c r="H10" i="61"/>
  <c r="P10" i="61"/>
  <c r="I22" i="61"/>
  <c r="G24" i="61"/>
  <c r="J22" i="61"/>
  <c r="H5" i="61"/>
  <c r="P5" i="61"/>
  <c r="H14" i="61"/>
  <c r="P14" i="61"/>
  <c r="H15" i="61"/>
  <c r="P15" i="61"/>
  <c r="H16" i="61"/>
  <c r="P16" i="61"/>
  <c r="H19" i="61"/>
  <c r="P19" i="61"/>
  <c r="K22" i="61"/>
  <c r="J24" i="61"/>
  <c r="K21" i="61"/>
  <c r="H29" i="61"/>
  <c r="P29" i="61"/>
  <c r="K9" i="61"/>
  <c r="G22" i="61"/>
  <c r="N16" i="61"/>
  <c r="I24" i="61"/>
  <c r="H13" i="61"/>
  <c r="P13" i="61"/>
  <c r="H25" i="61"/>
  <c r="P25" i="61"/>
  <c r="N25" i="61"/>
  <c r="N28" i="61"/>
  <c r="I7" i="61"/>
  <c r="I6" i="61"/>
  <c r="H18" i="61"/>
  <c r="P18" i="61"/>
  <c r="J7" i="61"/>
  <c r="J6" i="61"/>
  <c r="K11" i="61"/>
  <c r="N15" i="61"/>
  <c r="N18" i="61"/>
  <c r="J21" i="61"/>
  <c r="J20" i="61"/>
  <c r="K24" i="61"/>
  <c r="K20" i="61"/>
  <c r="N30" i="61"/>
  <c r="N36" i="61"/>
  <c r="K7" i="61"/>
  <c r="K6" i="61"/>
  <c r="K4" i="61"/>
  <c r="N27" i="61"/>
  <c r="N10" i="61"/>
  <c r="H27" i="61"/>
  <c r="P27" i="61"/>
  <c r="H28" i="61"/>
  <c r="P28" i="61"/>
  <c r="H30" i="61"/>
  <c r="P30" i="61"/>
  <c r="H31" i="61"/>
  <c r="P31" i="61"/>
  <c r="H8" i="61"/>
  <c r="P8" i="61"/>
  <c r="N19" i="61"/>
  <c r="F22" i="61"/>
  <c r="H32" i="61"/>
  <c r="P32" i="61"/>
  <c r="O37" i="61"/>
  <c r="H36" i="61"/>
  <c r="P36" i="61"/>
  <c r="L33" i="61"/>
  <c r="N35" i="61"/>
  <c r="N17" i="61"/>
  <c r="H17" i="61"/>
  <c r="P17" i="61"/>
  <c r="N14" i="61"/>
  <c r="C37" i="61"/>
  <c r="I20" i="61"/>
  <c r="N5" i="61"/>
  <c r="E6" i="61"/>
  <c r="E4" i="61"/>
  <c r="K34" i="61"/>
  <c r="K33" i="61"/>
  <c r="I34" i="61"/>
  <c r="F34" i="61"/>
  <c r="F33" i="61"/>
  <c r="M34" i="61"/>
  <c r="M33" i="61"/>
  <c r="J34" i="61"/>
  <c r="J33" i="61"/>
  <c r="G34" i="61"/>
  <c r="G33" i="61"/>
  <c r="D33" i="61"/>
  <c r="E34" i="61"/>
  <c r="J11" i="61"/>
  <c r="G11" i="61"/>
  <c r="F11" i="61"/>
  <c r="I11" i="61"/>
  <c r="M11" i="61"/>
  <c r="E11" i="61"/>
  <c r="L9" i="61"/>
  <c r="L21" i="61"/>
  <c r="L23" i="61"/>
  <c r="L7" i="61"/>
  <c r="M9" i="61"/>
  <c r="E21" i="61"/>
  <c r="E23" i="61"/>
  <c r="M23" i="61"/>
  <c r="M7" i="61"/>
  <c r="F21" i="61"/>
  <c r="F23" i="61"/>
  <c r="F7" i="61"/>
  <c r="G9" i="61"/>
  <c r="D20" i="61"/>
  <c r="G23" i="61"/>
  <c r="D6" i="61"/>
  <c r="D4" i="61"/>
  <c r="G7" i="61"/>
  <c r="L22" i="61"/>
  <c r="L24" i="61"/>
  <c r="E9" i="61"/>
  <c r="M21" i="61"/>
  <c r="F9" i="61"/>
  <c r="G21" i="61"/>
  <c r="E22" i="61"/>
  <c r="E24" i="61"/>
  <c r="D34" i="60"/>
  <c r="D11" i="60"/>
  <c r="M36" i="60"/>
  <c r="L36" i="60"/>
  <c r="K36" i="60"/>
  <c r="J36" i="60"/>
  <c r="I36" i="60"/>
  <c r="N36" i="60"/>
  <c r="G36" i="60"/>
  <c r="F36" i="60"/>
  <c r="E36" i="60"/>
  <c r="M35" i="60"/>
  <c r="L35" i="60"/>
  <c r="K35" i="60"/>
  <c r="J35" i="60"/>
  <c r="I35" i="60"/>
  <c r="G35" i="60"/>
  <c r="F35" i="60"/>
  <c r="E35" i="60"/>
  <c r="M34" i="60"/>
  <c r="L34" i="60"/>
  <c r="L33" i="60"/>
  <c r="K34" i="60"/>
  <c r="J34" i="60"/>
  <c r="I34" i="60"/>
  <c r="I33" i="60"/>
  <c r="G34" i="60"/>
  <c r="F34" i="60"/>
  <c r="F33" i="60"/>
  <c r="E34" i="60"/>
  <c r="O33" i="60"/>
  <c r="D33" i="60"/>
  <c r="C33" i="60"/>
  <c r="N32" i="60"/>
  <c r="M32" i="60"/>
  <c r="L32" i="60"/>
  <c r="K32" i="60"/>
  <c r="J32" i="60"/>
  <c r="I32" i="60"/>
  <c r="G32" i="60"/>
  <c r="F32" i="60"/>
  <c r="E32" i="60"/>
  <c r="M31" i="60"/>
  <c r="L31" i="60"/>
  <c r="K31" i="60"/>
  <c r="J31" i="60"/>
  <c r="I31" i="60"/>
  <c r="G31" i="60"/>
  <c r="F31" i="60"/>
  <c r="E31" i="60"/>
  <c r="H31" i="60"/>
  <c r="P31" i="60"/>
  <c r="M30" i="60"/>
  <c r="L30" i="60"/>
  <c r="N30" i="60"/>
  <c r="K30" i="60"/>
  <c r="J30" i="60"/>
  <c r="I30" i="60"/>
  <c r="G30" i="60"/>
  <c r="F30" i="60"/>
  <c r="E30" i="60"/>
  <c r="H30" i="60"/>
  <c r="P30" i="60"/>
  <c r="M29" i="60"/>
  <c r="L29" i="60"/>
  <c r="K29" i="60"/>
  <c r="J29" i="60"/>
  <c r="I29" i="60"/>
  <c r="N29" i="60"/>
  <c r="G29" i="60"/>
  <c r="F29" i="60"/>
  <c r="E29" i="60"/>
  <c r="M28" i="60"/>
  <c r="L28" i="60"/>
  <c r="K28" i="60"/>
  <c r="J28" i="60"/>
  <c r="I28" i="60"/>
  <c r="G28" i="60"/>
  <c r="F28" i="60"/>
  <c r="E28" i="60"/>
  <c r="M27" i="60"/>
  <c r="L27" i="60"/>
  <c r="K27" i="60"/>
  <c r="J27" i="60"/>
  <c r="I27" i="60"/>
  <c r="G27" i="60"/>
  <c r="F27" i="60"/>
  <c r="E27" i="60"/>
  <c r="M26" i="60"/>
  <c r="L26" i="60"/>
  <c r="K26" i="60"/>
  <c r="J26" i="60"/>
  <c r="I26" i="60"/>
  <c r="N26" i="60"/>
  <c r="G26" i="60"/>
  <c r="H26" i="60"/>
  <c r="P26" i="60"/>
  <c r="F26" i="60"/>
  <c r="E26" i="60"/>
  <c r="M25" i="60"/>
  <c r="L25" i="60"/>
  <c r="K25" i="60"/>
  <c r="J25" i="60"/>
  <c r="I25" i="60"/>
  <c r="G25" i="60"/>
  <c r="F25" i="60"/>
  <c r="E25" i="60"/>
  <c r="D24" i="60"/>
  <c r="M24" i="60"/>
  <c r="K23" i="60"/>
  <c r="J23" i="60"/>
  <c r="D23" i="60"/>
  <c r="I23" i="60"/>
  <c r="I22" i="60"/>
  <c r="G22" i="60"/>
  <c r="F22" i="60"/>
  <c r="D22" i="60"/>
  <c r="M22" i="60"/>
  <c r="K21" i="60"/>
  <c r="D21" i="60"/>
  <c r="I21" i="60"/>
  <c r="O20" i="60"/>
  <c r="C20" i="60"/>
  <c r="M19" i="60"/>
  <c r="L19" i="60"/>
  <c r="N19" i="60"/>
  <c r="K19" i="60"/>
  <c r="J19" i="60"/>
  <c r="I19" i="60"/>
  <c r="G19" i="60"/>
  <c r="F19" i="60"/>
  <c r="E19" i="60"/>
  <c r="H19" i="60"/>
  <c r="P19" i="60"/>
  <c r="M18" i="60"/>
  <c r="L18" i="60"/>
  <c r="K18" i="60"/>
  <c r="J18" i="60"/>
  <c r="I18" i="60"/>
  <c r="G18" i="60"/>
  <c r="F18" i="60"/>
  <c r="E18" i="60"/>
  <c r="M17" i="60"/>
  <c r="L17" i="60"/>
  <c r="K17" i="60"/>
  <c r="J17" i="60"/>
  <c r="I17" i="60"/>
  <c r="G17" i="60"/>
  <c r="F17" i="60"/>
  <c r="E17" i="60"/>
  <c r="H17" i="60"/>
  <c r="P17" i="60"/>
  <c r="M16" i="60"/>
  <c r="L16" i="60"/>
  <c r="K16" i="60"/>
  <c r="J16" i="60"/>
  <c r="I16" i="60"/>
  <c r="G16" i="60"/>
  <c r="F16" i="60"/>
  <c r="E16" i="60"/>
  <c r="H16" i="60"/>
  <c r="P16" i="60"/>
  <c r="K15" i="60"/>
  <c r="J15" i="60"/>
  <c r="I15" i="60"/>
  <c r="G15" i="60"/>
  <c r="M14" i="60"/>
  <c r="L14" i="60"/>
  <c r="K14" i="60"/>
  <c r="J14" i="60"/>
  <c r="I14" i="60"/>
  <c r="G14" i="60"/>
  <c r="F14" i="60"/>
  <c r="E14" i="60"/>
  <c r="M13" i="60"/>
  <c r="L13" i="60"/>
  <c r="K13" i="60"/>
  <c r="J13" i="60"/>
  <c r="I13" i="60"/>
  <c r="N13" i="60"/>
  <c r="G13" i="60"/>
  <c r="H13" i="60"/>
  <c r="P13" i="60"/>
  <c r="F13" i="60"/>
  <c r="E13" i="60"/>
  <c r="J12" i="60"/>
  <c r="N12" i="60"/>
  <c r="M11" i="60"/>
  <c r="L11" i="60"/>
  <c r="M10" i="60"/>
  <c r="L10" i="60"/>
  <c r="K10" i="60"/>
  <c r="J10" i="60"/>
  <c r="I10" i="60"/>
  <c r="G10" i="60"/>
  <c r="F10" i="60"/>
  <c r="E10" i="60"/>
  <c r="H10" i="60"/>
  <c r="P10" i="60"/>
  <c r="D9" i="60"/>
  <c r="M8" i="60"/>
  <c r="L8" i="60"/>
  <c r="K8" i="60"/>
  <c r="J8" i="60"/>
  <c r="I8" i="60"/>
  <c r="G8" i="60"/>
  <c r="F8" i="60"/>
  <c r="E8" i="60"/>
  <c r="K7" i="60"/>
  <c r="D7" i="60"/>
  <c r="I7" i="60"/>
  <c r="O6" i="60"/>
  <c r="O4" i="60"/>
  <c r="C6" i="60"/>
  <c r="C4" i="60"/>
  <c r="M5" i="60"/>
  <c r="L5" i="60"/>
  <c r="K5" i="60"/>
  <c r="J5" i="60"/>
  <c r="I5" i="60"/>
  <c r="G5" i="60"/>
  <c r="F5" i="60"/>
  <c r="E5" i="60"/>
  <c r="N2" i="60"/>
  <c r="L1" i="60"/>
  <c r="H1" i="60"/>
  <c r="E38" i="62"/>
  <c r="G38" i="62"/>
  <c r="M38" i="62"/>
  <c r="N4" i="62"/>
  <c r="N38" i="62"/>
  <c r="L38" i="62"/>
  <c r="P6" i="62"/>
  <c r="P4" i="62"/>
  <c r="H6" i="62"/>
  <c r="H4" i="62"/>
  <c r="P21" i="62"/>
  <c r="P20" i="62"/>
  <c r="H20" i="62"/>
  <c r="N24" i="61"/>
  <c r="N22" i="61"/>
  <c r="H24" i="61"/>
  <c r="P24" i="61"/>
  <c r="G6" i="61"/>
  <c r="M6" i="61"/>
  <c r="M4" i="61"/>
  <c r="N9" i="61"/>
  <c r="I4" i="61"/>
  <c r="F20" i="61"/>
  <c r="L20" i="61"/>
  <c r="J4" i="61"/>
  <c r="J37" i="61"/>
  <c r="G20" i="61"/>
  <c r="N23" i="61"/>
  <c r="H11" i="61"/>
  <c r="P11" i="61"/>
  <c r="H22" i="61"/>
  <c r="P22" i="61"/>
  <c r="G4" i="61"/>
  <c r="G37" i="61"/>
  <c r="K37" i="61"/>
  <c r="D37" i="61"/>
  <c r="N7" i="61"/>
  <c r="N6" i="61"/>
  <c r="M20" i="61"/>
  <c r="N11" i="61"/>
  <c r="F6" i="61"/>
  <c r="F4" i="61"/>
  <c r="L6" i="61"/>
  <c r="L4" i="61"/>
  <c r="N21" i="61"/>
  <c r="N20" i="61"/>
  <c r="N34" i="61"/>
  <c r="N33" i="61"/>
  <c r="I33" i="61"/>
  <c r="I37" i="61"/>
  <c r="H23" i="61"/>
  <c r="P23" i="61"/>
  <c r="H34" i="61"/>
  <c r="E33" i="61"/>
  <c r="N4" i="61"/>
  <c r="H21" i="61"/>
  <c r="E20" i="61"/>
  <c r="H9" i="61"/>
  <c r="P9" i="61"/>
  <c r="H7" i="61"/>
  <c r="N16" i="60"/>
  <c r="H8" i="60"/>
  <c r="P8" i="60"/>
  <c r="J22" i="60"/>
  <c r="I24" i="60"/>
  <c r="N25" i="60"/>
  <c r="N28" i="60"/>
  <c r="N31" i="60"/>
  <c r="H32" i="60"/>
  <c r="P32" i="60"/>
  <c r="G24" i="60"/>
  <c r="N8" i="60"/>
  <c r="N14" i="60"/>
  <c r="K22" i="60"/>
  <c r="J24" i="60"/>
  <c r="F24" i="60"/>
  <c r="J21" i="60"/>
  <c r="J20" i="60"/>
  <c r="K24" i="60"/>
  <c r="K20" i="60"/>
  <c r="H29" i="60"/>
  <c r="P29" i="60"/>
  <c r="N10" i="60"/>
  <c r="H14" i="60"/>
  <c r="P14" i="60"/>
  <c r="N17" i="60"/>
  <c r="H25" i="60"/>
  <c r="P25" i="60"/>
  <c r="N27" i="60"/>
  <c r="H35" i="60"/>
  <c r="P35" i="60"/>
  <c r="J7" i="60"/>
  <c r="H27" i="60"/>
  <c r="P27" i="60"/>
  <c r="H28" i="60"/>
  <c r="P28" i="60"/>
  <c r="G33" i="60"/>
  <c r="H36" i="60"/>
  <c r="P36" i="60"/>
  <c r="K33" i="60"/>
  <c r="N35" i="60"/>
  <c r="J33" i="60"/>
  <c r="O37" i="60"/>
  <c r="H18" i="60"/>
  <c r="P18" i="60"/>
  <c r="N18" i="60"/>
  <c r="C37" i="60"/>
  <c r="J9" i="60"/>
  <c r="M9" i="60"/>
  <c r="I9" i="60"/>
  <c r="G9" i="60"/>
  <c r="F9" i="60"/>
  <c r="E9" i="60"/>
  <c r="L9" i="60"/>
  <c r="H5" i="60"/>
  <c r="K9" i="60"/>
  <c r="K6" i="60"/>
  <c r="K4" i="60"/>
  <c r="M33" i="60"/>
  <c r="N34" i="60"/>
  <c r="N33" i="60"/>
  <c r="E33" i="60"/>
  <c r="H34" i="60"/>
  <c r="N5" i="60"/>
  <c r="K11" i="60"/>
  <c r="J11" i="60"/>
  <c r="I11" i="60"/>
  <c r="G11" i="60"/>
  <c r="F11" i="60"/>
  <c r="E11" i="60"/>
  <c r="H11" i="60"/>
  <c r="P11" i="60"/>
  <c r="I20" i="60"/>
  <c r="E7" i="60"/>
  <c r="E21" i="60"/>
  <c r="M21" i="60"/>
  <c r="M20" i="60"/>
  <c r="E23" i="60"/>
  <c r="F7" i="60"/>
  <c r="L15" i="60"/>
  <c r="N15" i="60"/>
  <c r="F23" i="60"/>
  <c r="E15" i="60"/>
  <c r="F15" i="60"/>
  <c r="L22" i="60"/>
  <c r="N22" i="60"/>
  <c r="L24" i="60"/>
  <c r="L7" i="60"/>
  <c r="L6" i="60"/>
  <c r="L21" i="60"/>
  <c r="L23" i="60"/>
  <c r="N23" i="60"/>
  <c r="M7" i="60"/>
  <c r="M23" i="60"/>
  <c r="F21" i="60"/>
  <c r="D6" i="60"/>
  <c r="D4" i="60"/>
  <c r="G7" i="60"/>
  <c r="M15" i="60"/>
  <c r="D20" i="60"/>
  <c r="G21" i="60"/>
  <c r="G23" i="60"/>
  <c r="E22" i="60"/>
  <c r="H22" i="60"/>
  <c r="P22" i="60"/>
  <c r="E24" i="60"/>
  <c r="C35" i="59"/>
  <c r="D15" i="59"/>
  <c r="P38" i="62"/>
  <c r="H38" i="62"/>
  <c r="F37" i="61"/>
  <c r="M37" i="61"/>
  <c r="L37" i="61"/>
  <c r="E37" i="61"/>
  <c r="N37" i="61"/>
  <c r="P21" i="61"/>
  <c r="P20" i="61"/>
  <c r="H20" i="61"/>
  <c r="H33" i="61"/>
  <c r="P34" i="61"/>
  <c r="P7" i="61"/>
  <c r="P6" i="61"/>
  <c r="P4" i="61"/>
  <c r="H6" i="61"/>
  <c r="H4" i="61"/>
  <c r="K37" i="60"/>
  <c r="N24" i="60"/>
  <c r="J6" i="60"/>
  <c r="G20" i="60"/>
  <c r="H23" i="60"/>
  <c r="P23" i="60"/>
  <c r="F20" i="60"/>
  <c r="F6" i="60"/>
  <c r="F4" i="60"/>
  <c r="F37" i="60"/>
  <c r="H24" i="60"/>
  <c r="P24" i="60"/>
  <c r="H9" i="60"/>
  <c r="P9" i="60"/>
  <c r="L4" i="60"/>
  <c r="J4" i="60"/>
  <c r="J37" i="60"/>
  <c r="L20" i="60"/>
  <c r="L37" i="60"/>
  <c r="G6" i="60"/>
  <c r="G4" i="60"/>
  <c r="G37" i="60"/>
  <c r="H33" i="60"/>
  <c r="P34" i="60"/>
  <c r="N9" i="60"/>
  <c r="P5" i="60"/>
  <c r="H7" i="60"/>
  <c r="E6" i="60"/>
  <c r="E4" i="60"/>
  <c r="E37" i="60"/>
  <c r="I6" i="60"/>
  <c r="I4" i="60"/>
  <c r="I37" i="60"/>
  <c r="N11" i="60"/>
  <c r="N7" i="60"/>
  <c r="D37" i="60"/>
  <c r="H21" i="60"/>
  <c r="E20" i="60"/>
  <c r="H15" i="60"/>
  <c r="P15" i="60"/>
  <c r="N21" i="60"/>
  <c r="N20" i="60"/>
  <c r="M6" i="60"/>
  <c r="M4" i="60"/>
  <c r="M37" i="60"/>
  <c r="M36" i="59"/>
  <c r="L36" i="59"/>
  <c r="K36" i="59"/>
  <c r="J36" i="59"/>
  <c r="I36" i="59"/>
  <c r="G36" i="59"/>
  <c r="F36" i="59"/>
  <c r="E36" i="59"/>
  <c r="H36" i="59"/>
  <c r="P36" i="59"/>
  <c r="M35" i="59"/>
  <c r="L35" i="59"/>
  <c r="K35" i="59"/>
  <c r="J35" i="59"/>
  <c r="I35" i="59"/>
  <c r="N35" i="59"/>
  <c r="G35" i="59"/>
  <c r="F35" i="59"/>
  <c r="H35" i="59"/>
  <c r="P35" i="59"/>
  <c r="P33" i="59"/>
  <c r="E35" i="59"/>
  <c r="K34" i="59"/>
  <c r="K33" i="59"/>
  <c r="J34" i="59"/>
  <c r="O33" i="59"/>
  <c r="C33" i="59"/>
  <c r="M32" i="59"/>
  <c r="N32" i="59"/>
  <c r="L32" i="59"/>
  <c r="K32" i="59"/>
  <c r="J32" i="59"/>
  <c r="I32" i="59"/>
  <c r="G32" i="59"/>
  <c r="F32" i="59"/>
  <c r="E32" i="59"/>
  <c r="H32" i="59"/>
  <c r="P32" i="59"/>
  <c r="M31" i="59"/>
  <c r="L31" i="59"/>
  <c r="K31" i="59"/>
  <c r="J31" i="59"/>
  <c r="I31" i="59"/>
  <c r="N31" i="59"/>
  <c r="G31" i="59"/>
  <c r="F31" i="59"/>
  <c r="E31" i="59"/>
  <c r="H31" i="59"/>
  <c r="P31" i="59"/>
  <c r="M30" i="59"/>
  <c r="J30" i="59"/>
  <c r="I30" i="59"/>
  <c r="G30" i="59"/>
  <c r="F30" i="59"/>
  <c r="E30" i="59"/>
  <c r="H30" i="59"/>
  <c r="P30" i="59"/>
  <c r="L30" i="59"/>
  <c r="M29" i="59"/>
  <c r="L29" i="59"/>
  <c r="K29" i="59"/>
  <c r="J29" i="59"/>
  <c r="N29" i="59"/>
  <c r="I29" i="59"/>
  <c r="G29" i="59"/>
  <c r="F29" i="59"/>
  <c r="E29" i="59"/>
  <c r="H29" i="59"/>
  <c r="P29" i="59"/>
  <c r="N28" i="59"/>
  <c r="M28" i="59"/>
  <c r="L28" i="59"/>
  <c r="K28" i="59"/>
  <c r="J28" i="59"/>
  <c r="I28" i="59"/>
  <c r="G28" i="59"/>
  <c r="F28" i="59"/>
  <c r="H28" i="59"/>
  <c r="P28" i="59"/>
  <c r="E28" i="59"/>
  <c r="M27" i="59"/>
  <c r="L27" i="59"/>
  <c r="K27" i="59"/>
  <c r="J27" i="59"/>
  <c r="N27" i="59"/>
  <c r="I27" i="59"/>
  <c r="G27" i="59"/>
  <c r="F27" i="59"/>
  <c r="E27" i="59"/>
  <c r="H27" i="59"/>
  <c r="P27" i="59"/>
  <c r="N26" i="59"/>
  <c r="M26" i="59"/>
  <c r="L26" i="59"/>
  <c r="K26" i="59"/>
  <c r="J26" i="59"/>
  <c r="I26" i="59"/>
  <c r="G26" i="59"/>
  <c r="F26" i="59"/>
  <c r="E26" i="59"/>
  <c r="M25" i="59"/>
  <c r="L25" i="59"/>
  <c r="K25" i="59"/>
  <c r="J25" i="59"/>
  <c r="N25" i="59"/>
  <c r="I25" i="59"/>
  <c r="G25" i="59"/>
  <c r="F25" i="59"/>
  <c r="E25" i="59"/>
  <c r="H25" i="59"/>
  <c r="P25" i="59"/>
  <c r="K24" i="59"/>
  <c r="J24" i="59"/>
  <c r="I24" i="59"/>
  <c r="G24" i="59"/>
  <c r="F24" i="59"/>
  <c r="D24" i="59"/>
  <c r="M24" i="59"/>
  <c r="K23" i="59"/>
  <c r="D23" i="59"/>
  <c r="J23" i="59"/>
  <c r="K22" i="59"/>
  <c r="J22" i="59"/>
  <c r="I22" i="59"/>
  <c r="D22" i="59"/>
  <c r="G22" i="59"/>
  <c r="M21" i="59"/>
  <c r="J21" i="59"/>
  <c r="I21" i="59"/>
  <c r="G21" i="59"/>
  <c r="F21" i="59"/>
  <c r="E21" i="59"/>
  <c r="D21" i="59"/>
  <c r="L21" i="59"/>
  <c r="O20" i="59"/>
  <c r="D20" i="59"/>
  <c r="C20" i="59"/>
  <c r="M19" i="59"/>
  <c r="L19" i="59"/>
  <c r="K19" i="59"/>
  <c r="J19" i="59"/>
  <c r="I19" i="59"/>
  <c r="G19" i="59"/>
  <c r="F19" i="59"/>
  <c r="E19" i="59"/>
  <c r="H19" i="59"/>
  <c r="P19" i="59"/>
  <c r="M18" i="59"/>
  <c r="L18" i="59"/>
  <c r="K18" i="59"/>
  <c r="N18" i="59"/>
  <c r="J18" i="59"/>
  <c r="I18" i="59"/>
  <c r="G18" i="59"/>
  <c r="F18" i="59"/>
  <c r="E18" i="59"/>
  <c r="H18" i="59"/>
  <c r="P18" i="59"/>
  <c r="N17" i="59"/>
  <c r="M17" i="59"/>
  <c r="L17" i="59"/>
  <c r="K17" i="59"/>
  <c r="J17" i="59"/>
  <c r="I17" i="59"/>
  <c r="G17" i="59"/>
  <c r="F17" i="59"/>
  <c r="H17" i="59"/>
  <c r="P17" i="59"/>
  <c r="E17" i="59"/>
  <c r="M16" i="59"/>
  <c r="L16" i="59"/>
  <c r="K16" i="59"/>
  <c r="J16" i="59"/>
  <c r="I16" i="59"/>
  <c r="N16" i="59"/>
  <c r="G16" i="59"/>
  <c r="F16" i="59"/>
  <c r="E16" i="59"/>
  <c r="H16" i="59"/>
  <c r="P16" i="59"/>
  <c r="K15" i="59"/>
  <c r="M14" i="59"/>
  <c r="L14" i="59"/>
  <c r="K14" i="59"/>
  <c r="J14" i="59"/>
  <c r="I14" i="59"/>
  <c r="N14" i="59"/>
  <c r="H14" i="59"/>
  <c r="P14" i="59"/>
  <c r="G14" i="59"/>
  <c r="F14" i="59"/>
  <c r="E14" i="59"/>
  <c r="M13" i="59"/>
  <c r="L13" i="59"/>
  <c r="K13" i="59"/>
  <c r="J13" i="59"/>
  <c r="I13" i="59"/>
  <c r="G13" i="59"/>
  <c r="F13" i="59"/>
  <c r="E13" i="59"/>
  <c r="H13" i="59"/>
  <c r="P13" i="59"/>
  <c r="J12" i="59"/>
  <c r="N12" i="59"/>
  <c r="K11" i="59"/>
  <c r="J11" i="59"/>
  <c r="I11" i="59"/>
  <c r="D11" i="59"/>
  <c r="G11" i="59"/>
  <c r="M10" i="59"/>
  <c r="L10" i="59"/>
  <c r="N10" i="59"/>
  <c r="K10" i="59"/>
  <c r="J10" i="59"/>
  <c r="I10" i="59"/>
  <c r="G10" i="59"/>
  <c r="F10" i="59"/>
  <c r="E10" i="59"/>
  <c r="H10" i="59"/>
  <c r="L9" i="59"/>
  <c r="K9" i="59"/>
  <c r="J9" i="59"/>
  <c r="I9" i="59"/>
  <c r="D9" i="59"/>
  <c r="G9" i="59"/>
  <c r="M8" i="59"/>
  <c r="N8" i="59"/>
  <c r="L8" i="59"/>
  <c r="K8" i="59"/>
  <c r="J8" i="59"/>
  <c r="I8" i="59"/>
  <c r="G8" i="59"/>
  <c r="F8" i="59"/>
  <c r="E8" i="59"/>
  <c r="H8" i="59"/>
  <c r="P8" i="59"/>
  <c r="K7" i="59"/>
  <c r="K6" i="59"/>
  <c r="J7" i="59"/>
  <c r="J6" i="59"/>
  <c r="I7" i="59"/>
  <c r="D7" i="59"/>
  <c r="F7" i="59"/>
  <c r="C6" i="59"/>
  <c r="C4" i="59"/>
  <c r="O6" i="59"/>
  <c r="O4" i="59"/>
  <c r="M5" i="59"/>
  <c r="L5" i="59"/>
  <c r="K5" i="59"/>
  <c r="J5" i="59"/>
  <c r="I5" i="59"/>
  <c r="G5" i="59"/>
  <c r="F5" i="59"/>
  <c r="E5" i="59"/>
  <c r="N2" i="59"/>
  <c r="L1" i="59"/>
  <c r="H1" i="59"/>
  <c r="H37" i="61"/>
  <c r="P33" i="61"/>
  <c r="P37" i="61"/>
  <c r="P39" i="61"/>
  <c r="P33" i="60"/>
  <c r="P21" i="60"/>
  <c r="P20" i="60"/>
  <c r="H20" i="60"/>
  <c r="P7" i="60"/>
  <c r="P6" i="60"/>
  <c r="P4" i="60"/>
  <c r="H6" i="60"/>
  <c r="H4" i="60"/>
  <c r="H37" i="60"/>
  <c r="N6" i="60"/>
  <c r="N4" i="60"/>
  <c r="N37" i="60"/>
  <c r="N19" i="59"/>
  <c r="N13" i="59"/>
  <c r="H26" i="59"/>
  <c r="P26" i="59"/>
  <c r="P20" i="59"/>
  <c r="J33" i="59"/>
  <c r="N36" i="59"/>
  <c r="O37" i="59"/>
  <c r="C37" i="59"/>
  <c r="J20" i="59"/>
  <c r="N9" i="59"/>
  <c r="F6" i="59"/>
  <c r="N7" i="59"/>
  <c r="N6" i="59"/>
  <c r="E20" i="59"/>
  <c r="K4" i="59"/>
  <c r="P10" i="59"/>
  <c r="L4" i="59"/>
  <c r="G20" i="59"/>
  <c r="M15" i="59"/>
  <c r="L34" i="59"/>
  <c r="L33" i="59"/>
  <c r="I6" i="59"/>
  <c r="E23" i="59"/>
  <c r="H21" i="59"/>
  <c r="L22" i="59"/>
  <c r="N22" i="59"/>
  <c r="G23" i="59"/>
  <c r="D33" i="59"/>
  <c r="G34" i="59"/>
  <c r="G33" i="59"/>
  <c r="L15" i="59"/>
  <c r="N5" i="59"/>
  <c r="E34" i="59"/>
  <c r="M34" i="59"/>
  <c r="M33" i="59"/>
  <c r="L7" i="59"/>
  <c r="L6" i="59"/>
  <c r="F23" i="59"/>
  <c r="F34" i="59"/>
  <c r="F33" i="59"/>
  <c r="H5" i="59"/>
  <c r="E7" i="59"/>
  <c r="M7" i="59"/>
  <c r="L11" i="59"/>
  <c r="N11" i="59"/>
  <c r="E9" i="59"/>
  <c r="H9" i="59"/>
  <c r="P9" i="59"/>
  <c r="M11" i="59"/>
  <c r="I15" i="59"/>
  <c r="E22" i="59"/>
  <c r="H22" i="59"/>
  <c r="P22" i="59"/>
  <c r="G7" i="59"/>
  <c r="G6" i="59"/>
  <c r="F9" i="59"/>
  <c r="F11" i="59"/>
  <c r="J15" i="59"/>
  <c r="J4" i="59"/>
  <c r="K21" i="59"/>
  <c r="F22" i="59"/>
  <c r="F20" i="59"/>
  <c r="I23" i="59"/>
  <c r="N23" i="59"/>
  <c r="L24" i="59"/>
  <c r="N24" i="59"/>
  <c r="K30" i="59"/>
  <c r="N30" i="59"/>
  <c r="I34" i="59"/>
  <c r="E15" i="59"/>
  <c r="L23" i="59"/>
  <c r="F15" i="59"/>
  <c r="M23" i="59"/>
  <c r="M20" i="59"/>
  <c r="G15" i="59"/>
  <c r="D6" i="59"/>
  <c r="D4" i="59"/>
  <c r="D37" i="59"/>
  <c r="M9" i="59"/>
  <c r="E11" i="59"/>
  <c r="H11" i="59"/>
  <c r="P11" i="59"/>
  <c r="M22" i="59"/>
  <c r="E24" i="59"/>
  <c r="H24" i="59"/>
  <c r="P24" i="59"/>
  <c r="C34" i="58"/>
  <c r="P37" i="60"/>
  <c r="F4" i="59"/>
  <c r="F37" i="59"/>
  <c r="G4" i="59"/>
  <c r="G37" i="59"/>
  <c r="J37" i="59"/>
  <c r="I20" i="59"/>
  <c r="H15" i="59"/>
  <c r="P15" i="59"/>
  <c r="P4" i="59"/>
  <c r="P37" i="59"/>
  <c r="H34" i="59"/>
  <c r="E33" i="59"/>
  <c r="H23" i="59"/>
  <c r="P23" i="59"/>
  <c r="N15" i="59"/>
  <c r="N4" i="59"/>
  <c r="H20" i="59"/>
  <c r="P21" i="59"/>
  <c r="N34" i="59"/>
  <c r="N33" i="59"/>
  <c r="I33" i="59"/>
  <c r="M6" i="59"/>
  <c r="M4" i="59"/>
  <c r="M37" i="59"/>
  <c r="I4" i="59"/>
  <c r="I37" i="59"/>
  <c r="P5" i="59"/>
  <c r="L20" i="59"/>
  <c r="L37" i="59"/>
  <c r="N21" i="59"/>
  <c r="N20" i="59"/>
  <c r="K20" i="59"/>
  <c r="H7" i="59"/>
  <c r="E6" i="59"/>
  <c r="E4" i="59"/>
  <c r="K37" i="59"/>
  <c r="B23" i="58"/>
  <c r="B20" i="58"/>
  <c r="B24" i="58"/>
  <c r="B26" i="58"/>
  <c r="B25" i="58"/>
  <c r="C30" i="58"/>
  <c r="B32" i="58"/>
  <c r="B31" i="58"/>
  <c r="B30" i="58"/>
  <c r="B29" i="58"/>
  <c r="B28" i="58"/>
  <c r="B27" i="58"/>
  <c r="B22" i="58"/>
  <c r="B21" i="58"/>
  <c r="B10" i="58"/>
  <c r="B9" i="58"/>
  <c r="B8" i="58"/>
  <c r="B7" i="58"/>
  <c r="N37" i="59"/>
  <c r="E37" i="59"/>
  <c r="H6" i="59"/>
  <c r="H4" i="59"/>
  <c r="P7" i="59"/>
  <c r="P6" i="59"/>
  <c r="H33" i="59"/>
  <c r="P34" i="59"/>
  <c r="L36" i="58"/>
  <c r="K36" i="58"/>
  <c r="J36" i="58"/>
  <c r="I36" i="58"/>
  <c r="H36" i="58"/>
  <c r="F36" i="58"/>
  <c r="E36" i="58"/>
  <c r="G36" i="58"/>
  <c r="O36" i="58"/>
  <c r="D36" i="58"/>
  <c r="L35" i="58"/>
  <c r="K35" i="58"/>
  <c r="J35" i="58"/>
  <c r="I35" i="58"/>
  <c r="H35" i="58"/>
  <c r="F35" i="58"/>
  <c r="E35" i="58"/>
  <c r="D35" i="58"/>
  <c r="L34" i="58"/>
  <c r="L33" i="58"/>
  <c r="K34" i="58"/>
  <c r="K33" i="58"/>
  <c r="J34" i="58"/>
  <c r="I34" i="58"/>
  <c r="H34" i="58"/>
  <c r="F34" i="58"/>
  <c r="E34" i="58"/>
  <c r="D34" i="58"/>
  <c r="D33" i="58"/>
  <c r="N33" i="58"/>
  <c r="C33" i="58"/>
  <c r="B33" i="58"/>
  <c r="L32" i="58"/>
  <c r="M32" i="58"/>
  <c r="K32" i="58"/>
  <c r="J32" i="58"/>
  <c r="I32" i="58"/>
  <c r="H32" i="58"/>
  <c r="F32" i="58"/>
  <c r="E32" i="58"/>
  <c r="D32" i="58"/>
  <c r="G32" i="58"/>
  <c r="O32" i="58"/>
  <c r="L31" i="58"/>
  <c r="K31" i="58"/>
  <c r="J31" i="58"/>
  <c r="I31" i="58"/>
  <c r="H31" i="58"/>
  <c r="M31" i="58"/>
  <c r="F31" i="58"/>
  <c r="E31" i="58"/>
  <c r="D31" i="58"/>
  <c r="G31" i="58"/>
  <c r="O31" i="58"/>
  <c r="L30" i="58"/>
  <c r="I30" i="58"/>
  <c r="H30" i="58"/>
  <c r="F30" i="58"/>
  <c r="E30" i="58"/>
  <c r="D30" i="58"/>
  <c r="K30" i="58"/>
  <c r="L29" i="58"/>
  <c r="K29" i="58"/>
  <c r="J29" i="58"/>
  <c r="I29" i="58"/>
  <c r="H29" i="58"/>
  <c r="F29" i="58"/>
  <c r="E29" i="58"/>
  <c r="D29" i="58"/>
  <c r="G29" i="58"/>
  <c r="O29" i="58"/>
  <c r="L28" i="58"/>
  <c r="M28" i="58"/>
  <c r="K28" i="58"/>
  <c r="J28" i="58"/>
  <c r="I28" i="58"/>
  <c r="H28" i="58"/>
  <c r="F28" i="58"/>
  <c r="E28" i="58"/>
  <c r="D28" i="58"/>
  <c r="L27" i="58"/>
  <c r="K27" i="58"/>
  <c r="J27" i="58"/>
  <c r="I27" i="58"/>
  <c r="H27" i="58"/>
  <c r="F27" i="58"/>
  <c r="E27" i="58"/>
  <c r="D27" i="58"/>
  <c r="G27" i="58"/>
  <c r="M26" i="58"/>
  <c r="L26" i="58"/>
  <c r="K26" i="58"/>
  <c r="J26" i="58"/>
  <c r="I26" i="58"/>
  <c r="H26" i="58"/>
  <c r="F26" i="58"/>
  <c r="E26" i="58"/>
  <c r="D26" i="58"/>
  <c r="L25" i="58"/>
  <c r="K25" i="58"/>
  <c r="J25" i="58"/>
  <c r="I25" i="58"/>
  <c r="H25" i="58"/>
  <c r="F25" i="58"/>
  <c r="E25" i="58"/>
  <c r="D25" i="58"/>
  <c r="G25" i="58"/>
  <c r="O25" i="58"/>
  <c r="L24" i="58"/>
  <c r="I24" i="58"/>
  <c r="H24" i="58"/>
  <c r="F24" i="58"/>
  <c r="E24" i="58"/>
  <c r="D24" i="58"/>
  <c r="G24" i="58"/>
  <c r="O24" i="58"/>
  <c r="C24" i="58"/>
  <c r="K24" i="58"/>
  <c r="J23" i="58"/>
  <c r="I23" i="58"/>
  <c r="C23" i="58"/>
  <c r="H23" i="58"/>
  <c r="J22" i="58"/>
  <c r="I22" i="58"/>
  <c r="H22" i="58"/>
  <c r="F22" i="58"/>
  <c r="C22" i="58"/>
  <c r="E22" i="58"/>
  <c r="C21" i="58"/>
  <c r="J21" i="58"/>
  <c r="N20" i="58"/>
  <c r="L19" i="58"/>
  <c r="K19" i="58"/>
  <c r="J19" i="58"/>
  <c r="I19" i="58"/>
  <c r="H19" i="58"/>
  <c r="M19" i="58"/>
  <c r="F19" i="58"/>
  <c r="E19" i="58"/>
  <c r="D19" i="58"/>
  <c r="L18" i="58"/>
  <c r="K18" i="58"/>
  <c r="J18" i="58"/>
  <c r="I18" i="58"/>
  <c r="H18" i="58"/>
  <c r="F18" i="58"/>
  <c r="E18" i="58"/>
  <c r="D18" i="58"/>
  <c r="L17" i="58"/>
  <c r="K17" i="58"/>
  <c r="J17" i="58"/>
  <c r="I17" i="58"/>
  <c r="H17" i="58"/>
  <c r="F17" i="58"/>
  <c r="E17" i="58"/>
  <c r="D17" i="58"/>
  <c r="L16" i="58"/>
  <c r="K16" i="58"/>
  <c r="J16" i="58"/>
  <c r="I16" i="58"/>
  <c r="H16" i="58"/>
  <c r="M16" i="58"/>
  <c r="F16" i="58"/>
  <c r="G16" i="58"/>
  <c r="O16" i="58"/>
  <c r="E16" i="58"/>
  <c r="D16" i="58"/>
  <c r="J15" i="58"/>
  <c r="C15" i="58"/>
  <c r="I15" i="58"/>
  <c r="L14" i="58"/>
  <c r="K14" i="58"/>
  <c r="J14" i="58"/>
  <c r="I14" i="58"/>
  <c r="H14" i="58"/>
  <c r="F14" i="58"/>
  <c r="G14" i="58"/>
  <c r="O14" i="58"/>
  <c r="E14" i="58"/>
  <c r="D14" i="58"/>
  <c r="L13" i="58"/>
  <c r="K13" i="58"/>
  <c r="J13" i="58"/>
  <c r="I13" i="58"/>
  <c r="M13" i="58"/>
  <c r="H13" i="58"/>
  <c r="F13" i="58"/>
  <c r="E13" i="58"/>
  <c r="D13" i="58"/>
  <c r="I12" i="58"/>
  <c r="M12" i="58"/>
  <c r="J11" i="58"/>
  <c r="I11" i="58"/>
  <c r="H11" i="58"/>
  <c r="F11" i="58"/>
  <c r="C11" i="58"/>
  <c r="E11" i="58"/>
  <c r="L10" i="58"/>
  <c r="K10" i="58"/>
  <c r="J10" i="58"/>
  <c r="I10" i="58"/>
  <c r="H10" i="58"/>
  <c r="F10" i="58"/>
  <c r="E10" i="58"/>
  <c r="D10" i="58"/>
  <c r="J9" i="58"/>
  <c r="I9" i="58"/>
  <c r="H9" i="58"/>
  <c r="F9" i="58"/>
  <c r="C9" i="58"/>
  <c r="E9" i="58"/>
  <c r="L8" i="58"/>
  <c r="K8" i="58"/>
  <c r="J8" i="58"/>
  <c r="I8" i="58"/>
  <c r="H8" i="58"/>
  <c r="F8" i="58"/>
  <c r="E8" i="58"/>
  <c r="D8" i="58"/>
  <c r="G8" i="58"/>
  <c r="J7" i="58"/>
  <c r="I7" i="58"/>
  <c r="H7" i="58"/>
  <c r="C7" i="58"/>
  <c r="F7" i="58"/>
  <c r="N6" i="58"/>
  <c r="N4" i="58"/>
  <c r="L5" i="58"/>
  <c r="K5" i="58"/>
  <c r="J5" i="58"/>
  <c r="I5" i="58"/>
  <c r="H5" i="58"/>
  <c r="F5" i="58"/>
  <c r="E5" i="58"/>
  <c r="D5" i="58"/>
  <c r="M2" i="58"/>
  <c r="K1" i="58"/>
  <c r="G1" i="58"/>
  <c r="H37" i="59"/>
  <c r="M36" i="58"/>
  <c r="H33" i="58"/>
  <c r="F33" i="58"/>
  <c r="E33" i="58"/>
  <c r="G35" i="58"/>
  <c r="O35" i="58"/>
  <c r="G19" i="58"/>
  <c r="O19" i="58"/>
  <c r="G26" i="58"/>
  <c r="O26" i="58"/>
  <c r="I33" i="58"/>
  <c r="J33" i="58"/>
  <c r="F6" i="58"/>
  <c r="F4" i="58"/>
  <c r="G13" i="58"/>
  <c r="O13" i="58"/>
  <c r="G30" i="58"/>
  <c r="O30" i="58"/>
  <c r="M27" i="58"/>
  <c r="G28" i="58"/>
  <c r="O28" i="58"/>
  <c r="M8" i="58"/>
  <c r="G10" i="58"/>
  <c r="O10" i="58"/>
  <c r="M17" i="58"/>
  <c r="M14" i="58"/>
  <c r="G17" i="58"/>
  <c r="O17" i="58"/>
  <c r="M29" i="58"/>
  <c r="M25" i="58"/>
  <c r="N37" i="58"/>
  <c r="G18" i="58"/>
  <c r="O18" i="58"/>
  <c r="M18" i="58"/>
  <c r="I6" i="58"/>
  <c r="I4" i="58"/>
  <c r="H6" i="58"/>
  <c r="J6" i="58"/>
  <c r="M10" i="58"/>
  <c r="J4" i="58"/>
  <c r="O8" i="58"/>
  <c r="O27" i="58"/>
  <c r="K21" i="58"/>
  <c r="D15" i="58"/>
  <c r="K23" i="58"/>
  <c r="M34" i="58"/>
  <c r="G34" i="58"/>
  <c r="G5" i="58"/>
  <c r="B6" i="58"/>
  <c r="B4" i="58"/>
  <c r="B37" i="58"/>
  <c r="D7" i="58"/>
  <c r="L7" i="58"/>
  <c r="K9" i="58"/>
  <c r="M9" i="58"/>
  <c r="K11" i="58"/>
  <c r="H21" i="58"/>
  <c r="K22" i="58"/>
  <c r="F23" i="58"/>
  <c r="M35" i="58"/>
  <c r="K15" i="58"/>
  <c r="D21" i="58"/>
  <c r="C20" i="58"/>
  <c r="E21" i="58"/>
  <c r="E20" i="58"/>
  <c r="M5" i="58"/>
  <c r="E15" i="58"/>
  <c r="L23" i="58"/>
  <c r="C6" i="58"/>
  <c r="C4" i="58"/>
  <c r="E7" i="58"/>
  <c r="E6" i="58"/>
  <c r="E4" i="58"/>
  <c r="D9" i="58"/>
  <c r="G9" i="58"/>
  <c r="O9" i="58"/>
  <c r="L9" i="58"/>
  <c r="D11" i="58"/>
  <c r="G11" i="58"/>
  <c r="O11" i="58"/>
  <c r="L11" i="58"/>
  <c r="M11" i="58"/>
  <c r="H15" i="58"/>
  <c r="I21" i="58"/>
  <c r="I20" i="58"/>
  <c r="D22" i="58"/>
  <c r="G22" i="58"/>
  <c r="O22" i="58"/>
  <c r="L22" i="58"/>
  <c r="J24" i="58"/>
  <c r="M24" i="58"/>
  <c r="J30" i="58"/>
  <c r="M30" i="58"/>
  <c r="L21" i="58"/>
  <c r="L15" i="58"/>
  <c r="F21" i="58"/>
  <c r="D23" i="58"/>
  <c r="K7" i="58"/>
  <c r="F15" i="58"/>
  <c r="E23" i="58"/>
  <c r="O37" i="57"/>
  <c r="L6" i="58"/>
  <c r="L4" i="58"/>
  <c r="K6" i="58"/>
  <c r="K4" i="58"/>
  <c r="G23" i="58"/>
  <c r="O23" i="58"/>
  <c r="M23" i="58"/>
  <c r="F20" i="58"/>
  <c r="M15" i="58"/>
  <c r="M22" i="58"/>
  <c r="F37" i="58"/>
  <c r="C37" i="58"/>
  <c r="E37" i="58"/>
  <c r="I37" i="58"/>
  <c r="O34" i="58"/>
  <c r="O33" i="58"/>
  <c r="G33" i="58"/>
  <c r="H20" i="58"/>
  <c r="M21" i="58"/>
  <c r="M33" i="58"/>
  <c r="G15" i="58"/>
  <c r="O15" i="58"/>
  <c r="H4" i="58"/>
  <c r="L20" i="58"/>
  <c r="L37" i="58"/>
  <c r="M7" i="58"/>
  <c r="M6" i="58"/>
  <c r="M4" i="58"/>
  <c r="G21" i="58"/>
  <c r="D20" i="58"/>
  <c r="K20" i="58"/>
  <c r="O5" i="58"/>
  <c r="D6" i="58"/>
  <c r="D4" i="58"/>
  <c r="G7" i="58"/>
  <c r="J20" i="58"/>
  <c r="J37" i="58"/>
  <c r="C30" i="57"/>
  <c r="C24" i="57"/>
  <c r="C23" i="57"/>
  <c r="C22" i="57"/>
  <c r="C21" i="57"/>
  <c r="K37" i="58"/>
  <c r="M20" i="58"/>
  <c r="M37" i="58"/>
  <c r="G6" i="58"/>
  <c r="G4" i="58"/>
  <c r="O7" i="58"/>
  <c r="O6" i="58"/>
  <c r="O4" i="58"/>
  <c r="H37" i="58"/>
  <c r="G20" i="58"/>
  <c r="O21" i="58"/>
  <c r="O20" i="58"/>
  <c r="D37" i="58"/>
  <c r="B21" i="57"/>
  <c r="B22" i="57"/>
  <c r="B23" i="57"/>
  <c r="B24" i="57"/>
  <c r="B26" i="57"/>
  <c r="B27" i="57"/>
  <c r="B28" i="57"/>
  <c r="B29" i="57"/>
  <c r="B30" i="57"/>
  <c r="B31" i="57"/>
  <c r="B32" i="57"/>
  <c r="B7" i="57"/>
  <c r="C15" i="57"/>
  <c r="C11" i="57"/>
  <c r="B10" i="57"/>
  <c r="B9" i="57"/>
  <c r="B8" i="57"/>
  <c r="O37" i="58"/>
  <c r="G37" i="58"/>
  <c r="L36" i="57"/>
  <c r="K36" i="57"/>
  <c r="J36" i="57"/>
  <c r="I36" i="57"/>
  <c r="H36" i="57"/>
  <c r="M36" i="57"/>
  <c r="F36" i="57"/>
  <c r="E36" i="57"/>
  <c r="D36" i="57"/>
  <c r="L35" i="57"/>
  <c r="K35" i="57"/>
  <c r="J35" i="57"/>
  <c r="I35" i="57"/>
  <c r="H35" i="57"/>
  <c r="F35" i="57"/>
  <c r="E35" i="57"/>
  <c r="D35" i="57"/>
  <c r="L34" i="57"/>
  <c r="L33" i="57"/>
  <c r="K34" i="57"/>
  <c r="K33" i="57"/>
  <c r="J34" i="57"/>
  <c r="I34" i="57"/>
  <c r="H34" i="57"/>
  <c r="F34" i="57"/>
  <c r="F33" i="57"/>
  <c r="E34" i="57"/>
  <c r="D34" i="57"/>
  <c r="D33" i="57"/>
  <c r="N33" i="57"/>
  <c r="C33" i="57"/>
  <c r="B33" i="57"/>
  <c r="L32" i="57"/>
  <c r="K32" i="57"/>
  <c r="J32" i="57"/>
  <c r="I32" i="57"/>
  <c r="H32" i="57"/>
  <c r="F32" i="57"/>
  <c r="E32" i="57"/>
  <c r="D32" i="57"/>
  <c r="L31" i="57"/>
  <c r="K31" i="57"/>
  <c r="J31" i="57"/>
  <c r="I31" i="57"/>
  <c r="H31" i="57"/>
  <c r="F31" i="57"/>
  <c r="E31" i="57"/>
  <c r="D31" i="57"/>
  <c r="G31" i="57"/>
  <c r="O31" i="57"/>
  <c r="L30" i="57"/>
  <c r="K30" i="57"/>
  <c r="J30" i="57"/>
  <c r="I30" i="57"/>
  <c r="H30" i="57"/>
  <c r="F30" i="57"/>
  <c r="E30" i="57"/>
  <c r="D30" i="57"/>
  <c r="G30" i="57"/>
  <c r="O30" i="57"/>
  <c r="L29" i="57"/>
  <c r="K29" i="57"/>
  <c r="J29" i="57"/>
  <c r="I29" i="57"/>
  <c r="H29" i="57"/>
  <c r="F29" i="57"/>
  <c r="E29" i="57"/>
  <c r="D29" i="57"/>
  <c r="L28" i="57"/>
  <c r="K28" i="57"/>
  <c r="J28" i="57"/>
  <c r="I28" i="57"/>
  <c r="H28" i="57"/>
  <c r="F28" i="57"/>
  <c r="E28" i="57"/>
  <c r="D28" i="57"/>
  <c r="L27" i="57"/>
  <c r="K27" i="57"/>
  <c r="J27" i="57"/>
  <c r="I27" i="57"/>
  <c r="H27" i="57"/>
  <c r="F27" i="57"/>
  <c r="E27" i="57"/>
  <c r="D27" i="57"/>
  <c r="L26" i="57"/>
  <c r="K26" i="57"/>
  <c r="J26" i="57"/>
  <c r="I26" i="57"/>
  <c r="H26" i="57"/>
  <c r="F26" i="57"/>
  <c r="E26" i="57"/>
  <c r="D26" i="57"/>
  <c r="L25" i="57"/>
  <c r="K25" i="57"/>
  <c r="J25" i="57"/>
  <c r="I25" i="57"/>
  <c r="H25" i="57"/>
  <c r="F25" i="57"/>
  <c r="E25" i="57"/>
  <c r="D25" i="57"/>
  <c r="L24" i="57"/>
  <c r="K24" i="57"/>
  <c r="J24" i="57"/>
  <c r="I24" i="57"/>
  <c r="H24" i="57"/>
  <c r="F24" i="57"/>
  <c r="E24" i="57"/>
  <c r="D24" i="57"/>
  <c r="L23" i="57"/>
  <c r="K23" i="57"/>
  <c r="J23" i="57"/>
  <c r="I23" i="57"/>
  <c r="H23" i="57"/>
  <c r="F23" i="57"/>
  <c r="E23" i="57"/>
  <c r="D23" i="57"/>
  <c r="L22" i="57"/>
  <c r="K22" i="57"/>
  <c r="J22" i="57"/>
  <c r="I22" i="57"/>
  <c r="H22" i="57"/>
  <c r="F22" i="57"/>
  <c r="E22" i="57"/>
  <c r="D22" i="57"/>
  <c r="L21" i="57"/>
  <c r="K21" i="57"/>
  <c r="J21" i="57"/>
  <c r="I21" i="57"/>
  <c r="H21" i="57"/>
  <c r="F21" i="57"/>
  <c r="F20" i="57"/>
  <c r="E21" i="57"/>
  <c r="D21" i="57"/>
  <c r="N20" i="57"/>
  <c r="C20" i="57"/>
  <c r="B20" i="57"/>
  <c r="L19" i="57"/>
  <c r="K19" i="57"/>
  <c r="J19" i="57"/>
  <c r="I19" i="57"/>
  <c r="H19" i="57"/>
  <c r="F19" i="57"/>
  <c r="E19" i="57"/>
  <c r="D19" i="57"/>
  <c r="L18" i="57"/>
  <c r="K18" i="57"/>
  <c r="J18" i="57"/>
  <c r="I18" i="57"/>
  <c r="H18" i="57"/>
  <c r="F18" i="57"/>
  <c r="E18" i="57"/>
  <c r="D18" i="57"/>
  <c r="L17" i="57"/>
  <c r="K17" i="57"/>
  <c r="J17" i="57"/>
  <c r="I17" i="57"/>
  <c r="H17" i="57"/>
  <c r="F17" i="57"/>
  <c r="E17" i="57"/>
  <c r="D17" i="57"/>
  <c r="L16" i="57"/>
  <c r="K16" i="57"/>
  <c r="J16" i="57"/>
  <c r="I16" i="57"/>
  <c r="H16" i="57"/>
  <c r="F16" i="57"/>
  <c r="E16" i="57"/>
  <c r="D16" i="57"/>
  <c r="G16" i="57"/>
  <c r="O16" i="57"/>
  <c r="J15" i="57"/>
  <c r="I15" i="57"/>
  <c r="L14" i="57"/>
  <c r="K14" i="57"/>
  <c r="J14" i="57"/>
  <c r="I14" i="57"/>
  <c r="H14" i="57"/>
  <c r="F14" i="57"/>
  <c r="E14" i="57"/>
  <c r="D14" i="57"/>
  <c r="L13" i="57"/>
  <c r="K13" i="57"/>
  <c r="J13" i="57"/>
  <c r="I13" i="57"/>
  <c r="H13" i="57"/>
  <c r="F13" i="57"/>
  <c r="E13" i="57"/>
  <c r="D13" i="57"/>
  <c r="I12" i="57"/>
  <c r="M12" i="57"/>
  <c r="H11" i="57"/>
  <c r="F11" i="57"/>
  <c r="E11" i="57"/>
  <c r="L10" i="57"/>
  <c r="K10" i="57"/>
  <c r="J10" i="57"/>
  <c r="I10" i="57"/>
  <c r="H10" i="57"/>
  <c r="F10" i="57"/>
  <c r="E10" i="57"/>
  <c r="D10" i="57"/>
  <c r="C9" i="57"/>
  <c r="L9" i="57"/>
  <c r="L8" i="57"/>
  <c r="K8" i="57"/>
  <c r="J8" i="57"/>
  <c r="I8" i="57"/>
  <c r="H8" i="57"/>
  <c r="F8" i="57"/>
  <c r="E8" i="57"/>
  <c r="D8" i="57"/>
  <c r="C7" i="57"/>
  <c r="K7" i="57"/>
  <c r="N6" i="57"/>
  <c r="N4" i="57"/>
  <c r="B6" i="57"/>
  <c r="B4" i="57"/>
  <c r="L5" i="57"/>
  <c r="K5" i="57"/>
  <c r="J5" i="57"/>
  <c r="I5" i="57"/>
  <c r="H5" i="57"/>
  <c r="F5" i="57"/>
  <c r="E5" i="57"/>
  <c r="D5" i="57"/>
  <c r="M2" i="57"/>
  <c r="K1" i="57"/>
  <c r="G1" i="57"/>
  <c r="M29" i="57"/>
  <c r="M27" i="57"/>
  <c r="E7" i="57"/>
  <c r="M16" i="57"/>
  <c r="M19" i="57"/>
  <c r="G32" i="57"/>
  <c r="O32" i="57"/>
  <c r="C6" i="57"/>
  <c r="C4" i="57"/>
  <c r="C37" i="57"/>
  <c r="E9" i="57"/>
  <c r="E6" i="57"/>
  <c r="E4" i="57"/>
  <c r="E37" i="57"/>
  <c r="G36" i="57"/>
  <c r="O36" i="57"/>
  <c r="G19" i="57"/>
  <c r="O19" i="57"/>
  <c r="I7" i="57"/>
  <c r="G29" i="57"/>
  <c r="O29" i="57"/>
  <c r="G35" i="57"/>
  <c r="O35" i="57"/>
  <c r="J9" i="57"/>
  <c r="D7" i="57"/>
  <c r="M21" i="57"/>
  <c r="L7" i="57"/>
  <c r="G13" i="57"/>
  <c r="O13" i="57"/>
  <c r="L20" i="57"/>
  <c r="G8" i="57"/>
  <c r="O8" i="57"/>
  <c r="M18" i="57"/>
  <c r="G22" i="57"/>
  <c r="O22" i="57"/>
  <c r="G23" i="57"/>
  <c r="O23" i="57"/>
  <c r="G24" i="57"/>
  <c r="O24" i="57"/>
  <c r="G27" i="57"/>
  <c r="O27" i="57"/>
  <c r="G28" i="57"/>
  <c r="O28" i="57"/>
  <c r="M5" i="57"/>
  <c r="F9" i="57"/>
  <c r="M10" i="57"/>
  <c r="G26" i="57"/>
  <c r="O26" i="57"/>
  <c r="G7" i="57"/>
  <c r="M8" i="57"/>
  <c r="H9" i="57"/>
  <c r="G14" i="57"/>
  <c r="O14" i="57"/>
  <c r="M17" i="57"/>
  <c r="M26" i="57"/>
  <c r="M28" i="57"/>
  <c r="M32" i="57"/>
  <c r="M13" i="57"/>
  <c r="M14" i="57"/>
  <c r="G17" i="57"/>
  <c r="O17" i="57"/>
  <c r="G18" i="57"/>
  <c r="O18" i="57"/>
  <c r="F7" i="57"/>
  <c r="F6" i="57"/>
  <c r="G10" i="57"/>
  <c r="O10" i="57"/>
  <c r="M31" i="57"/>
  <c r="E33" i="57"/>
  <c r="N37" i="57"/>
  <c r="G25" i="57"/>
  <c r="O25" i="57"/>
  <c r="M30" i="57"/>
  <c r="E20" i="57"/>
  <c r="I20" i="57"/>
  <c r="H20" i="57"/>
  <c r="M25" i="57"/>
  <c r="M24" i="57"/>
  <c r="M23" i="57"/>
  <c r="J20" i="57"/>
  <c r="K20" i="57"/>
  <c r="B37" i="57"/>
  <c r="H33" i="57"/>
  <c r="I33" i="57"/>
  <c r="J33" i="57"/>
  <c r="O7" i="57"/>
  <c r="L6" i="57"/>
  <c r="D15" i="57"/>
  <c r="G21" i="57"/>
  <c r="M34" i="57"/>
  <c r="I11" i="57"/>
  <c r="E15" i="57"/>
  <c r="D20" i="57"/>
  <c r="M22" i="57"/>
  <c r="K15" i="57"/>
  <c r="H7" i="57"/>
  <c r="I9" i="57"/>
  <c r="J11" i="57"/>
  <c r="F15" i="57"/>
  <c r="F4" i="57"/>
  <c r="F37" i="57"/>
  <c r="G34" i="57"/>
  <c r="G5" i="57"/>
  <c r="K11" i="57"/>
  <c r="M35" i="57"/>
  <c r="J7" i="57"/>
  <c r="K9" i="57"/>
  <c r="K6" i="57"/>
  <c r="D11" i="57"/>
  <c r="G11" i="57"/>
  <c r="O11" i="57"/>
  <c r="L11" i="57"/>
  <c r="H15" i="57"/>
  <c r="L15" i="57"/>
  <c r="D9" i="57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4" i="56"/>
  <c r="J6" i="57"/>
  <c r="J4" i="57"/>
  <c r="J37" i="57"/>
  <c r="G9" i="57"/>
  <c r="O9" i="57"/>
  <c r="D6" i="57"/>
  <c r="M20" i="57"/>
  <c r="M15" i="57"/>
  <c r="M11" i="57"/>
  <c r="K4" i="57"/>
  <c r="K37" i="57"/>
  <c r="L4" i="57"/>
  <c r="L37" i="57"/>
  <c r="D4" i="57"/>
  <c r="D37" i="57"/>
  <c r="O6" i="57"/>
  <c r="M9" i="57"/>
  <c r="I6" i="57"/>
  <c r="I4" i="57"/>
  <c r="I37" i="57"/>
  <c r="M33" i="57"/>
  <c r="G6" i="57"/>
  <c r="O5" i="57"/>
  <c r="G33" i="57"/>
  <c r="O34" i="57"/>
  <c r="H6" i="57"/>
  <c r="H4" i="57"/>
  <c r="H37" i="57"/>
  <c r="M7" i="57"/>
  <c r="M6" i="57"/>
  <c r="G20" i="57"/>
  <c r="O21" i="57"/>
  <c r="O20" i="57"/>
  <c r="G15" i="57"/>
  <c r="O15" i="57"/>
  <c r="B11" i="56"/>
  <c r="E11" i="53"/>
  <c r="M4" i="57"/>
  <c r="M37" i="57"/>
  <c r="O33" i="57"/>
  <c r="O4" i="57"/>
  <c r="G4" i="57"/>
  <c r="G37" i="57"/>
  <c r="C14" i="56"/>
  <c r="B1" i="56"/>
  <c r="C36" i="56"/>
  <c r="C1" i="56"/>
  <c r="N20" i="55"/>
  <c r="I33" i="55"/>
  <c r="C20" i="55"/>
  <c r="B20" i="55"/>
  <c r="D31" i="55"/>
  <c r="E31" i="55"/>
  <c r="F31" i="55"/>
  <c r="G31" i="55"/>
  <c r="O31" i="55"/>
  <c r="H31" i="55"/>
  <c r="I31" i="55"/>
  <c r="J31" i="55"/>
  <c r="K31" i="55"/>
  <c r="L31" i="55"/>
  <c r="D29" i="55"/>
  <c r="E29" i="55"/>
  <c r="F29" i="55"/>
  <c r="G29" i="55"/>
  <c r="O29" i="55"/>
  <c r="H29" i="55"/>
  <c r="I29" i="55"/>
  <c r="J29" i="55"/>
  <c r="K29" i="55"/>
  <c r="L29" i="55"/>
  <c r="D27" i="55"/>
  <c r="G27" i="55"/>
  <c r="O27" i="55"/>
  <c r="E27" i="55"/>
  <c r="F27" i="55"/>
  <c r="H27" i="55"/>
  <c r="I27" i="55"/>
  <c r="J27" i="55"/>
  <c r="K27" i="55"/>
  <c r="L27" i="55"/>
  <c r="M27" i="55"/>
  <c r="M29" i="55"/>
  <c r="M31" i="55"/>
  <c r="L36" i="55"/>
  <c r="K36" i="55"/>
  <c r="J36" i="55"/>
  <c r="I36" i="55"/>
  <c r="H36" i="55"/>
  <c r="M36" i="55"/>
  <c r="F36" i="55"/>
  <c r="E36" i="55"/>
  <c r="G36" i="55"/>
  <c r="O36" i="55"/>
  <c r="D36" i="55"/>
  <c r="L35" i="55"/>
  <c r="K35" i="55"/>
  <c r="J35" i="55"/>
  <c r="I35" i="55"/>
  <c r="H35" i="55"/>
  <c r="H33" i="55"/>
  <c r="F35" i="55"/>
  <c r="E35" i="55"/>
  <c r="D35" i="55"/>
  <c r="L34" i="55"/>
  <c r="K34" i="55"/>
  <c r="K33" i="55"/>
  <c r="J34" i="55"/>
  <c r="I34" i="55"/>
  <c r="H34" i="55"/>
  <c r="F34" i="55"/>
  <c r="F33" i="55"/>
  <c r="E34" i="55"/>
  <c r="D34" i="55"/>
  <c r="D33" i="55"/>
  <c r="N33" i="55"/>
  <c r="C33" i="55"/>
  <c r="B33" i="55"/>
  <c r="L30" i="55"/>
  <c r="K30" i="55"/>
  <c r="J30" i="55"/>
  <c r="I30" i="55"/>
  <c r="H30" i="55"/>
  <c r="F30" i="55"/>
  <c r="E30" i="55"/>
  <c r="D30" i="55"/>
  <c r="L28" i="55"/>
  <c r="K28" i="55"/>
  <c r="J28" i="55"/>
  <c r="I28" i="55"/>
  <c r="H28" i="55"/>
  <c r="F28" i="55"/>
  <c r="E28" i="55"/>
  <c r="D28" i="55"/>
  <c r="L32" i="55"/>
  <c r="K32" i="55"/>
  <c r="J32" i="55"/>
  <c r="I32" i="55"/>
  <c r="H32" i="55"/>
  <c r="F32" i="55"/>
  <c r="E32" i="55"/>
  <c r="D32" i="55"/>
  <c r="G32" i="55"/>
  <c r="O32" i="55"/>
  <c r="L26" i="55"/>
  <c r="K26" i="55"/>
  <c r="J26" i="55"/>
  <c r="I26" i="55"/>
  <c r="H26" i="55"/>
  <c r="F26" i="55"/>
  <c r="E26" i="55"/>
  <c r="D26" i="55"/>
  <c r="J25" i="55"/>
  <c r="I25" i="55"/>
  <c r="F25" i="55"/>
  <c r="L24" i="55"/>
  <c r="K24" i="55"/>
  <c r="J24" i="55"/>
  <c r="I24" i="55"/>
  <c r="H24" i="55"/>
  <c r="F24" i="55"/>
  <c r="E24" i="55"/>
  <c r="D24" i="55"/>
  <c r="L23" i="55"/>
  <c r="K23" i="55"/>
  <c r="J23" i="55"/>
  <c r="I23" i="55"/>
  <c r="H23" i="55"/>
  <c r="F23" i="55"/>
  <c r="E23" i="55"/>
  <c r="D23" i="55"/>
  <c r="G23" i="55"/>
  <c r="O23" i="55"/>
  <c r="L22" i="55"/>
  <c r="K22" i="55"/>
  <c r="J22" i="55"/>
  <c r="I22" i="55"/>
  <c r="H22" i="55"/>
  <c r="F22" i="55"/>
  <c r="E22" i="55"/>
  <c r="D22" i="55"/>
  <c r="L21" i="55"/>
  <c r="K21" i="55"/>
  <c r="J21" i="55"/>
  <c r="I21" i="55"/>
  <c r="H21" i="55"/>
  <c r="F21" i="55"/>
  <c r="E21" i="55"/>
  <c r="D21" i="55"/>
  <c r="L19" i="55"/>
  <c r="K19" i="55"/>
  <c r="J19" i="55"/>
  <c r="I19" i="55"/>
  <c r="H19" i="55"/>
  <c r="M19" i="55"/>
  <c r="F19" i="55"/>
  <c r="E19" i="55"/>
  <c r="D19" i="55"/>
  <c r="L18" i="55"/>
  <c r="K18" i="55"/>
  <c r="J18" i="55"/>
  <c r="I18" i="55"/>
  <c r="H18" i="55"/>
  <c r="F18" i="55"/>
  <c r="E18" i="55"/>
  <c r="D18" i="55"/>
  <c r="L17" i="55"/>
  <c r="K17" i="55"/>
  <c r="J17" i="55"/>
  <c r="I17" i="55"/>
  <c r="H17" i="55"/>
  <c r="F17" i="55"/>
  <c r="E17" i="55"/>
  <c r="D17" i="55"/>
  <c r="L16" i="55"/>
  <c r="K16" i="55"/>
  <c r="J16" i="55"/>
  <c r="I16" i="55"/>
  <c r="H16" i="55"/>
  <c r="M16" i="55"/>
  <c r="F16" i="55"/>
  <c r="E16" i="55"/>
  <c r="D16" i="55"/>
  <c r="C15" i="55"/>
  <c r="I15" i="55"/>
  <c r="L14" i="55"/>
  <c r="K14" i="55"/>
  <c r="J14" i="55"/>
  <c r="I14" i="55"/>
  <c r="H14" i="55"/>
  <c r="M14" i="55"/>
  <c r="F14" i="55"/>
  <c r="E14" i="55"/>
  <c r="D14" i="55"/>
  <c r="L13" i="55"/>
  <c r="K13" i="55"/>
  <c r="J13" i="55"/>
  <c r="I13" i="55"/>
  <c r="H13" i="55"/>
  <c r="F13" i="55"/>
  <c r="E13" i="55"/>
  <c r="D13" i="55"/>
  <c r="I12" i="55"/>
  <c r="M12" i="55"/>
  <c r="J11" i="55"/>
  <c r="I11" i="55"/>
  <c r="H11" i="55"/>
  <c r="F11" i="55"/>
  <c r="C11" i="55"/>
  <c r="E11" i="55"/>
  <c r="L10" i="55"/>
  <c r="K10" i="55"/>
  <c r="J10" i="55"/>
  <c r="I10" i="55"/>
  <c r="H10" i="55"/>
  <c r="F10" i="55"/>
  <c r="E10" i="55"/>
  <c r="D10" i="55"/>
  <c r="C9" i="55"/>
  <c r="L9" i="55"/>
  <c r="L8" i="55"/>
  <c r="K8" i="55"/>
  <c r="J8" i="55"/>
  <c r="I8" i="55"/>
  <c r="H8" i="55"/>
  <c r="F8" i="55"/>
  <c r="E8" i="55"/>
  <c r="D8" i="55"/>
  <c r="L7" i="55"/>
  <c r="L6" i="55"/>
  <c r="C7" i="55"/>
  <c r="K7" i="55"/>
  <c r="N6" i="55"/>
  <c r="N4" i="55"/>
  <c r="C6" i="55"/>
  <c r="C4" i="55"/>
  <c r="B6" i="55"/>
  <c r="B4" i="55"/>
  <c r="L5" i="55"/>
  <c r="K5" i="55"/>
  <c r="J5" i="55"/>
  <c r="I5" i="55"/>
  <c r="H5" i="55"/>
  <c r="M5" i="55"/>
  <c r="F5" i="55"/>
  <c r="E5" i="55"/>
  <c r="D5" i="55"/>
  <c r="M2" i="55"/>
  <c r="K1" i="55"/>
  <c r="G1" i="55"/>
  <c r="I20" i="55"/>
  <c r="G28" i="55"/>
  <c r="O28" i="55"/>
  <c r="J20" i="55"/>
  <c r="M32" i="55"/>
  <c r="E20" i="55"/>
  <c r="F20" i="55"/>
  <c r="G30" i="55"/>
  <c r="M26" i="55"/>
  <c r="M23" i="55"/>
  <c r="G8" i="55"/>
  <c r="O8" i="55"/>
  <c r="G17" i="55"/>
  <c r="O17" i="55"/>
  <c r="G18" i="55"/>
  <c r="O18" i="55"/>
  <c r="G14" i="55"/>
  <c r="O14" i="55"/>
  <c r="G16" i="55"/>
  <c r="O16" i="55"/>
  <c r="M13" i="55"/>
  <c r="D9" i="55"/>
  <c r="G19" i="55"/>
  <c r="O19" i="55"/>
  <c r="M30" i="55"/>
  <c r="D7" i="55"/>
  <c r="D6" i="55"/>
  <c r="M10" i="55"/>
  <c r="M18" i="55"/>
  <c r="E7" i="55"/>
  <c r="M8" i="55"/>
  <c r="H9" i="55"/>
  <c r="G13" i="55"/>
  <c r="O13" i="55"/>
  <c r="G22" i="55"/>
  <c r="O22" i="55"/>
  <c r="M24" i="55"/>
  <c r="E33" i="55"/>
  <c r="M22" i="55"/>
  <c r="E9" i="55"/>
  <c r="F9" i="55"/>
  <c r="M21" i="55"/>
  <c r="J33" i="55"/>
  <c r="F7" i="55"/>
  <c r="F6" i="55"/>
  <c r="I9" i="55"/>
  <c r="J15" i="55"/>
  <c r="G24" i="55"/>
  <c r="O24" i="55"/>
  <c r="G26" i="55"/>
  <c r="O26" i="55"/>
  <c r="H7" i="55"/>
  <c r="H6" i="55"/>
  <c r="G10" i="55"/>
  <c r="O10" i="55"/>
  <c r="M17" i="55"/>
  <c r="H25" i="55"/>
  <c r="H20" i="55"/>
  <c r="M28" i="55"/>
  <c r="G35" i="55"/>
  <c r="O35" i="55"/>
  <c r="C37" i="55"/>
  <c r="L33" i="55"/>
  <c r="B37" i="55"/>
  <c r="N37" i="55"/>
  <c r="K15" i="55"/>
  <c r="M34" i="55"/>
  <c r="K25" i="55"/>
  <c r="K20" i="55"/>
  <c r="D25" i="55"/>
  <c r="D20" i="55"/>
  <c r="G34" i="55"/>
  <c r="I7" i="55"/>
  <c r="J9" i="55"/>
  <c r="K11" i="55"/>
  <c r="E25" i="55"/>
  <c r="M35" i="55"/>
  <c r="D15" i="55"/>
  <c r="L25" i="55"/>
  <c r="L20" i="55"/>
  <c r="J7" i="55"/>
  <c r="K9" i="55"/>
  <c r="K6" i="55"/>
  <c r="D11" i="55"/>
  <c r="G11" i="55"/>
  <c r="O11" i="55"/>
  <c r="L11" i="55"/>
  <c r="H15" i="55"/>
  <c r="H4" i="55"/>
  <c r="G5" i="55"/>
  <c r="L15" i="55"/>
  <c r="G21" i="55"/>
  <c r="E15" i="55"/>
  <c r="F15" i="55"/>
  <c r="D31" i="54"/>
  <c r="O30" i="55"/>
  <c r="M25" i="55"/>
  <c r="M20" i="55"/>
  <c r="M11" i="55"/>
  <c r="L4" i="55"/>
  <c r="L37" i="55"/>
  <c r="G25" i="55"/>
  <c r="O25" i="55"/>
  <c r="O20" i="55"/>
  <c r="G9" i="55"/>
  <c r="O9" i="55"/>
  <c r="E6" i="55"/>
  <c r="E4" i="55"/>
  <c r="E37" i="55"/>
  <c r="H37" i="55"/>
  <c r="G7" i="55"/>
  <c r="K4" i="55"/>
  <c r="K37" i="55"/>
  <c r="F4" i="55"/>
  <c r="F37" i="55"/>
  <c r="M15" i="55"/>
  <c r="M9" i="55"/>
  <c r="J6" i="55"/>
  <c r="J4" i="55"/>
  <c r="J37" i="55"/>
  <c r="O21" i="55"/>
  <c r="G15" i="55"/>
  <c r="O15" i="55"/>
  <c r="D4" i="55"/>
  <c r="M7" i="55"/>
  <c r="I6" i="55"/>
  <c r="I4" i="55"/>
  <c r="I37" i="55"/>
  <c r="O34" i="55"/>
  <c r="O33" i="55"/>
  <c r="G33" i="55"/>
  <c r="O5" i="55"/>
  <c r="M33" i="55"/>
  <c r="C25" i="54"/>
  <c r="C15" i="54"/>
  <c r="C7" i="54"/>
  <c r="C9" i="54"/>
  <c r="G20" i="55"/>
  <c r="G6" i="55"/>
  <c r="O7" i="55"/>
  <c r="O6" i="55"/>
  <c r="O4" i="55"/>
  <c r="O37" i="55"/>
  <c r="G4" i="55"/>
  <c r="G37" i="55"/>
  <c r="M6" i="55"/>
  <c r="M4" i="55"/>
  <c r="M37" i="55"/>
  <c r="D37" i="55"/>
  <c r="C6" i="54"/>
  <c r="C11" i="54"/>
  <c r="L33" i="54"/>
  <c r="K33" i="54"/>
  <c r="J33" i="54"/>
  <c r="I33" i="54"/>
  <c r="H33" i="54"/>
  <c r="F33" i="54"/>
  <c r="E33" i="54"/>
  <c r="D33" i="54"/>
  <c r="L32" i="54"/>
  <c r="K32" i="54"/>
  <c r="J32" i="54"/>
  <c r="I32" i="54"/>
  <c r="H32" i="54"/>
  <c r="F32" i="54"/>
  <c r="E32" i="54"/>
  <c r="D32" i="54"/>
  <c r="G32" i="54"/>
  <c r="N30" i="54"/>
  <c r="L31" i="54"/>
  <c r="L30" i="54"/>
  <c r="K31" i="54"/>
  <c r="K30" i="54"/>
  <c r="J31" i="54"/>
  <c r="J30" i="54"/>
  <c r="I31" i="54"/>
  <c r="H31" i="54"/>
  <c r="F31" i="54"/>
  <c r="E31" i="54"/>
  <c r="E30" i="54"/>
  <c r="C30" i="54"/>
  <c r="L29" i="54"/>
  <c r="K29" i="54"/>
  <c r="J29" i="54"/>
  <c r="I29" i="54"/>
  <c r="H29" i="54"/>
  <c r="F29" i="54"/>
  <c r="E29" i="54"/>
  <c r="D29" i="54"/>
  <c r="L28" i="54"/>
  <c r="K28" i="54"/>
  <c r="J28" i="54"/>
  <c r="I28" i="54"/>
  <c r="H28" i="54"/>
  <c r="F28" i="54"/>
  <c r="E28" i="54"/>
  <c r="D28" i="54"/>
  <c r="L27" i="54"/>
  <c r="K27" i="54"/>
  <c r="J27" i="54"/>
  <c r="I27" i="54"/>
  <c r="H27" i="54"/>
  <c r="F27" i="54"/>
  <c r="E27" i="54"/>
  <c r="D27" i="54"/>
  <c r="L26" i="54"/>
  <c r="K26" i="54"/>
  <c r="J26" i="54"/>
  <c r="I26" i="54"/>
  <c r="H26" i="54"/>
  <c r="F26" i="54"/>
  <c r="E26" i="54"/>
  <c r="D26" i="54"/>
  <c r="L25" i="54"/>
  <c r="K25" i="54"/>
  <c r="J25" i="54"/>
  <c r="I25" i="54"/>
  <c r="H25" i="54"/>
  <c r="F25" i="54"/>
  <c r="E25" i="54"/>
  <c r="D25" i="54"/>
  <c r="L24" i="54"/>
  <c r="K24" i="54"/>
  <c r="J24" i="54"/>
  <c r="I24" i="54"/>
  <c r="H24" i="54"/>
  <c r="F24" i="54"/>
  <c r="E24" i="54"/>
  <c r="D24" i="54"/>
  <c r="L23" i="54"/>
  <c r="K23" i="54"/>
  <c r="J23" i="54"/>
  <c r="I23" i="54"/>
  <c r="H23" i="54"/>
  <c r="F23" i="54"/>
  <c r="E23" i="54"/>
  <c r="D23" i="54"/>
  <c r="L22" i="54"/>
  <c r="K22" i="54"/>
  <c r="J22" i="54"/>
  <c r="M22" i="54"/>
  <c r="I22" i="54"/>
  <c r="H22" i="54"/>
  <c r="F22" i="54"/>
  <c r="E22" i="54"/>
  <c r="D22" i="54"/>
  <c r="L21" i="54"/>
  <c r="K21" i="54"/>
  <c r="J21" i="54"/>
  <c r="I21" i="54"/>
  <c r="H21" i="54"/>
  <c r="M21" i="54"/>
  <c r="F21" i="54"/>
  <c r="E21" i="54"/>
  <c r="D21" i="54"/>
  <c r="N20" i="54"/>
  <c r="C20" i="54"/>
  <c r="B20" i="54"/>
  <c r="L19" i="54"/>
  <c r="K19" i="54"/>
  <c r="J19" i="54"/>
  <c r="I19" i="54"/>
  <c r="H19" i="54"/>
  <c r="F19" i="54"/>
  <c r="E19" i="54"/>
  <c r="D19" i="54"/>
  <c r="L18" i="54"/>
  <c r="K18" i="54"/>
  <c r="J18" i="54"/>
  <c r="I18" i="54"/>
  <c r="H18" i="54"/>
  <c r="F18" i="54"/>
  <c r="E18" i="54"/>
  <c r="D18" i="54"/>
  <c r="L17" i="54"/>
  <c r="K17" i="54"/>
  <c r="J17" i="54"/>
  <c r="I17" i="54"/>
  <c r="H17" i="54"/>
  <c r="F17" i="54"/>
  <c r="E17" i="54"/>
  <c r="D17" i="54"/>
  <c r="L16" i="54"/>
  <c r="K16" i="54"/>
  <c r="J16" i="54"/>
  <c r="I16" i="54"/>
  <c r="H16" i="54"/>
  <c r="F16" i="54"/>
  <c r="E16" i="54"/>
  <c r="D16" i="54"/>
  <c r="G16" i="54"/>
  <c r="O16" i="54"/>
  <c r="L15" i="54"/>
  <c r="K15" i="54"/>
  <c r="J15" i="54"/>
  <c r="I15" i="54"/>
  <c r="H15" i="54"/>
  <c r="F15" i="54"/>
  <c r="E15" i="54"/>
  <c r="D15" i="54"/>
  <c r="L14" i="54"/>
  <c r="K14" i="54"/>
  <c r="J14" i="54"/>
  <c r="I14" i="54"/>
  <c r="H14" i="54"/>
  <c r="M14" i="54"/>
  <c r="F14" i="54"/>
  <c r="E14" i="54"/>
  <c r="G14" i="54"/>
  <c r="O14" i="54"/>
  <c r="D14" i="54"/>
  <c r="L13" i="54"/>
  <c r="K13" i="54"/>
  <c r="J13" i="54"/>
  <c r="I13" i="54"/>
  <c r="H13" i="54"/>
  <c r="M13" i="54"/>
  <c r="F13" i="54"/>
  <c r="E13" i="54"/>
  <c r="D13" i="54"/>
  <c r="I12" i="54"/>
  <c r="M12" i="54"/>
  <c r="L11" i="54"/>
  <c r="I11" i="54"/>
  <c r="H11" i="54"/>
  <c r="F11" i="54"/>
  <c r="E11" i="54"/>
  <c r="D11" i="54"/>
  <c r="K11" i="54"/>
  <c r="L10" i="54"/>
  <c r="K10" i="54"/>
  <c r="J10" i="54"/>
  <c r="I10" i="54"/>
  <c r="H10" i="54"/>
  <c r="F10" i="54"/>
  <c r="E10" i="54"/>
  <c r="D10" i="54"/>
  <c r="L9" i="54"/>
  <c r="K9" i="54"/>
  <c r="J9" i="54"/>
  <c r="I9" i="54"/>
  <c r="H9" i="54"/>
  <c r="M9" i="54"/>
  <c r="F9" i="54"/>
  <c r="E9" i="54"/>
  <c r="D9" i="54"/>
  <c r="L8" i="54"/>
  <c r="L6" i="54"/>
  <c r="K8" i="54"/>
  <c r="J8" i="54"/>
  <c r="I8" i="54"/>
  <c r="H8" i="54"/>
  <c r="F8" i="54"/>
  <c r="E8" i="54"/>
  <c r="D8" i="54"/>
  <c r="L7" i="54"/>
  <c r="K7" i="54"/>
  <c r="J7" i="54"/>
  <c r="I7" i="54"/>
  <c r="I6" i="54"/>
  <c r="H7" i="54"/>
  <c r="F7" i="54"/>
  <c r="E7" i="54"/>
  <c r="D7" i="54"/>
  <c r="N6" i="54"/>
  <c r="N4" i="54"/>
  <c r="K6" i="54"/>
  <c r="J6" i="54"/>
  <c r="B6" i="54"/>
  <c r="B4" i="54"/>
  <c r="L5" i="54"/>
  <c r="K5" i="54"/>
  <c r="J5" i="54"/>
  <c r="I5" i="54"/>
  <c r="H5" i="54"/>
  <c r="F5" i="54"/>
  <c r="E5" i="54"/>
  <c r="D5" i="54"/>
  <c r="G5" i="54"/>
  <c r="O5" i="54"/>
  <c r="C4" i="54"/>
  <c r="M2" i="54"/>
  <c r="K1" i="54"/>
  <c r="G1" i="54"/>
  <c r="G15" i="54"/>
  <c r="O15" i="54"/>
  <c r="M17" i="54"/>
  <c r="M23" i="54"/>
  <c r="M26" i="54"/>
  <c r="M28" i="54"/>
  <c r="H6" i="54"/>
  <c r="G18" i="54"/>
  <c r="O18" i="54"/>
  <c r="M29" i="54"/>
  <c r="I30" i="54"/>
  <c r="M32" i="54"/>
  <c r="M33" i="54"/>
  <c r="M10" i="54"/>
  <c r="G19" i="54"/>
  <c r="O19" i="54"/>
  <c r="M5" i="54"/>
  <c r="M16" i="54"/>
  <c r="M19" i="54"/>
  <c r="L20" i="54"/>
  <c r="M8" i="54"/>
  <c r="M18" i="54"/>
  <c r="D20" i="54"/>
  <c r="G27" i="54"/>
  <c r="O27" i="54"/>
  <c r="E6" i="54"/>
  <c r="G8" i="54"/>
  <c r="O8" i="54"/>
  <c r="G10" i="54"/>
  <c r="O10" i="54"/>
  <c r="H20" i="54"/>
  <c r="G23" i="54"/>
  <c r="O23" i="54"/>
  <c r="G26" i="54"/>
  <c r="O26" i="54"/>
  <c r="F30" i="54"/>
  <c r="D30" i="54"/>
  <c r="G33" i="54"/>
  <c r="O33" i="54"/>
  <c r="H30" i="54"/>
  <c r="N34" i="54"/>
  <c r="G29" i="54"/>
  <c r="O29" i="54"/>
  <c r="G28" i="54"/>
  <c r="O28" i="54"/>
  <c r="M27" i="54"/>
  <c r="K20" i="54"/>
  <c r="M25" i="54"/>
  <c r="I20" i="54"/>
  <c r="G25" i="54"/>
  <c r="O25" i="54"/>
  <c r="M24" i="54"/>
  <c r="E20" i="54"/>
  <c r="G24" i="54"/>
  <c r="O24" i="54"/>
  <c r="C34" i="54"/>
  <c r="F20" i="54"/>
  <c r="M15" i="54"/>
  <c r="D6" i="54"/>
  <c r="D4" i="54"/>
  <c r="D34" i="54"/>
  <c r="F6" i="54"/>
  <c r="G9" i="54"/>
  <c r="O9" i="54"/>
  <c r="I4" i="54"/>
  <c r="M7" i="54"/>
  <c r="M6" i="54"/>
  <c r="M4" i="54"/>
  <c r="K4" i="54"/>
  <c r="G13" i="54"/>
  <c r="O13" i="54"/>
  <c r="E4" i="54"/>
  <c r="G11" i="54"/>
  <c r="O11" i="54"/>
  <c r="F4" i="54"/>
  <c r="L4" i="54"/>
  <c r="L34" i="54"/>
  <c r="M31" i="54"/>
  <c r="G7" i="54"/>
  <c r="G21" i="54"/>
  <c r="G17" i="54"/>
  <c r="O17" i="54"/>
  <c r="G31" i="54"/>
  <c r="H4" i="54"/>
  <c r="H34" i="54"/>
  <c r="J11" i="54"/>
  <c r="M11" i="54"/>
  <c r="G22" i="54"/>
  <c r="O22" i="54"/>
  <c r="J20" i="54"/>
  <c r="C35" i="53"/>
  <c r="M30" i="54"/>
  <c r="M20" i="54"/>
  <c r="M34" i="54"/>
  <c r="K34" i="54"/>
  <c r="E34" i="54"/>
  <c r="I34" i="54"/>
  <c r="F34" i="54"/>
  <c r="J4" i="54"/>
  <c r="J34" i="54"/>
  <c r="O21" i="54"/>
  <c r="O20" i="54"/>
  <c r="G20" i="54"/>
  <c r="G30" i="54"/>
  <c r="O31" i="54"/>
  <c r="O7" i="54"/>
  <c r="O6" i="54"/>
  <c r="O4" i="54"/>
  <c r="G6" i="54"/>
  <c r="G4" i="54"/>
  <c r="N31" i="52"/>
  <c r="G34" i="54"/>
  <c r="B10" i="52"/>
  <c r="B9" i="52"/>
  <c r="B8" i="52"/>
  <c r="B7" i="52"/>
  <c r="C6" i="52"/>
  <c r="N6" i="52"/>
  <c r="N4" i="52"/>
  <c r="B6" i="52"/>
  <c r="B4" i="52"/>
  <c r="B20" i="52"/>
  <c r="D10" i="52"/>
  <c r="E10" i="52"/>
  <c r="F10" i="52"/>
  <c r="H10" i="52"/>
  <c r="I10" i="52"/>
  <c r="J10" i="52"/>
  <c r="K10" i="52"/>
  <c r="L10" i="52"/>
  <c r="D9" i="52"/>
  <c r="E9" i="52"/>
  <c r="F9" i="52"/>
  <c r="G9" i="52"/>
  <c r="O9" i="52"/>
  <c r="H9" i="52"/>
  <c r="I9" i="52"/>
  <c r="J9" i="52"/>
  <c r="K9" i="52"/>
  <c r="L9" i="52"/>
  <c r="D8" i="52"/>
  <c r="E8" i="52"/>
  <c r="F8" i="52"/>
  <c r="H8" i="52"/>
  <c r="I8" i="52"/>
  <c r="J8" i="52"/>
  <c r="K8" i="52"/>
  <c r="L8" i="52"/>
  <c r="D7" i="52"/>
  <c r="E7" i="52"/>
  <c r="F7" i="52"/>
  <c r="G7" i="52"/>
  <c r="H7" i="52"/>
  <c r="I7" i="52"/>
  <c r="J7" i="52"/>
  <c r="K7" i="52"/>
  <c r="L7" i="52"/>
  <c r="F6" i="52"/>
  <c r="G8" i="52"/>
  <c r="L6" i="52"/>
  <c r="E6" i="52"/>
  <c r="O7" i="52"/>
  <c r="G10" i="52"/>
  <c r="O10" i="52"/>
  <c r="K6" i="52"/>
  <c r="I6" i="52"/>
  <c r="H6" i="52"/>
  <c r="O8" i="52"/>
  <c r="D6" i="52"/>
  <c r="J6" i="52"/>
  <c r="M7" i="52"/>
  <c r="M8" i="52"/>
  <c r="M9" i="52"/>
  <c r="M10" i="52"/>
  <c r="G6" i="52"/>
  <c r="O6" i="52"/>
  <c r="M6" i="52"/>
  <c r="L33" i="52"/>
  <c r="K33" i="52"/>
  <c r="J33" i="52"/>
  <c r="I33" i="52"/>
  <c r="H33" i="52"/>
  <c r="F33" i="52"/>
  <c r="E33" i="52"/>
  <c r="D33" i="52"/>
  <c r="G33" i="52"/>
  <c r="O33" i="52"/>
  <c r="L32" i="52"/>
  <c r="K32" i="52"/>
  <c r="J32" i="52"/>
  <c r="I32" i="52"/>
  <c r="H32" i="52"/>
  <c r="F32" i="52"/>
  <c r="E32" i="52"/>
  <c r="D32" i="52"/>
  <c r="L31" i="52"/>
  <c r="K31" i="52"/>
  <c r="J31" i="52"/>
  <c r="I31" i="52"/>
  <c r="I30" i="52"/>
  <c r="H31" i="52"/>
  <c r="F31" i="52"/>
  <c r="F30" i="52"/>
  <c r="E31" i="52"/>
  <c r="D31" i="52"/>
  <c r="D30" i="52"/>
  <c r="N30" i="52"/>
  <c r="K30" i="52"/>
  <c r="J30" i="52"/>
  <c r="C30" i="52"/>
  <c r="B30" i="52"/>
  <c r="B34" i="52"/>
  <c r="L29" i="52"/>
  <c r="K29" i="52"/>
  <c r="J29" i="52"/>
  <c r="I29" i="52"/>
  <c r="H29" i="52"/>
  <c r="F29" i="52"/>
  <c r="E29" i="52"/>
  <c r="D29" i="52"/>
  <c r="G29" i="52"/>
  <c r="O29" i="52"/>
  <c r="L28" i="52"/>
  <c r="K28" i="52"/>
  <c r="J28" i="52"/>
  <c r="I28" i="52"/>
  <c r="H28" i="52"/>
  <c r="F28" i="52"/>
  <c r="E28" i="52"/>
  <c r="D28" i="52"/>
  <c r="G28" i="52"/>
  <c r="O28" i="52"/>
  <c r="L27" i="52"/>
  <c r="K27" i="52"/>
  <c r="J27" i="52"/>
  <c r="I27" i="52"/>
  <c r="H27" i="52"/>
  <c r="F27" i="52"/>
  <c r="E27" i="52"/>
  <c r="D27" i="52"/>
  <c r="L26" i="52"/>
  <c r="K26" i="52"/>
  <c r="J26" i="52"/>
  <c r="I26" i="52"/>
  <c r="H26" i="52"/>
  <c r="F26" i="52"/>
  <c r="E26" i="52"/>
  <c r="D26" i="52"/>
  <c r="G26" i="52"/>
  <c r="O26" i="52"/>
  <c r="L25" i="52"/>
  <c r="K25" i="52"/>
  <c r="J25" i="52"/>
  <c r="I25" i="52"/>
  <c r="H25" i="52"/>
  <c r="F25" i="52"/>
  <c r="E25" i="52"/>
  <c r="D25" i="52"/>
  <c r="G25" i="52"/>
  <c r="O25" i="52"/>
  <c r="L24" i="52"/>
  <c r="K24" i="52"/>
  <c r="J24" i="52"/>
  <c r="I24" i="52"/>
  <c r="H24" i="52"/>
  <c r="F24" i="52"/>
  <c r="E24" i="52"/>
  <c r="D24" i="52"/>
  <c r="L23" i="52"/>
  <c r="K23" i="52"/>
  <c r="J23" i="52"/>
  <c r="I23" i="52"/>
  <c r="H23" i="52"/>
  <c r="F23" i="52"/>
  <c r="E23" i="52"/>
  <c r="D23" i="52"/>
  <c r="G23" i="52"/>
  <c r="O23" i="52"/>
  <c r="L22" i="52"/>
  <c r="K22" i="52"/>
  <c r="J22" i="52"/>
  <c r="I22" i="52"/>
  <c r="H22" i="52"/>
  <c r="F22" i="52"/>
  <c r="E22" i="52"/>
  <c r="D22" i="52"/>
  <c r="G22" i="52"/>
  <c r="O22" i="52"/>
  <c r="L21" i="52"/>
  <c r="K21" i="52"/>
  <c r="K20" i="52"/>
  <c r="J21" i="52"/>
  <c r="I21" i="52"/>
  <c r="H21" i="52"/>
  <c r="F21" i="52"/>
  <c r="E21" i="52"/>
  <c r="D21" i="52"/>
  <c r="G21" i="52"/>
  <c r="N20" i="52"/>
  <c r="C20" i="52"/>
  <c r="L19" i="52"/>
  <c r="K19" i="52"/>
  <c r="J19" i="52"/>
  <c r="I19" i="52"/>
  <c r="H19" i="52"/>
  <c r="F19" i="52"/>
  <c r="E19" i="52"/>
  <c r="D19" i="52"/>
  <c r="L18" i="52"/>
  <c r="K18" i="52"/>
  <c r="J18" i="52"/>
  <c r="I18" i="52"/>
  <c r="H18" i="52"/>
  <c r="F18" i="52"/>
  <c r="E18" i="52"/>
  <c r="D18" i="52"/>
  <c r="L17" i="52"/>
  <c r="K17" i="52"/>
  <c r="J17" i="52"/>
  <c r="I17" i="52"/>
  <c r="H17" i="52"/>
  <c r="F17" i="52"/>
  <c r="E17" i="52"/>
  <c r="D17" i="52"/>
  <c r="L16" i="52"/>
  <c r="K16" i="52"/>
  <c r="J16" i="52"/>
  <c r="I16" i="52"/>
  <c r="H16" i="52"/>
  <c r="F16" i="52"/>
  <c r="E16" i="52"/>
  <c r="D16" i="52"/>
  <c r="L15" i="52"/>
  <c r="K15" i="52"/>
  <c r="J15" i="52"/>
  <c r="I15" i="52"/>
  <c r="H15" i="52"/>
  <c r="F15" i="52"/>
  <c r="E15" i="52"/>
  <c r="D15" i="52"/>
  <c r="L14" i="52"/>
  <c r="K14" i="52"/>
  <c r="J14" i="52"/>
  <c r="I14" i="52"/>
  <c r="H14" i="52"/>
  <c r="F14" i="52"/>
  <c r="E14" i="52"/>
  <c r="D14" i="52"/>
  <c r="L13" i="52"/>
  <c r="K13" i="52"/>
  <c r="J13" i="52"/>
  <c r="I13" i="52"/>
  <c r="H13" i="52"/>
  <c r="F13" i="52"/>
  <c r="E13" i="52"/>
  <c r="D13" i="52"/>
  <c r="I12" i="52"/>
  <c r="M12" i="52"/>
  <c r="C11" i="52"/>
  <c r="I11" i="52"/>
  <c r="L5" i="52"/>
  <c r="K5" i="52"/>
  <c r="J5" i="52"/>
  <c r="I5" i="52"/>
  <c r="H5" i="52"/>
  <c r="F5" i="52"/>
  <c r="E5" i="52"/>
  <c r="D5" i="52"/>
  <c r="M2" i="52"/>
  <c r="K1" i="52"/>
  <c r="G1" i="52"/>
  <c r="G27" i="52"/>
  <c r="O27" i="52"/>
  <c r="H11" i="52"/>
  <c r="H4" i="52"/>
  <c r="I4" i="52"/>
  <c r="J4" i="52"/>
  <c r="D4" i="52"/>
  <c r="D34" i="52"/>
  <c r="F11" i="52"/>
  <c r="F4" i="52"/>
  <c r="C4" i="52"/>
  <c r="G24" i="52"/>
  <c r="O24" i="52"/>
  <c r="J11" i="52"/>
  <c r="K4" i="52"/>
  <c r="E20" i="52"/>
  <c r="G14" i="52"/>
  <c r="O14" i="52"/>
  <c r="G17" i="52"/>
  <c r="O17" i="52"/>
  <c r="L30" i="52"/>
  <c r="M16" i="52"/>
  <c r="M22" i="52"/>
  <c r="M27" i="52"/>
  <c r="I20" i="52"/>
  <c r="M32" i="52"/>
  <c r="M13" i="52"/>
  <c r="M15" i="52"/>
  <c r="M33" i="52"/>
  <c r="G13" i="52"/>
  <c r="O13" i="52"/>
  <c r="G16" i="52"/>
  <c r="O16" i="52"/>
  <c r="G18" i="52"/>
  <c r="G19" i="52"/>
  <c r="O19" i="52"/>
  <c r="M24" i="52"/>
  <c r="M26" i="52"/>
  <c r="M23" i="52"/>
  <c r="J20" i="52"/>
  <c r="M29" i="52"/>
  <c r="M14" i="52"/>
  <c r="M17" i="52"/>
  <c r="M28" i="52"/>
  <c r="E30" i="52"/>
  <c r="G31" i="52"/>
  <c r="O31" i="52"/>
  <c r="N34" i="52"/>
  <c r="M18" i="52"/>
  <c r="C34" i="52"/>
  <c r="M25" i="52"/>
  <c r="M5" i="52"/>
  <c r="M21" i="52"/>
  <c r="H20" i="52"/>
  <c r="L20" i="52"/>
  <c r="M31" i="52"/>
  <c r="H30" i="52"/>
  <c r="D20" i="52"/>
  <c r="G5" i="52"/>
  <c r="G15" i="52"/>
  <c r="O15" i="52"/>
  <c r="M19" i="52"/>
  <c r="O21" i="52"/>
  <c r="O20" i="52"/>
  <c r="F20" i="52"/>
  <c r="G32" i="52"/>
  <c r="O32" i="52"/>
  <c r="K11" i="52"/>
  <c r="D11" i="52"/>
  <c r="L11" i="52"/>
  <c r="L4" i="52"/>
  <c r="E11" i="52"/>
  <c r="E4" i="52"/>
  <c r="K34" i="52"/>
  <c r="G20" i="52"/>
  <c r="J34" i="52"/>
  <c r="M30" i="52"/>
  <c r="E34" i="52"/>
  <c r="O18" i="52"/>
  <c r="G4" i="52"/>
  <c r="I34" i="52"/>
  <c r="M20" i="52"/>
  <c r="O5" i="52"/>
  <c r="M11" i="52"/>
  <c r="M4" i="52"/>
  <c r="O30" i="52"/>
  <c r="G30" i="52"/>
  <c r="F34" i="52"/>
  <c r="L34" i="52"/>
  <c r="H34" i="52"/>
  <c r="G11" i="52"/>
  <c r="O11" i="52"/>
  <c r="O4" i="52"/>
  <c r="O34" i="52"/>
  <c r="M34" i="52"/>
  <c r="G34" i="52"/>
  <c r="P6" i="38"/>
  <c r="O8" i="38"/>
  <c r="O4" i="38"/>
  <c r="O5" i="38"/>
  <c r="O3" i="38"/>
  <c r="O6" i="38"/>
  <c r="B30" i="54"/>
  <c r="B34" i="54"/>
  <c r="O32" i="54"/>
  <c r="O30" i="54"/>
  <c r="O34" i="54"/>
  <c r="O33" i="63"/>
  <c r="O38" i="63"/>
</calcChain>
</file>

<file path=xl/comments1.xml><?xml version="1.0" encoding="utf-8"?>
<comments xmlns="http://schemas.openxmlformats.org/spreadsheetml/2006/main">
  <authors>
    <author>A</author>
    <author>Admin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tăng 1 người</t>
        </r>
      </text>
    </comment>
  </commentList>
</comments>
</file>

<file path=xl/comments10.xml><?xml version="1.0" encoding="utf-8"?>
<comments xmlns="http://schemas.openxmlformats.org/spreadsheetml/2006/main">
  <authors>
    <author>A</author>
    <author>ANH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P40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Tròn số</t>
        </r>
      </text>
    </comment>
  </commentList>
</comments>
</file>

<file path=xl/comments2.xml><?xml version="1.0" encoding="utf-8"?>
<comments xmlns="http://schemas.openxmlformats.org/spreadsheetml/2006/main">
  <authors>
    <author>A</author>
    <author>Admin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tăng 1 người</t>
        </r>
      </text>
    </comment>
  </commentList>
</comments>
</file>

<file path=xl/comments3.xml><?xml version="1.0" encoding="utf-8"?>
<comments xmlns="http://schemas.openxmlformats.org/spreadsheetml/2006/main">
  <authors>
    <author>A</author>
    <author>Admin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C34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tăng 1 người</t>
        </r>
      </text>
    </comment>
  </commentList>
</comments>
</file>

<file path=xl/comments4.xml><?xml version="1.0" encoding="utf-8"?>
<comments xmlns="http://schemas.openxmlformats.org/spreadsheetml/2006/main">
  <authors>
    <author>A</author>
    <author>ANH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Bổ sung lương của Nguyễn Hoàng Luân sale Miền Trung</t>
        </r>
      </text>
    </comment>
  </commentList>
</comments>
</file>

<file path=xl/comments5.xml><?xml version="1.0" encoding="utf-8"?>
<comments xmlns="http://schemas.openxmlformats.org/spreadsheetml/2006/main">
  <authors>
    <author>A</author>
    <author>ANH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C34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Tháng này trừ tiền BHXH của Mr Thái do nghỉ ốm trên 14 ngày.</t>
        </r>
      </text>
    </comment>
  </commentList>
</comments>
</file>

<file path=xl/comments6.xml><?xml version="1.0" encoding="utf-8"?>
<comments xmlns="http://schemas.openxmlformats.org/spreadsheetml/2006/main">
  <authors>
    <author>A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</commentList>
</comments>
</file>

<file path=xl/comments7.xml><?xml version="1.0" encoding="utf-8"?>
<comments xmlns="http://schemas.openxmlformats.org/spreadsheetml/2006/main">
  <authors>
    <author>A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</commentList>
</comments>
</file>

<file path=xl/comments8.xml><?xml version="1.0" encoding="utf-8"?>
<comments xmlns="http://schemas.openxmlformats.org/spreadsheetml/2006/main">
  <authors>
    <author>A</author>
    <author>ANH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P39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Tròn số</t>
        </r>
      </text>
    </comment>
  </commentList>
</comments>
</file>

<file path=xl/comments9.xml><?xml version="1.0" encoding="utf-8"?>
<comments xmlns="http://schemas.openxmlformats.org/spreadsheetml/2006/main">
  <authors>
    <author>A</author>
    <author>ANH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Mức đóng của A Bảy, Chỉ đóng BHTN-BNN</t>
        </r>
      </text>
    </comment>
    <comment ref="P40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Tròn số</t>
        </r>
      </text>
    </comment>
  </commentList>
</comments>
</file>

<file path=xl/sharedStrings.xml><?xml version="1.0" encoding="utf-8"?>
<sst xmlns="http://schemas.openxmlformats.org/spreadsheetml/2006/main" count="738" uniqueCount="149">
  <si>
    <t>ĐÃ TẠM ỨNG</t>
  </si>
  <si>
    <t>LƯƠNG VĂN PHÒNG</t>
  </si>
  <si>
    <t>LƯƠNG KINH DOANH</t>
  </si>
  <si>
    <t xml:space="preserve">   - Giao hàng</t>
  </si>
  <si>
    <t>TỔNG</t>
  </si>
  <si>
    <t xml:space="preserve">   - Ban TGĐ</t>
  </si>
  <si>
    <t xml:space="preserve">   - Ban KSNB</t>
  </si>
  <si>
    <t xml:space="preserve">   - Ban Dự Án</t>
  </si>
  <si>
    <t>LƯƠNG TÍNH BH</t>
  </si>
  <si>
    <t>BHXH CN</t>
  </si>
  <si>
    <t>BHYT CN</t>
  </si>
  <si>
    <t>BHTN CN</t>
  </si>
  <si>
    <t>BHXH DN</t>
  </si>
  <si>
    <t>BHYT DN</t>
  </si>
  <si>
    <t>BHTN DN</t>
  </si>
  <si>
    <t>CĐ DN</t>
  </si>
  <si>
    <t>TỔNG BH CN 10,5%</t>
  </si>
  <si>
    <t>TỔNG THU NHẬP</t>
  </si>
  <si>
    <t>THỰC LÃNH</t>
  </si>
  <si>
    <t xml:space="preserve">   - Ban Vật Tư</t>
  </si>
  <si>
    <t xml:space="preserve">   - Ban XDCB</t>
  </si>
  <si>
    <t xml:space="preserve"> </t>
  </si>
  <si>
    <t xml:space="preserve">   - Tổ lái xe</t>
  </si>
  <si>
    <t xml:space="preserve">   - Phụ xe</t>
  </si>
  <si>
    <t>LƯƠNG TẠI NHÀ MÁY</t>
  </si>
  <si>
    <t xml:space="preserve">   - P. KTTC</t>
  </si>
  <si>
    <t>TỔNG BH DN 23.5%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</si>
  <si>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</si>
  <si>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</si>
  <si>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</si>
  <si>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</si>
  <si>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</si>
  <si>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</si>
  <si>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</si>
  <si>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</si>
  <si>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</si>
  <si>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</si>
  <si>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</si>
  <si>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CHÊNH LỆCH DO ĐÃ LÀM TRÒN TỪNG NGƯỜI</t>
  </si>
  <si>
    <t>SỐ CHI</t>
  </si>
  <si>
    <t>BHTN&amp;BNN DN</t>
  </si>
  <si>
    <t>SẢN XUẤT ĐÓNG GÓI + NV VẬN HÀNH MÁY SX</t>
  </si>
  <si>
    <t>XỬ LÝ + NV VẬN HÀNH MÁY BÌNH HƯNG</t>
  </si>
  <si>
    <t>QUẢN LÝ CHUNG (GDDNM + các BP khác như KHO, TRAM CAN, CO ĐIỆN, ĐIỀU ĐỘ KẾ HOẠCH, NHÂN LỰC, CƠ GIỚI,…, TÀI XẾ LÁI XE CƠ GIỚI, BP VỆ SINH, KCS,...)</t>
  </si>
  <si>
    <t xml:space="preserve"> Mã NV </t>
  </si>
  <si>
    <t xml:space="preserve"> Họ và tên </t>
  </si>
  <si>
    <t>THÁNG 12</t>
  </si>
  <si>
    <t>CỘNG TRUY LĨNH 12 THÁNG</t>
  </si>
  <si>
    <t>Toå laùi</t>
  </si>
  <si>
    <t>Phuï xe</t>
  </si>
  <si>
    <t>Giao nhaän</t>
  </si>
  <si>
    <t>TỔNG TRUY LÃNH ĐỢT 4</t>
  </si>
  <si>
    <t>PHÒNG BAN</t>
  </si>
  <si>
    <t>ĐỢT 1</t>
  </si>
  <si>
    <t>ĐỢT 2</t>
  </si>
  <si>
    <t xml:space="preserve"> Qlý + Sale Admin </t>
  </si>
  <si>
    <t xml:space="preserve"> Sale </t>
  </si>
  <si>
    <t xml:space="preserve"> QUẢN LÝ (Sale Admin + GĐ KD)</t>
  </si>
  <si>
    <t>Sale TP.HCM</t>
  </si>
  <si>
    <t>Sale Miền Tây</t>
  </si>
  <si>
    <t>Sale Miền Trung</t>
  </si>
  <si>
    <t>Sale Miền Đông</t>
  </si>
  <si>
    <t>Sale Bùn</t>
  </si>
  <si>
    <t xml:space="preserve">   - BAN DỰ ÁN NGHIÊN CỨU</t>
  </si>
  <si>
    <t>LƯƠNG THÁNG 06/2018</t>
  </si>
  <si>
    <t>LƯƠNG HCNS</t>
  </si>
  <si>
    <t xml:space="preserve">   -  HCNS</t>
  </si>
  <si>
    <t xml:space="preserve">   - Lái xe + Trợ lý (Ban Giám đốc)</t>
  </si>
  <si>
    <t xml:space="preserve">   - IT</t>
  </si>
  <si>
    <t xml:space="preserve">   - Lái xe cty</t>
  </si>
  <si>
    <t xml:space="preserve">   - TTNC - Khoa Học Công Nghệ</t>
  </si>
  <si>
    <t xml:space="preserve">   - TTNC - Ứng Dụng Sản Phẩm</t>
  </si>
  <si>
    <t>NĂM 2018</t>
  </si>
  <si>
    <t>BAN LÃNH ĐẠO</t>
  </si>
  <si>
    <t>Phòng HCNS - NS</t>
  </si>
  <si>
    <t>Ban Kiếm soát nội bộ</t>
  </si>
  <si>
    <t>Phòng TCKT - KT</t>
  </si>
  <si>
    <t>Ban XDCB - XD</t>
  </si>
  <si>
    <t>Phòng KH- Vật tư</t>
  </si>
  <si>
    <t>Ban Dự án</t>
  </si>
  <si>
    <t>Trung tâm NC KHCN - UDSP</t>
  </si>
  <si>
    <t>Logistics - Kho</t>
  </si>
  <si>
    <t>TRẠM CÂN</t>
  </si>
  <si>
    <t>CƠ ĐIỆN</t>
  </si>
  <si>
    <t>VẬN HÀNH MÁY SẢN XUẤT</t>
  </si>
  <si>
    <t>KẾ HOẠCH SẢN XUẤT</t>
  </si>
  <si>
    <t>QUẢN TRỊ SẢN XUẤT</t>
  </si>
  <si>
    <t>ĐIỀU ĐỘ CƠ GIỚI</t>
  </si>
  <si>
    <t>QC INLINE</t>
  </si>
  <si>
    <t>Tổ lái</t>
  </si>
  <si>
    <t>Phụ xe</t>
  </si>
  <si>
    <t>Giao nhận</t>
  </si>
  <si>
    <t>KẾ HOẠCH XỬ LÝ</t>
  </si>
  <si>
    <t>TÀI XẾ</t>
  </si>
  <si>
    <t>VỆ SINH - MÔI TRƯỜNG</t>
  </si>
  <si>
    <t>Công nhân TRUNG TÂM NC</t>
  </si>
  <si>
    <t>ĐÓNG GÓI</t>
  </si>
  <si>
    <t>R/T (THUẬN TIẾN)</t>
  </si>
  <si>
    <t>QUẢN LÝ NHÀ MÁY</t>
  </si>
  <si>
    <t>VỆ SINH - CÂY XANH</t>
  </si>
  <si>
    <t>MÔI TRƯỜNG</t>
  </si>
  <si>
    <t>DỰ ÁN NHÀ MÁY</t>
  </si>
  <si>
    <t>THƯỞNG 2018</t>
  </si>
  <si>
    <t xml:space="preserve">   - Phòng Cơ cấu &amp; Chiến Lược</t>
  </si>
  <si>
    <t xml:space="preserve">   - Lái xe cty + bảo vệ</t>
  </si>
  <si>
    <t>QUẢN LÝ (Đất)</t>
  </si>
  <si>
    <t>QUẢN LÝ (Logistics)</t>
  </si>
  <si>
    <t xml:space="preserve">   - Tổ lái xe (Bùn)</t>
  </si>
  <si>
    <t xml:space="preserve">   - Phụ xe (Bùn)</t>
  </si>
  <si>
    <t>Trung tâm NC KHCN</t>
  </si>
  <si>
    <t>TRUNG TÂM NC UDSP</t>
  </si>
  <si>
    <t>QUẢN LÝ TRẠM CÂN</t>
  </si>
  <si>
    <t>R/T</t>
  </si>
  <si>
    <t>TỔNG 2 ĐỢT</t>
  </si>
  <si>
    <t>AN NINH - ATLĐ</t>
  </si>
  <si>
    <t>TÀI XẾ XE CƠ GIỚI</t>
  </si>
  <si>
    <t>PHÒNG/ BAN</t>
  </si>
  <si>
    <t>Bổ sung lương của Nguyễn Hoàng Luân sale Miền Trung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</si>
  <si>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</si>
  <si>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</si>
  <si>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</si>
  <si>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</si>
  <si>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</si>
  <si>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</si>
  <si>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</si>
  <si>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</si>
  <si>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</si>
  <si>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</si>
  <si>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</si>
  <si>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</si>
  <si>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</si>
  <si>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</si>
  <si>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</si>
  <si>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</si>
  <si>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</si>
  <si>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</si>
  <si>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</si>
  <si>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</si>
  <si>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</si>
  <si>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</si>
  <si>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</si>
  <si>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</si>
  <si>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</si>
  <si>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</si>
  <si>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</si>
  <si>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</si>
  <si>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Lái Xe Cơ Giới</t>
  </si>
  <si>
    <t xml:space="preserve">   - BP KHTH + QUẢN LÝ</t>
  </si>
  <si>
    <t>QUẢN LÝ CHUNG (GDDNM + các BP khác như KHO, TRAM CAN, CO ĐIỆN, KẾ HOẠCH SX, VẬT TƯ, NHÂN LỰC, BP VỆ SINH, KCS,...)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</si>
</sst>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-* #,##0\ _₫_-;\-* #,##0\ _₫_-;_-* &quot;-&quot;??\ _₫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</font>
    <font>
      <b/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name val="Tahoma"/>
      <family val="2"/>
    </font>
    <font>
      <b/>
      <sz val="8"/>
      <color theme="1"/>
      <name val="Times New Roman"/>
      <family val="1"/>
    </font>
    <font>
      <b/>
      <sz val="8"/>
      <name val="VNI-Times"/>
    </font>
    <font>
      <sz val="8"/>
      <color theme="1"/>
      <name val="Calibri"/>
      <family val="2"/>
      <scheme val="minor"/>
    </font>
    <font>
      <sz val="8"/>
      <name val="VNI-Times"/>
    </font>
    <font>
      <b/>
      <sz val="8"/>
      <color rgb="FFFF0000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9" tint="-0.249977111117893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  <charset val="163"/>
    </font>
    <font>
      <sz val="12"/>
      <name val="VNI-Aptima"/>
    </font>
    <font>
      <sz val="12"/>
      <name val="VNI-Time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VNI-Times"/>
    </font>
    <font>
      <b/>
      <sz val="1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sz val="16"/>
      <color rgb="FFC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rgb="FF2B03BD"/>
      <name val="VNI-Times"/>
    </font>
    <font>
      <b/>
      <i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" fillId="0" borderId="0"/>
    <xf numFmtId="164" fontId="23" fillId="0" borderId="0" applyFont="0" applyFill="0" applyBorder="0" applyAlignment="0" applyProtection="0"/>
    <xf numFmtId="0" fontId="14" fillId="0" borderId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</cellStyleXfs>
  <cellXfs count="121">
    <xf numFmtId="0" fontId="0" fillId="0" borderId="0" xfId="0"/>
    <xf numFmtId="165" fontId="3" fillId="0" borderId="0" xfId="1" applyNumberFormat="1" applyFont="1"/>
    <xf numFmtId="0" fontId="3" fillId="0" borderId="0" xfId="0" applyFont="1"/>
    <xf numFmtId="165" fontId="4" fillId="5" borderId="1" xfId="1" applyNumberFormat="1" applyFont="1" applyFill="1" applyBorder="1" applyAlignment="1" applyProtection="1">
      <alignment horizontal="center" vertical="center" wrapText="1"/>
    </xf>
    <xf numFmtId="165" fontId="8" fillId="6" borderId="1" xfId="0" applyNumberFormat="1" applyFont="1" applyFill="1" applyBorder="1"/>
    <xf numFmtId="0" fontId="9" fillId="7" borderId="1" xfId="6" applyFont="1" applyFill="1" applyBorder="1" applyAlignment="1" applyProtection="1">
      <alignment horizontal="left" vertical="center"/>
    </xf>
    <xf numFmtId="0" fontId="5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7" fillId="7" borderId="2" xfId="6" applyFont="1" applyFill="1" applyBorder="1" applyAlignment="1" applyProtection="1">
      <alignment horizontal="center" vertical="center" wrapText="1"/>
    </xf>
    <xf numFmtId="0" fontId="7" fillId="7" borderId="2" xfId="6" applyFont="1" applyFill="1" applyBorder="1" applyAlignment="1" applyProtection="1">
      <alignment horizontal="left" vertical="center" wrapText="1"/>
    </xf>
    <xf numFmtId="165" fontId="8" fillId="7" borderId="1" xfId="0" applyNumberFormat="1" applyFont="1" applyFill="1" applyBorder="1"/>
    <xf numFmtId="0" fontId="0" fillId="7" borderId="0" xfId="0" applyFill="1"/>
    <xf numFmtId="0" fontId="7" fillId="7" borderId="1" xfId="6" applyFont="1" applyFill="1" applyBorder="1" applyAlignment="1" applyProtection="1">
      <alignment horizontal="left" vertical="center"/>
    </xf>
    <xf numFmtId="0" fontId="8" fillId="7" borderId="0" xfId="0" applyFont="1" applyFill="1"/>
    <xf numFmtId="165" fontId="10" fillId="7" borderId="0" xfId="0" applyNumberFormat="1" applyFont="1" applyFill="1"/>
    <xf numFmtId="0" fontId="6" fillId="7" borderId="4" xfId="0" applyFont="1" applyFill="1" applyBorder="1" applyAlignment="1"/>
    <xf numFmtId="165" fontId="0" fillId="7" borderId="0" xfId="0" applyNumberFormat="1" applyFill="1"/>
    <xf numFmtId="165" fontId="0" fillId="0" borderId="0" xfId="0" applyNumberFormat="1"/>
    <xf numFmtId="0" fontId="13" fillId="5" borderId="1" xfId="0" applyFont="1" applyFill="1" applyBorder="1" applyAlignment="1">
      <alignment horizontal="center"/>
    </xf>
    <xf numFmtId="168" fontId="13" fillId="5" borderId="1" xfId="1" applyNumberFormat="1" applyFont="1" applyFill="1" applyBorder="1" applyAlignment="1">
      <alignment horizontal="center"/>
    </xf>
    <xf numFmtId="165" fontId="15" fillId="0" borderId="0" xfId="1" applyNumberFormat="1" applyFont="1" applyFill="1" applyProtection="1"/>
    <xf numFmtId="165" fontId="15" fillId="0" borderId="0" xfId="1" applyNumberFormat="1" applyFont="1" applyFill="1" applyAlignment="1" applyProtection="1">
      <alignment horizontal="right"/>
    </xf>
    <xf numFmtId="166" fontId="16" fillId="0" borderId="0" xfId="2" applyNumberFormat="1" applyFont="1" applyFill="1" applyProtection="1"/>
    <xf numFmtId="167" fontId="15" fillId="0" borderId="0" xfId="1" applyNumberFormat="1" applyFont="1" applyFill="1" applyProtection="1"/>
    <xf numFmtId="0" fontId="17" fillId="0" borderId="0" xfId="0" applyFont="1"/>
    <xf numFmtId="165" fontId="17" fillId="0" borderId="0" xfId="1" applyNumberFormat="1" applyFont="1"/>
    <xf numFmtId="9" fontId="18" fillId="0" borderId="0" xfId="2" applyFont="1"/>
    <xf numFmtId="165" fontId="19" fillId="4" borderId="1" xfId="1" applyNumberFormat="1" applyFont="1" applyFill="1" applyBorder="1" applyProtection="1"/>
    <xf numFmtId="165" fontId="16" fillId="2" borderId="1" xfId="1" applyNumberFormat="1" applyFont="1" applyFill="1" applyBorder="1" applyAlignment="1" applyProtection="1">
      <alignment horizontal="right"/>
    </xf>
    <xf numFmtId="165" fontId="16" fillId="2" borderId="1" xfId="1" applyNumberFormat="1" applyFont="1" applyFill="1" applyBorder="1" applyProtection="1"/>
    <xf numFmtId="165" fontId="20" fillId="0" borderId="1" xfId="1" applyNumberFormat="1" applyFont="1" applyFill="1" applyBorder="1" applyProtection="1"/>
    <xf numFmtId="165" fontId="20" fillId="0" borderId="1" xfId="1" applyNumberFormat="1" applyFont="1" applyFill="1" applyBorder="1" applyAlignment="1" applyProtection="1">
      <alignment horizontal="right"/>
    </xf>
    <xf numFmtId="0" fontId="21" fillId="0" borderId="0" xfId="0" applyFont="1"/>
    <xf numFmtId="165" fontId="16" fillId="0" borderId="1" xfId="1" quotePrefix="1" applyNumberFormat="1" applyFont="1" applyFill="1" applyBorder="1" applyProtection="1"/>
    <xf numFmtId="165" fontId="2" fillId="0" borderId="1" xfId="3" applyNumberFormat="1" applyFont="1" applyFill="1" applyBorder="1" applyAlignment="1" applyProtection="1">
      <alignment vertical="center"/>
    </xf>
    <xf numFmtId="165" fontId="15" fillId="0" borderId="1" xfId="1" applyNumberFormat="1" applyFont="1" applyFill="1" applyBorder="1" applyProtection="1"/>
    <xf numFmtId="165" fontId="16" fillId="0" borderId="1" xfId="1" applyNumberFormat="1" applyFont="1" applyFill="1" applyBorder="1" applyProtection="1"/>
    <xf numFmtId="165" fontId="2" fillId="0" borderId="1" xfId="3" applyNumberFormat="1" applyFont="1" applyFill="1" applyBorder="1" applyAlignment="1" applyProtection="1">
      <alignment horizontal="right" vertical="center" wrapText="1"/>
    </xf>
    <xf numFmtId="165" fontId="2" fillId="0" borderId="1" xfId="3" applyNumberFormat="1" applyFont="1" applyFill="1" applyBorder="1" applyAlignment="1" applyProtection="1">
      <alignment horizontal="center" vertical="center" wrapText="1"/>
    </xf>
    <xf numFmtId="165" fontId="17" fillId="0" borderId="0" xfId="0" applyNumberFormat="1" applyFont="1"/>
    <xf numFmtId="165" fontId="16" fillId="0" borderId="1" xfId="1" quotePrefix="1" applyNumberFormat="1" applyFont="1" applyFill="1" applyBorder="1" applyAlignment="1" applyProtection="1">
      <alignment wrapText="1"/>
    </xf>
    <xf numFmtId="165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right" wrapText="1"/>
    </xf>
    <xf numFmtId="0" fontId="17" fillId="0" borderId="0" xfId="0" applyFont="1" applyAlignment="1">
      <alignment horizontal="right"/>
    </xf>
    <xf numFmtId="165" fontId="2" fillId="7" borderId="1" xfId="3" applyNumberFormat="1" applyFont="1" applyFill="1" applyBorder="1" applyAlignment="1" applyProtection="1">
      <alignment horizontal="right" vertical="center"/>
    </xf>
    <xf numFmtId="165" fontId="15" fillId="3" borderId="0" xfId="1" applyNumberFormat="1" applyFont="1" applyFill="1" applyProtection="1"/>
    <xf numFmtId="9" fontId="18" fillId="8" borderId="0" xfId="2" applyFont="1" applyFill="1"/>
    <xf numFmtId="166" fontId="18" fillId="8" borderId="0" xfId="2" applyNumberFormat="1" applyFont="1" applyFill="1"/>
    <xf numFmtId="165" fontId="15" fillId="8" borderId="0" xfId="1" applyNumberFormat="1" applyFont="1" applyFill="1" applyProtection="1"/>
    <xf numFmtId="166" fontId="18" fillId="9" borderId="0" xfId="2" applyNumberFormat="1" applyFont="1" applyFill="1"/>
    <xf numFmtId="9" fontId="18" fillId="9" borderId="0" xfId="2" applyFont="1" applyFill="1"/>
    <xf numFmtId="165" fontId="15" fillId="7" borderId="0" xfId="0" applyNumberFormat="1" applyFont="1" applyFill="1" applyAlignment="1" applyProtection="1">
      <alignment horizontal="center" vertical="center"/>
    </xf>
    <xf numFmtId="165" fontId="20" fillId="7" borderId="1" xfId="1" applyNumberFormat="1" applyFont="1" applyFill="1" applyBorder="1" applyAlignment="1" applyProtection="1">
      <alignment horizontal="right"/>
    </xf>
    <xf numFmtId="165" fontId="16" fillId="7" borderId="1" xfId="1" applyNumberFormat="1" applyFont="1" applyFill="1" applyBorder="1" applyProtection="1"/>
    <xf numFmtId="165" fontId="15" fillId="7" borderId="1" xfId="1" applyNumberFormat="1" applyFont="1" applyFill="1" applyBorder="1" applyProtection="1"/>
    <xf numFmtId="165" fontId="16" fillId="10" borderId="1" xfId="1" quotePrefix="1" applyNumberFormat="1" applyFont="1" applyFill="1" applyBorder="1" applyProtection="1"/>
    <xf numFmtId="165" fontId="2" fillId="0" borderId="1" xfId="1" applyNumberFormat="1" applyFont="1" applyFill="1" applyBorder="1" applyAlignment="1" applyProtection="1">
      <alignment vertical="center"/>
    </xf>
    <xf numFmtId="165" fontId="2" fillId="7" borderId="1" xfId="3" applyNumberFormat="1" applyFont="1" applyFill="1" applyBorder="1" applyAlignment="1" applyProtection="1">
      <alignment vertical="center"/>
    </xf>
    <xf numFmtId="0" fontId="17" fillId="0" borderId="0" xfId="0" applyFont="1" applyFill="1"/>
    <xf numFmtId="165" fontId="17" fillId="0" borderId="0" xfId="1" applyNumberFormat="1" applyFont="1" applyFill="1"/>
    <xf numFmtId="165" fontId="17" fillId="0" borderId="0" xfId="0" applyNumberFormat="1" applyFont="1" applyFill="1"/>
    <xf numFmtId="0" fontId="21" fillId="0" borderId="0" xfId="0" applyFont="1" applyFill="1"/>
    <xf numFmtId="165" fontId="2" fillId="0" borderId="1" xfId="1" applyNumberFormat="1" applyFont="1" applyFill="1" applyBorder="1" applyAlignment="1" applyProtection="1">
      <alignment horizontal="right" vertical="center"/>
    </xf>
    <xf numFmtId="0" fontId="17" fillId="0" borderId="0" xfId="0" applyFont="1" applyFill="1" applyAlignment="1">
      <alignment horizontal="right"/>
    </xf>
    <xf numFmtId="165" fontId="15" fillId="0" borderId="1" xfId="1" quotePrefix="1" applyNumberFormat="1" applyFont="1" applyFill="1" applyBorder="1" applyProtection="1"/>
    <xf numFmtId="165" fontId="28" fillId="7" borderId="1" xfId="3" applyNumberFormat="1" applyFont="1" applyFill="1" applyBorder="1" applyAlignment="1" applyProtection="1">
      <alignment horizontal="right" vertical="center"/>
    </xf>
    <xf numFmtId="165" fontId="16" fillId="0" borderId="0" xfId="0" applyNumberFormat="1" applyFont="1" applyFill="1"/>
    <xf numFmtId="0" fontId="16" fillId="0" borderId="0" xfId="0" applyFont="1" applyFill="1"/>
    <xf numFmtId="0" fontId="16" fillId="0" borderId="0" xfId="0" applyFont="1"/>
    <xf numFmtId="165" fontId="0" fillId="0" borderId="0" xfId="1" applyNumberFormat="1" applyFont="1"/>
    <xf numFmtId="0" fontId="0" fillId="0" borderId="1" xfId="0" applyBorder="1"/>
    <xf numFmtId="165" fontId="13" fillId="5" borderId="1" xfId="1" applyNumberFormat="1" applyFont="1" applyFill="1" applyBorder="1" applyAlignment="1">
      <alignment horizontal="center"/>
    </xf>
    <xf numFmtId="165" fontId="0" fillId="0" borderId="1" xfId="1" applyNumberFormat="1" applyFont="1" applyBorder="1"/>
    <xf numFmtId="165" fontId="30" fillId="0" borderId="0" xfId="1" applyNumberFormat="1" applyFont="1"/>
    <xf numFmtId="165" fontId="28" fillId="0" borderId="1" xfId="3" applyNumberFormat="1" applyFont="1" applyFill="1" applyBorder="1" applyAlignment="1" applyProtection="1">
      <alignment horizontal="right" vertical="center"/>
    </xf>
    <xf numFmtId="165" fontId="15" fillId="11" borderId="1" xfId="1" quotePrefix="1" applyNumberFormat="1" applyFont="1" applyFill="1" applyBorder="1" applyProtection="1"/>
    <xf numFmtId="168" fontId="34" fillId="12" borderId="1" xfId="1" applyNumberFormat="1" applyFont="1" applyFill="1" applyBorder="1" applyAlignment="1">
      <alignment horizontal="center" vertical="center"/>
    </xf>
    <xf numFmtId="168" fontId="34" fillId="0" borderId="1" xfId="1" applyNumberFormat="1" applyFont="1" applyBorder="1"/>
    <xf numFmtId="168" fontId="33" fillId="0" borderId="1" xfId="0" applyNumberFormat="1" applyFont="1" applyBorder="1"/>
    <xf numFmtId="168" fontId="34" fillId="0" borderId="4" xfId="1" applyNumberFormat="1" applyFont="1" applyBorder="1"/>
    <xf numFmtId="0" fontId="35" fillId="0" borderId="0" xfId="0" applyFont="1"/>
    <xf numFmtId="0" fontId="36" fillId="0" borderId="0" xfId="0" applyFont="1"/>
    <xf numFmtId="168" fontId="36" fillId="0" borderId="0" xfId="0" applyNumberFormat="1" applyFont="1"/>
    <xf numFmtId="0" fontId="31" fillId="0" borderId="2" xfId="0" applyFont="1" applyFill="1" applyBorder="1" applyAlignment="1">
      <alignment horizontal="left" vertical="center"/>
    </xf>
    <xf numFmtId="168" fontId="31" fillId="0" borderId="1" xfId="1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/>
    </xf>
    <xf numFmtId="168" fontId="31" fillId="0" borderId="1" xfId="1" applyNumberFormat="1" applyFont="1" applyFill="1" applyBorder="1"/>
    <xf numFmtId="0" fontId="31" fillId="0" borderId="1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left"/>
    </xf>
    <xf numFmtId="0" fontId="37" fillId="0" borderId="1" xfId="0" applyFont="1" applyFill="1" applyBorder="1"/>
    <xf numFmtId="165" fontId="17" fillId="0" borderId="0" xfId="0" applyNumberFormat="1" applyFont="1" applyAlignment="1">
      <alignment horizontal="right"/>
    </xf>
    <xf numFmtId="165" fontId="38" fillId="0" borderId="1" xfId="3" applyNumberFormat="1" applyFont="1" applyFill="1" applyBorder="1" applyAlignment="1" applyProtection="1">
      <alignment horizontal="right" vertical="center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43" fontId="17" fillId="0" borderId="0" xfId="0" applyNumberFormat="1" applyFont="1" applyAlignment="1">
      <alignment horizontal="right"/>
    </xf>
    <xf numFmtId="9" fontId="17" fillId="0" borderId="0" xfId="2" applyFont="1"/>
    <xf numFmtId="0" fontId="30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165" fontId="17" fillId="0" borderId="0" xfId="1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65" fontId="30" fillId="0" borderId="0" xfId="0" applyNumberFormat="1" applyFont="1"/>
    <xf numFmtId="168" fontId="13" fillId="5" borderId="1" xfId="1" applyNumberFormat="1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168" fontId="32" fillId="12" borderId="7" xfId="1" applyNumberFormat="1" applyFont="1" applyFill="1" applyBorder="1" applyAlignment="1">
      <alignment horizontal="center" vertical="center"/>
    </xf>
    <xf numFmtId="168" fontId="32" fillId="12" borderId="8" xfId="1" applyNumberFormat="1" applyFont="1" applyFill="1" applyBorder="1" applyAlignment="1">
      <alignment horizontal="center" vertical="center"/>
    </xf>
    <xf numFmtId="168" fontId="32" fillId="12" borderId="5" xfId="1" applyNumberFormat="1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1" fillId="12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165" fontId="21" fillId="0" borderId="0" xfId="0" applyNumberFormat="1" applyFont="1"/>
    <xf numFmtId="0" fontId="30" fillId="0" borderId="0" xfId="0" applyFont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0" fontId="20" fillId="0" borderId="0" xfId="0" applyFont="1"/>
  </cellXfs>
  <cellStyles count="25">
    <cellStyle name="Comma" xfId="1" builtinId="3"/>
    <cellStyle name="Comma 2" xfId="5"/>
    <cellStyle name="Comma 2 2" xfId="7"/>
    <cellStyle name="Comma 2 2 2" xfId="16"/>
    <cellStyle name="Comma 2 3" xfId="15"/>
    <cellStyle name="Comma 2 3 2" xfId="8"/>
    <cellStyle name="Comma 3" xfId="10"/>
    <cellStyle name="Comma 3 2" xfId="17"/>
    <cellStyle name="Comma 4" xfId="14"/>
    <cellStyle name="Currency 2" xfId="19"/>
    <cellStyle name="Currency 3" xfId="18"/>
    <cellStyle name="Normal" xfId="0" builtinId="0"/>
    <cellStyle name="Normal 10" xfId="12"/>
    <cellStyle name="Normal 2" xfId="3"/>
    <cellStyle name="Normal 2 2" xfId="6"/>
    <cellStyle name="Normal 2 2 2" xfId="21"/>
    <cellStyle name="Normal 2 3" xfId="20"/>
    <cellStyle name="Normal 3" xfId="11"/>
    <cellStyle name="Normal 3 2" xfId="22"/>
    <cellStyle name="Normal 4" xfId="9"/>
    <cellStyle name="Normal 4 2" xfId="23"/>
    <cellStyle name="Normal 5" xfId="24"/>
    <cellStyle name="Normal 6" xfId="1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p%20a.gIANG/T4-2017%20VAN%20PHONG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y che"/>
      <sheetName val="He so VP"/>
      <sheetName val="He so (KD)"/>
      <sheetName val="THANG LUONG MOI"/>
      <sheetName val="Thang luong"/>
      <sheetName val="Luong VP"/>
      <sheetName val="The luongvp"/>
      <sheetName val="Luong KD"/>
      <sheetName val="theluongkd"/>
      <sheetName val="DT-DS"/>
      <sheetName val="Tam ung"/>
      <sheetName val="TH cong"/>
      <sheetName val="Doanh so"/>
      <sheetName val="theo doi Phep edit"/>
      <sheetName val="Cham cong"/>
      <sheetName val="TH ngay phep"/>
      <sheetName val="phep"/>
      <sheetName val="Phép nă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LÑ01</v>
          </cell>
          <cell r="C5" t="str">
            <v>Ngoâ Pa Ri</v>
          </cell>
          <cell r="D5" t="str">
            <v>Chuû tòch</v>
          </cell>
          <cell r="E5">
            <v>0</v>
          </cell>
        </row>
        <row r="6">
          <cell r="B6" t="str">
            <v>LÑ02</v>
          </cell>
          <cell r="C6" t="str">
            <v>Nguyeãn Vaên Thaûo</v>
          </cell>
          <cell r="D6" t="str">
            <v>Toång Gíam Ñoác</v>
          </cell>
          <cell r="E6">
            <v>0</v>
          </cell>
        </row>
        <row r="7">
          <cell r="B7" t="str">
            <v>NS01</v>
          </cell>
          <cell r="C7" t="str">
            <v>Nguyeãn Ñoã Q. Phöông</v>
          </cell>
          <cell r="D7" t="str">
            <v>Q.GÑ HCNS</v>
          </cell>
          <cell r="E7">
            <v>0</v>
          </cell>
        </row>
        <row r="8">
          <cell r="B8" t="str">
            <v>NS02</v>
          </cell>
          <cell r="C8" t="str">
            <v>Leâ Hoaøng Tuaán</v>
          </cell>
          <cell r="D8" t="str">
            <v>Baûo veä</v>
          </cell>
          <cell r="E8">
            <v>2000</v>
          </cell>
        </row>
        <row r="9">
          <cell r="B9" t="str">
            <v>NS03</v>
          </cell>
          <cell r="C9" t="str">
            <v>Traàn Thò Thanh Xuaân</v>
          </cell>
          <cell r="D9" t="str">
            <v>NV Haønh chính</v>
          </cell>
          <cell r="E9">
            <v>0</v>
          </cell>
        </row>
        <row r="10">
          <cell r="B10" t="str">
            <v>NS04</v>
          </cell>
          <cell r="C10" t="str">
            <v>Leâ Xuaân Kim</v>
          </cell>
          <cell r="D10" t="str">
            <v>Taøi xeá cho CT.HÑTV</v>
          </cell>
          <cell r="E10">
            <v>5000</v>
          </cell>
        </row>
        <row r="11">
          <cell r="B11" t="str">
            <v>NS05</v>
          </cell>
          <cell r="C11" t="str">
            <v>Nguyeãn Chu Thy</v>
          </cell>
          <cell r="D11" t="str">
            <v>Chuyeân vieân IT</v>
          </cell>
          <cell r="E11">
            <v>0</v>
          </cell>
        </row>
        <row r="12">
          <cell r="B12" t="str">
            <v>NS06</v>
          </cell>
          <cell r="C12" t="str">
            <v>Leâ Nguyeãn Trieàu Vöông</v>
          </cell>
          <cell r="D12" t="str">
            <v>NV IT</v>
          </cell>
          <cell r="E12">
            <v>0</v>
          </cell>
        </row>
        <row r="13">
          <cell r="B13" t="str">
            <v>NS07</v>
          </cell>
          <cell r="C13" t="str">
            <v>Nguyeãn Thò Ngoïc Thieän</v>
          </cell>
          <cell r="D13" t="str">
            <v>NV Nhaân söï</v>
          </cell>
          <cell r="E13">
            <v>4000</v>
          </cell>
        </row>
        <row r="14">
          <cell r="B14" t="str">
            <v>NS08</v>
          </cell>
          <cell r="C14" t="str">
            <v>Ñoã Ngoïc Thieân Thanh</v>
          </cell>
          <cell r="D14" t="str">
            <v>NV Haønh chính</v>
          </cell>
          <cell r="E14">
            <v>0</v>
          </cell>
        </row>
        <row r="15">
          <cell r="B15" t="str">
            <v>NB01</v>
          </cell>
          <cell r="C15" t="str">
            <v>Nguyeãn Thoï Ngoïc</v>
          </cell>
          <cell r="D15" t="str">
            <v>CV Ban KS Noäi boä</v>
          </cell>
          <cell r="E15">
            <v>5000</v>
          </cell>
        </row>
        <row r="16">
          <cell r="B16" t="str">
            <v>NB02</v>
          </cell>
          <cell r="C16" t="str">
            <v>Nguyeãn Trinh Nguyeân</v>
          </cell>
          <cell r="D16" t="str">
            <v>NV Phaùp lyù</v>
          </cell>
          <cell r="E16">
            <v>0</v>
          </cell>
        </row>
        <row r="17">
          <cell r="B17" t="str">
            <v>ÑMCC01</v>
          </cell>
          <cell r="C17" t="str">
            <v>Hoaøng Giaùng Sinh</v>
          </cell>
          <cell r="D17" t="str">
            <v>Tröôûng ban ÑMCC</v>
          </cell>
          <cell r="E17">
            <v>0</v>
          </cell>
        </row>
        <row r="18">
          <cell r="B18" t="str">
            <v>KT01</v>
          </cell>
          <cell r="C18" t="str">
            <v>Nguyeãn T. Hoàng Aùnh</v>
          </cell>
          <cell r="D18" t="str">
            <v>KTV</v>
          </cell>
          <cell r="E18">
            <v>0</v>
          </cell>
        </row>
        <row r="19">
          <cell r="B19" t="str">
            <v>KT02</v>
          </cell>
          <cell r="C19" t="str">
            <v>Ninh Phöông Haïnh</v>
          </cell>
          <cell r="D19" t="str">
            <v>Thuû quyõ</v>
          </cell>
          <cell r="E19">
            <v>0</v>
          </cell>
        </row>
        <row r="20">
          <cell r="B20" t="str">
            <v>KT03</v>
          </cell>
          <cell r="C20" t="str">
            <v xml:space="preserve">Nguyeãn Thaùi Ngaân </v>
          </cell>
          <cell r="D20" t="str">
            <v>KTV</v>
          </cell>
          <cell r="E20">
            <v>0</v>
          </cell>
        </row>
        <row r="21">
          <cell r="B21" t="str">
            <v>KT04</v>
          </cell>
          <cell r="C21" t="str">
            <v>Nguyeãn Vaên Baûy</v>
          </cell>
          <cell r="D21" t="str">
            <v>Q.GÑ TC-KT</v>
          </cell>
          <cell r="E21">
            <v>0</v>
          </cell>
        </row>
        <row r="22">
          <cell r="B22" t="str">
            <v>KT05</v>
          </cell>
          <cell r="C22" t="str">
            <v>Voõ Thò Hoàng Ñaøo</v>
          </cell>
          <cell r="D22" t="str">
            <v>KTV</v>
          </cell>
          <cell r="E22">
            <v>3000</v>
          </cell>
        </row>
        <row r="23">
          <cell r="B23" t="str">
            <v>KT06</v>
          </cell>
          <cell r="C23" t="str">
            <v>Töø Thò Hoaøng Oanh</v>
          </cell>
          <cell r="D23" t="str">
            <v>KTV</v>
          </cell>
          <cell r="E23">
            <v>0</v>
          </cell>
        </row>
        <row r="24">
          <cell r="B24" t="str">
            <v>KT07</v>
          </cell>
          <cell r="C24" t="str">
            <v>Nguyeãn Thoáng Nhaát</v>
          </cell>
          <cell r="D24" t="str">
            <v>NV Vaät giaù</v>
          </cell>
          <cell r="E24">
            <v>5000</v>
          </cell>
        </row>
        <row r="25">
          <cell r="B25" t="str">
            <v>KT08</v>
          </cell>
          <cell r="C25" t="str">
            <v>Kieàu Thò Thuûy Tieân</v>
          </cell>
          <cell r="D25" t="str">
            <v>Keá toaùn thueá</v>
          </cell>
          <cell r="E25">
            <v>3000</v>
          </cell>
        </row>
        <row r="26">
          <cell r="B26" t="str">
            <v>KT09</v>
          </cell>
          <cell r="C26" t="str">
            <v>Huuyønh Ngoïc Giang</v>
          </cell>
          <cell r="D26" t="str">
            <v>Keá toaùn quaûn trò</v>
          </cell>
          <cell r="E26">
            <v>0</v>
          </cell>
        </row>
        <row r="27">
          <cell r="B27" t="str">
            <v>XD01</v>
          </cell>
          <cell r="C27" t="str">
            <v>Leâ Thanh Huy</v>
          </cell>
          <cell r="D27" t="str">
            <v>Q.Tröôûng Ban KHVT</v>
          </cell>
          <cell r="E27">
            <v>10000</v>
          </cell>
        </row>
        <row r="28">
          <cell r="B28" t="str">
            <v>XD02</v>
          </cell>
          <cell r="C28" t="str">
            <v>Chaâu Phöôùc Thuaàn</v>
          </cell>
          <cell r="D28" t="str">
            <v>Giaùm saùt</v>
          </cell>
          <cell r="E28">
            <v>5000</v>
          </cell>
        </row>
        <row r="29">
          <cell r="B29" t="str">
            <v>XD03</v>
          </cell>
          <cell r="C29" t="str">
            <v>Nguyeãn Duy Long</v>
          </cell>
          <cell r="D29" t="str">
            <v>Giaùm saùt</v>
          </cell>
          <cell r="E29">
            <v>5000</v>
          </cell>
        </row>
        <row r="30">
          <cell r="B30" t="str">
            <v>XD04</v>
          </cell>
          <cell r="C30" t="str">
            <v>Nguyeãn Traàn Duy Anh</v>
          </cell>
          <cell r="D30" t="str">
            <v>Qlyù Thieát keá</v>
          </cell>
          <cell r="E30">
            <v>5000</v>
          </cell>
        </row>
        <row r="31">
          <cell r="B31" t="str">
            <v>XD05</v>
          </cell>
          <cell r="C31" t="str">
            <v>Ñaøo Ngoïc Long</v>
          </cell>
          <cell r="D31" t="str">
            <v>NVVT</v>
          </cell>
          <cell r="E31">
            <v>3000</v>
          </cell>
        </row>
        <row r="32">
          <cell r="B32" t="str">
            <v>XD06</v>
          </cell>
          <cell r="C32" t="str">
            <v>Nguyeãn Ngoïc Ñoâng</v>
          </cell>
          <cell r="D32" t="str">
            <v>NV Traéc ñaïc</v>
          </cell>
          <cell r="E32">
            <v>5000</v>
          </cell>
        </row>
        <row r="33">
          <cell r="B33" t="str">
            <v>VT01</v>
          </cell>
          <cell r="C33" t="str">
            <v>Traàn Vaên Vò Toaøn</v>
          </cell>
          <cell r="D33" t="str">
            <v>NVVT</v>
          </cell>
          <cell r="E33">
            <v>5000</v>
          </cell>
        </row>
        <row r="34">
          <cell r="B34" t="str">
            <v>VT02</v>
          </cell>
          <cell r="C34" t="str">
            <v>Voõ Thò Haèøng</v>
          </cell>
          <cell r="D34" t="str">
            <v>NVVT</v>
          </cell>
          <cell r="E34">
            <v>0</v>
          </cell>
        </row>
        <row r="35">
          <cell r="B35" t="str">
            <v>VT03</v>
          </cell>
          <cell r="C35" t="str">
            <v>Nguyeãn Vaên Thoâng</v>
          </cell>
          <cell r="D35" t="str">
            <v>CN thu mua muïn döøa</v>
          </cell>
          <cell r="E35">
            <v>4000</v>
          </cell>
        </row>
        <row r="36">
          <cell r="B36" t="str">
            <v>VT04</v>
          </cell>
          <cell r="C36" t="str">
            <v>Nguyeãn Phan Höng</v>
          </cell>
          <cell r="D36" t="str">
            <v>NVVT MMTB</v>
          </cell>
          <cell r="E36">
            <v>0</v>
          </cell>
        </row>
        <row r="37">
          <cell r="B37" t="str">
            <v>VT05</v>
          </cell>
          <cell r="C37" t="str">
            <v>Ñoaøn Phan Quoác Anh</v>
          </cell>
          <cell r="D37" t="str">
            <v>NV ñieàu phoái</v>
          </cell>
          <cell r="E37">
            <v>5000</v>
          </cell>
        </row>
        <row r="38">
          <cell r="B38" t="str">
            <v>VT06</v>
          </cell>
          <cell r="C38" t="str">
            <v>Laâm Hieáu Thuaän</v>
          </cell>
          <cell r="D38" t="str">
            <v>NV ñieàu phoái - XD</v>
          </cell>
          <cell r="E38">
            <v>0</v>
          </cell>
        </row>
        <row r="39">
          <cell r="B39" t="str">
            <v>DA01</v>
          </cell>
          <cell r="C39" t="str">
            <v>Huyønh Thanh Lieâm</v>
          </cell>
          <cell r="D39" t="str">
            <v>Q. Tröôûng Ban DA</v>
          </cell>
          <cell r="E39">
            <v>0</v>
          </cell>
        </row>
        <row r="40">
          <cell r="B40" t="str">
            <v>DA02</v>
          </cell>
          <cell r="C40" t="str">
            <v>Leâ Coâng Nhaát Trung</v>
          </cell>
          <cell r="D40" t="str">
            <v>NV Ban DA</v>
          </cell>
          <cell r="E40">
            <v>0</v>
          </cell>
        </row>
        <row r="41">
          <cell r="B41" t="str">
            <v>DA04</v>
          </cell>
          <cell r="C41" t="str">
            <v>Nguyeãn Thò Giang</v>
          </cell>
          <cell r="D41" t="str">
            <v>NV Ban DA</v>
          </cell>
          <cell r="E41">
            <v>0</v>
          </cell>
        </row>
        <row r="42">
          <cell r="B42" t="str">
            <v>DA05</v>
          </cell>
          <cell r="C42" t="str">
            <v>Cao Xuaân Vuõ</v>
          </cell>
          <cell r="D42" t="str">
            <v>NV Ban DA</v>
          </cell>
          <cell r="E42">
            <v>0</v>
          </cell>
        </row>
        <row r="43">
          <cell r="B43" t="str">
            <v>TT01</v>
          </cell>
          <cell r="C43" t="str">
            <v>Nguyeãn Nguyeân Nguyeân</v>
          </cell>
          <cell r="D43" t="str">
            <v>Q.GÑ Trung taâm NC KHCN</v>
          </cell>
          <cell r="E43">
            <v>0</v>
          </cell>
        </row>
        <row r="44">
          <cell r="B44" t="str">
            <v>TT02</v>
          </cell>
          <cell r="C44" t="str">
            <v>Ñoã Thanh Tuù</v>
          </cell>
          <cell r="D44" t="str">
            <v>Chuyeân vieân TTNC</v>
          </cell>
          <cell r="E44">
            <v>0</v>
          </cell>
        </row>
        <row r="45">
          <cell r="B45" t="str">
            <v>TT03</v>
          </cell>
          <cell r="C45" t="str">
            <v>Nguyeãn Thò Thuùy Dieãm</v>
          </cell>
          <cell r="D45" t="str">
            <v>NV NC SP</v>
          </cell>
          <cell r="E45">
            <v>0</v>
          </cell>
        </row>
        <row r="46">
          <cell r="B46" t="str">
            <v>TT04</v>
          </cell>
          <cell r="C46" t="str">
            <v>Vuõ Thò Loan</v>
          </cell>
          <cell r="D46" t="str">
            <v>NV NC SP</v>
          </cell>
          <cell r="E46">
            <v>0</v>
          </cell>
        </row>
        <row r="47">
          <cell r="B47" t="str">
            <v>TT05</v>
          </cell>
          <cell r="C47" t="str">
            <v>Traàn Thò Minh Thöông</v>
          </cell>
          <cell r="D47" t="str">
            <v>Chuyeân vieân TTNC</v>
          </cell>
          <cell r="E47">
            <v>0</v>
          </cell>
        </row>
        <row r="48">
          <cell r="B48" t="str">
            <v>TT06</v>
          </cell>
          <cell r="C48" t="str">
            <v>Traàn Vaên Haø</v>
          </cell>
          <cell r="D48" t="str">
            <v>NV Moâi tröôøng - TTNC</v>
          </cell>
          <cell r="E48">
            <v>3000</v>
          </cell>
        </row>
        <row r="49">
          <cell r="B49">
            <v>0</v>
          </cell>
          <cell r="C49" t="str">
            <v>Kinh Doanh</v>
          </cell>
          <cell r="D49">
            <v>0</v>
          </cell>
          <cell r="E49">
            <v>0</v>
          </cell>
        </row>
        <row r="50">
          <cell r="B50" t="str">
            <v>KDV2</v>
          </cell>
          <cell r="C50" t="str">
            <v>Thaïch Minh Chaâu</v>
          </cell>
          <cell r="D50" t="str">
            <v>NVVP</v>
          </cell>
          <cell r="E50">
            <v>3000</v>
          </cell>
        </row>
        <row r="51">
          <cell r="B51" t="str">
            <v>KDV3</v>
          </cell>
          <cell r="C51" t="str">
            <v>Leâ Thò Anh Thö</v>
          </cell>
          <cell r="D51" t="str">
            <v>GÑKD</v>
          </cell>
          <cell r="E51">
            <v>0</v>
          </cell>
        </row>
        <row r="52">
          <cell r="B52" t="str">
            <v>KDX1</v>
          </cell>
          <cell r="C52" t="str">
            <v>Ngoâ Maïnh Linh trưởng bộ phận</v>
          </cell>
          <cell r="D52" t="str">
            <v>Laùi xe</v>
          </cell>
          <cell r="E52">
            <v>9000</v>
          </cell>
        </row>
        <row r="53">
          <cell r="B53" t="str">
            <v>KDX2</v>
          </cell>
          <cell r="C53" t="str">
            <v xml:space="preserve">Nguyeãn Cöôøng </v>
          </cell>
          <cell r="D53" t="str">
            <v>Laùi xe</v>
          </cell>
          <cell r="E53">
            <v>3000</v>
          </cell>
        </row>
        <row r="54">
          <cell r="B54" t="str">
            <v>KDX3</v>
          </cell>
          <cell r="C54" t="str">
            <v>Nguyeãn Vaên Chung</v>
          </cell>
          <cell r="D54" t="str">
            <v>Laùi xe</v>
          </cell>
          <cell r="E54">
            <v>3000</v>
          </cell>
        </row>
        <row r="55">
          <cell r="B55" t="str">
            <v>KDX4</v>
          </cell>
          <cell r="C55" t="str">
            <v>Leâ Ñöùc Bình</v>
          </cell>
          <cell r="D55" t="str">
            <v>Laùi xe</v>
          </cell>
          <cell r="E55">
            <v>0</v>
          </cell>
        </row>
        <row r="56">
          <cell r="B56" t="str">
            <v>KDX5</v>
          </cell>
          <cell r="C56" t="str">
            <v>Nguyeãn Vaên Tuaán</v>
          </cell>
          <cell r="D56" t="str">
            <v>Laùi xe</v>
          </cell>
          <cell r="E56">
            <v>3000</v>
          </cell>
        </row>
        <row r="57">
          <cell r="B57" t="str">
            <v>KDX6</v>
          </cell>
          <cell r="C57" t="str">
            <v>Nguyeãn Hoaøi Thanh</v>
          </cell>
          <cell r="D57" t="str">
            <v>Laùi xe</v>
          </cell>
          <cell r="E57">
            <v>3500</v>
          </cell>
        </row>
        <row r="58">
          <cell r="B58" t="str">
            <v>KDX8</v>
          </cell>
          <cell r="C58" t="str">
            <v>Nguyeãn Ñình Höôùng</v>
          </cell>
          <cell r="D58" t="str">
            <v>Laùi xe</v>
          </cell>
          <cell r="E58">
            <v>4000</v>
          </cell>
        </row>
        <row r="59">
          <cell r="B59" t="str">
            <v>KDX9</v>
          </cell>
          <cell r="C59" t="str">
            <v>Chaâu Kim Löôïng</v>
          </cell>
          <cell r="D59" t="str">
            <v>Laùi xe</v>
          </cell>
          <cell r="E59">
            <v>3000</v>
          </cell>
        </row>
        <row r="60">
          <cell r="B60" t="str">
            <v>KDX10</v>
          </cell>
          <cell r="C60" t="str">
            <v>Huyønh Troïng Nghóa</v>
          </cell>
          <cell r="D60" t="str">
            <v>Laùi xe</v>
          </cell>
          <cell r="E60">
            <v>3000</v>
          </cell>
        </row>
        <row r="61">
          <cell r="B61" t="str">
            <v>KDX11</v>
          </cell>
          <cell r="C61" t="str">
            <v>Thaïch Ngoïc Kieàu</v>
          </cell>
          <cell r="D61" t="str">
            <v>Laùi xe</v>
          </cell>
          <cell r="E61">
            <v>3000</v>
          </cell>
        </row>
        <row r="62">
          <cell r="B62" t="str">
            <v>KDX12</v>
          </cell>
          <cell r="C62" t="str">
            <v>Ñoã Thanh Haøo</v>
          </cell>
          <cell r="D62" t="str">
            <v>Laùi xe buøn</v>
          </cell>
          <cell r="E62">
            <v>3000</v>
          </cell>
        </row>
        <row r="63">
          <cell r="B63" t="str">
            <v>KDX13</v>
          </cell>
          <cell r="C63" t="str">
            <v>Leâ Syõ Ninh</v>
          </cell>
          <cell r="D63" t="str">
            <v>Laùi xe - phuï</v>
          </cell>
          <cell r="E63">
            <v>3000</v>
          </cell>
        </row>
        <row r="64">
          <cell r="B64" t="str">
            <v>KDS1</v>
          </cell>
          <cell r="C64" t="str">
            <v>Nguyeãn Tuaán Anh</v>
          </cell>
          <cell r="D64" t="str">
            <v>NVKD</v>
          </cell>
          <cell r="E64">
            <v>0</v>
          </cell>
        </row>
        <row r="65">
          <cell r="B65" t="str">
            <v>KDS2</v>
          </cell>
          <cell r="C65" t="str">
            <v>Phan Thanh Tuøng</v>
          </cell>
          <cell r="D65" t="str">
            <v>NVKD</v>
          </cell>
          <cell r="E65">
            <v>0</v>
          </cell>
        </row>
        <row r="66">
          <cell r="B66" t="str">
            <v>KDS3</v>
          </cell>
          <cell r="C66" t="str">
            <v>Phaïm Thò Nhaãn</v>
          </cell>
          <cell r="D66" t="str">
            <v>NVKD</v>
          </cell>
          <cell r="E66">
            <v>0</v>
          </cell>
        </row>
        <row r="67">
          <cell r="B67" t="str">
            <v>KDS4</v>
          </cell>
          <cell r="C67" t="str">
            <v>Trịnh Minh Hảo (Trưởng BP sale)</v>
          </cell>
          <cell r="D67" t="str">
            <v>NVKD</v>
          </cell>
          <cell r="E67">
            <v>0</v>
          </cell>
        </row>
        <row r="68">
          <cell r="B68" t="str">
            <v>KDS5</v>
          </cell>
          <cell r="C68" t="str">
            <v>Nguyeãn Thò Myõ Haïnh</v>
          </cell>
          <cell r="D68" t="str">
            <v>NVKD</v>
          </cell>
          <cell r="E68">
            <v>0</v>
          </cell>
        </row>
        <row r="69">
          <cell r="B69" t="str">
            <v>KDS6</v>
          </cell>
          <cell r="C69" t="str">
            <v>Leâ Nho Khaùnh</v>
          </cell>
          <cell r="D69" t="str">
            <v>NVKD tænh</v>
          </cell>
          <cell r="E69">
            <v>0</v>
          </cell>
        </row>
        <row r="70">
          <cell r="B70" t="str">
            <v>KDS7</v>
          </cell>
          <cell r="C70" t="str">
            <v>Ngoâ Quoác Taøi</v>
          </cell>
          <cell r="D70" t="str">
            <v>NVKD</v>
          </cell>
          <cell r="E70">
            <v>0</v>
          </cell>
        </row>
        <row r="71">
          <cell r="B71" t="str">
            <v>KDS8</v>
          </cell>
          <cell r="C71" t="str">
            <v>Nguyeãn Ñöùc Trung</v>
          </cell>
          <cell r="D71" t="str">
            <v>NVKD</v>
          </cell>
          <cell r="E71">
            <v>0</v>
          </cell>
        </row>
        <row r="72">
          <cell r="B72" t="str">
            <v>KDS9</v>
          </cell>
          <cell r="C72" t="str">
            <v>Nguyeãn Minh Ñaïi</v>
          </cell>
          <cell r="D72" t="str">
            <v>NVKD</v>
          </cell>
          <cell r="E72">
            <v>0</v>
          </cell>
        </row>
        <row r="73">
          <cell r="B73" t="str">
            <v>KDS10</v>
          </cell>
          <cell r="C73" t="str">
            <v>Traàn Ngoïc Thaïch</v>
          </cell>
          <cell r="D73" t="str">
            <v>NVKD tænh</v>
          </cell>
          <cell r="E73">
            <v>0</v>
          </cell>
        </row>
        <row r="74">
          <cell r="B74" t="str">
            <v>KDG1</v>
          </cell>
          <cell r="C74" t="str">
            <v>Nguyeãn Hoàng Haûi (trưởng bộ phận)</v>
          </cell>
          <cell r="D74" t="str">
            <v>G.haøng</v>
          </cell>
          <cell r="E74">
            <v>5000</v>
          </cell>
        </row>
        <row r="75">
          <cell r="B75" t="str">
            <v>KDG2</v>
          </cell>
          <cell r="C75" t="str">
            <v>Nguyeãn Thaønh Ngoan</v>
          </cell>
          <cell r="D75" t="str">
            <v>G.haøng</v>
          </cell>
          <cell r="E75">
            <v>3000</v>
          </cell>
        </row>
        <row r="76">
          <cell r="B76" t="str">
            <v>KDG3</v>
          </cell>
          <cell r="C76" t="str">
            <v>Nguyeãn Thanh Cöôøng</v>
          </cell>
          <cell r="D76" t="str">
            <v>G.haøng</v>
          </cell>
          <cell r="E76">
            <v>3000</v>
          </cell>
        </row>
        <row r="77">
          <cell r="B77" t="str">
            <v>KDG4</v>
          </cell>
          <cell r="C77" t="str">
            <v>Nguyeãn Ngoïc Hieáu</v>
          </cell>
          <cell r="D77" t="str">
            <v>G.haøng</v>
          </cell>
          <cell r="E77">
            <v>3000</v>
          </cell>
        </row>
        <row r="78">
          <cell r="B78" t="str">
            <v>KDG5</v>
          </cell>
          <cell r="C78" t="str">
            <v>Khaâu Phöôùc Taøi</v>
          </cell>
          <cell r="D78" t="str">
            <v>G.haøng</v>
          </cell>
          <cell r="E78">
            <v>0</v>
          </cell>
        </row>
        <row r="79">
          <cell r="B79" t="str">
            <v>KDG6</v>
          </cell>
          <cell r="C79" t="str">
            <v>Huyønh Quoác Huøng</v>
          </cell>
          <cell r="D79" t="str">
            <v>G.haøng</v>
          </cell>
          <cell r="E79">
            <v>3000</v>
          </cell>
        </row>
        <row r="80">
          <cell r="B80" t="str">
            <v>KDG7</v>
          </cell>
          <cell r="C80" t="str">
            <v>Ngoâ Quoác Huy</v>
          </cell>
          <cell r="D80" t="str">
            <v>G.haøng</v>
          </cell>
          <cell r="E80">
            <v>6000</v>
          </cell>
        </row>
        <row r="81">
          <cell r="B81" t="str">
            <v>KDG8</v>
          </cell>
          <cell r="C81" t="str">
            <v>Traàn Thanh Long</v>
          </cell>
          <cell r="D81" t="str">
            <v>G.haøng</v>
          </cell>
          <cell r="E81">
            <v>3000</v>
          </cell>
        </row>
        <row r="82">
          <cell r="B82" t="str">
            <v>KDG9</v>
          </cell>
          <cell r="C82" t="str">
            <v>Huyønh Minh Hoaøng</v>
          </cell>
          <cell r="D82" t="str">
            <v>G.haøng</v>
          </cell>
          <cell r="E82">
            <v>3000</v>
          </cell>
        </row>
        <row r="83">
          <cell r="B83" t="str">
            <v>KDG10</v>
          </cell>
          <cell r="C83" t="str">
            <v>Haø Thaønh Ñaït</v>
          </cell>
          <cell r="D83" t="str">
            <v>G.haøng</v>
          </cell>
          <cell r="E83">
            <v>3000</v>
          </cell>
        </row>
        <row r="84">
          <cell r="B84" t="str">
            <v>KDG11</v>
          </cell>
          <cell r="C84" t="str">
            <v>Döông Nguyeãn Vuõ Baûo</v>
          </cell>
          <cell r="D84" t="str">
            <v>G.haøng</v>
          </cell>
          <cell r="E84">
            <v>3000</v>
          </cell>
        </row>
        <row r="85">
          <cell r="B85" t="str">
            <v>KDPX2</v>
          </cell>
          <cell r="C85" t="str">
            <v>Leâ Hoaøng Phuùc</v>
          </cell>
          <cell r="D85" t="str">
            <v>Phuï xe</v>
          </cell>
          <cell r="E85">
            <v>3000</v>
          </cell>
        </row>
        <row r="86">
          <cell r="B86" t="str">
            <v>KDPX3</v>
          </cell>
          <cell r="C86" t="str">
            <v>Traàn Minh Long</v>
          </cell>
          <cell r="D86" t="str">
            <v>Phuï xe</v>
          </cell>
          <cell r="E86">
            <v>0</v>
          </cell>
        </row>
        <row r="87">
          <cell r="B87" t="str">
            <v>KDPX4</v>
          </cell>
          <cell r="C87" t="str">
            <v>Döông Tấn Ñaït</v>
          </cell>
          <cell r="D87" t="str">
            <v>Phuï xe</v>
          </cell>
          <cell r="E87">
            <v>3000</v>
          </cell>
        </row>
        <row r="88">
          <cell r="B88" t="str">
            <v>KDPX5</v>
          </cell>
          <cell r="C88" t="str">
            <v>Leâ Taán Duõng</v>
          </cell>
          <cell r="D88" t="str">
            <v>Phuï xe</v>
          </cell>
          <cell r="E88">
            <v>0</v>
          </cell>
        </row>
        <row r="89">
          <cell r="B89" t="str">
            <v>KDPX6</v>
          </cell>
          <cell r="C89" t="str">
            <v>Ñaëng Quoác Coïp</v>
          </cell>
          <cell r="D89" t="str">
            <v>Phuï xe</v>
          </cell>
          <cell r="E89">
            <v>3000</v>
          </cell>
        </row>
        <row r="90">
          <cell r="B90" t="str">
            <v>KDPX7</v>
          </cell>
          <cell r="C90" t="str">
            <v>Leâ Ñaéc Cöôøng</v>
          </cell>
          <cell r="D90" t="str">
            <v>Phuï xe</v>
          </cell>
          <cell r="E90">
            <v>0</v>
          </cell>
        </row>
        <row r="91">
          <cell r="B91" t="str">
            <v>KDPX8</v>
          </cell>
          <cell r="C91" t="str">
            <v>Nguyeãn Vaên Meøo</v>
          </cell>
          <cell r="D91" t="str">
            <v>Phuï xe</v>
          </cell>
          <cell r="E91">
            <v>0</v>
          </cell>
        </row>
        <row r="92">
          <cell r="B92" t="str">
            <v>KDPX9</v>
          </cell>
          <cell r="C92" t="str">
            <v>Danh Thöøa</v>
          </cell>
          <cell r="D92" t="str">
            <v>Phuï xe</v>
          </cell>
          <cell r="E92">
            <v>3000</v>
          </cell>
        </row>
        <row r="93">
          <cell r="B93" t="str">
            <v>KDPX10</v>
          </cell>
          <cell r="C93" t="str">
            <v>Danh Xaø Quaùch</v>
          </cell>
          <cell r="D93" t="str">
            <v>Phuï xe</v>
          </cell>
          <cell r="E93">
            <v>3000</v>
          </cell>
        </row>
        <row r="94">
          <cell r="B94" t="str">
            <v>KDPX11</v>
          </cell>
          <cell r="C94" t="str">
            <v>Döông Thaønh Taøi</v>
          </cell>
          <cell r="D94" t="str">
            <v>Phuï xe</v>
          </cell>
          <cell r="E94">
            <v>0</v>
          </cell>
        </row>
        <row r="95">
          <cell r="B95" t="str">
            <v>KDPX12</v>
          </cell>
          <cell r="C95" t="str">
            <v>Traàn Vaên Huy</v>
          </cell>
          <cell r="D95" t="str">
            <v>Phuï xe</v>
          </cell>
          <cell r="E95">
            <v>2000</v>
          </cell>
        </row>
        <row r="96">
          <cell r="B96">
            <v>0</v>
          </cell>
          <cell r="C96" t="str">
            <v>COÄNG</v>
          </cell>
          <cell r="D96">
            <v>0</v>
          </cell>
          <cell r="E96">
            <v>172500</v>
          </cell>
        </row>
      </sheetData>
      <sheetData sheetId="11">
        <row r="7">
          <cell r="B7" t="str">
            <v>LÑ01</v>
          </cell>
          <cell r="C7" t="str">
            <v>Ngoâ Pa Ri</v>
          </cell>
          <cell r="D7" t="str">
            <v>Chuû tòch</v>
          </cell>
          <cell r="E7" t="str">
            <v>C.01</v>
          </cell>
          <cell r="F7">
            <v>26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LÑ02</v>
          </cell>
          <cell r="C8" t="str">
            <v>Nguyeãn Vaên Thaûo</v>
          </cell>
          <cell r="D8" t="str">
            <v>Toång Gíam Ñoác</v>
          </cell>
          <cell r="E8" t="str">
            <v>C.01</v>
          </cell>
          <cell r="F8">
            <v>26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NS01</v>
          </cell>
          <cell r="C9" t="str">
            <v>Nguyeãn Ñoã Q. Phöông</v>
          </cell>
          <cell r="D9" t="str">
            <v>Q.GÑ HCNS</v>
          </cell>
          <cell r="E9" t="str">
            <v>C.03</v>
          </cell>
          <cell r="F9">
            <v>26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NS02</v>
          </cell>
          <cell r="C10" t="str">
            <v>Leâ Hoaøng Tuaán</v>
          </cell>
          <cell r="D10" t="str">
            <v>Baûo veä</v>
          </cell>
          <cell r="E10" t="str">
            <v>B.05</v>
          </cell>
          <cell r="F10">
            <v>30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 t="str">
            <v>NS03</v>
          </cell>
          <cell r="C11" t="str">
            <v>Traàn Thò Thanh Xuaân</v>
          </cell>
          <cell r="D11" t="str">
            <v>NV Haønh chính</v>
          </cell>
          <cell r="E11" t="str">
            <v>D.03</v>
          </cell>
          <cell r="F11">
            <v>10.5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NS04</v>
          </cell>
          <cell r="C12" t="str">
            <v>Leâ Xuaân Kim</v>
          </cell>
          <cell r="D12" t="str">
            <v>Taøi xeá cho CT.HÑTV</v>
          </cell>
          <cell r="E12" t="str">
            <v>D.03</v>
          </cell>
          <cell r="F12">
            <v>24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NS05</v>
          </cell>
          <cell r="C13" t="str">
            <v>Nguyeãn Chu Thy</v>
          </cell>
          <cell r="D13" t="str">
            <v>Chuyeân vieân IT</v>
          </cell>
          <cell r="E13">
            <v>0</v>
          </cell>
          <cell r="F13">
            <v>26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 t="str">
            <v>NS06</v>
          </cell>
          <cell r="C14" t="str">
            <v>Leâ Nguyeãn Trieàu Vöông</v>
          </cell>
          <cell r="D14" t="str">
            <v>NV IT</v>
          </cell>
          <cell r="E14">
            <v>0</v>
          </cell>
          <cell r="F14">
            <v>26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NS07</v>
          </cell>
          <cell r="C15" t="str">
            <v>Nguyeãn Thò Ngoïc Thieän</v>
          </cell>
          <cell r="D15" t="str">
            <v>NV Nhaân söï</v>
          </cell>
          <cell r="E15" t="str">
            <v>D.02</v>
          </cell>
          <cell r="F15">
            <v>23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NS08</v>
          </cell>
          <cell r="C16" t="str">
            <v>Ñoã Ngoïc Thieân Thanh</v>
          </cell>
          <cell r="D16" t="str">
            <v>NV Haønh chính</v>
          </cell>
          <cell r="E16" t="str">
            <v>D.02</v>
          </cell>
          <cell r="F16">
            <v>12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NB01</v>
          </cell>
          <cell r="C17" t="str">
            <v>Nguyeãn Thoï Ngoïc</v>
          </cell>
          <cell r="D17" t="str">
            <v>CV Ban KS Noäi boä</v>
          </cell>
          <cell r="E17" t="str">
            <v>D.02</v>
          </cell>
          <cell r="F17">
            <v>23</v>
          </cell>
          <cell r="G17">
            <v>0</v>
          </cell>
          <cell r="H17">
            <v>1</v>
          </cell>
          <cell r="I17">
            <v>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NB02</v>
          </cell>
          <cell r="C18" t="str">
            <v>Nguyeãn Trinh Nguyeân</v>
          </cell>
          <cell r="D18" t="str">
            <v>NV Phaùp lyù</v>
          </cell>
          <cell r="E18" t="str">
            <v>D.02</v>
          </cell>
          <cell r="F18">
            <v>24</v>
          </cell>
          <cell r="G18">
            <v>0</v>
          </cell>
          <cell r="H18">
            <v>0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ÑMCC01</v>
          </cell>
          <cell r="C19" t="str">
            <v>Hoaøng Giaùng Sinh</v>
          </cell>
          <cell r="D19" t="str">
            <v>Tröôûng ban ÑMCC</v>
          </cell>
          <cell r="E19" t="str">
            <v>C.03</v>
          </cell>
          <cell r="F19">
            <v>26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KT01</v>
          </cell>
          <cell r="C20" t="str">
            <v>Nguyeãn T. Hoàng Aùnh</v>
          </cell>
          <cell r="D20" t="str">
            <v>KTV</v>
          </cell>
          <cell r="E20" t="str">
            <v>D.03</v>
          </cell>
          <cell r="F20">
            <v>21</v>
          </cell>
          <cell r="G20">
            <v>0</v>
          </cell>
          <cell r="H20">
            <v>3</v>
          </cell>
          <cell r="I20">
            <v>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KT02</v>
          </cell>
          <cell r="C21" t="str">
            <v>Ninh Phöông Haïnh</v>
          </cell>
          <cell r="D21" t="str">
            <v>Thuû quyõ</v>
          </cell>
          <cell r="E21" t="str">
            <v>D.03</v>
          </cell>
          <cell r="F21">
            <v>24</v>
          </cell>
          <cell r="G21">
            <v>0</v>
          </cell>
          <cell r="H21">
            <v>0</v>
          </cell>
          <cell r="I21">
            <v>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>KT03</v>
          </cell>
          <cell r="C22" t="str">
            <v xml:space="preserve">Nguyeãn Thaùi Ngaân </v>
          </cell>
          <cell r="D22" t="str">
            <v>KTV</v>
          </cell>
          <cell r="E22" t="str">
            <v>D.03</v>
          </cell>
          <cell r="F22">
            <v>22.5</v>
          </cell>
          <cell r="G22">
            <v>0</v>
          </cell>
          <cell r="H22">
            <v>1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KT04</v>
          </cell>
          <cell r="C23" t="str">
            <v>Nguyeãn Vaên Baûy</v>
          </cell>
          <cell r="D23" t="str">
            <v>Q.GÑ TC-KT</v>
          </cell>
          <cell r="E23" t="str">
            <v>C.03</v>
          </cell>
          <cell r="F23">
            <v>26</v>
          </cell>
          <cell r="G23">
            <v>0</v>
          </cell>
          <cell r="H23">
            <v>0</v>
          </cell>
          <cell r="I23">
            <v>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KT05</v>
          </cell>
          <cell r="C24" t="str">
            <v>Voõ Thò Hoàng Ñaøo</v>
          </cell>
          <cell r="D24" t="str">
            <v>KTV</v>
          </cell>
          <cell r="E24" t="str">
            <v>D.03</v>
          </cell>
          <cell r="F24">
            <v>24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>KT06</v>
          </cell>
          <cell r="C25" t="str">
            <v>Töø Thò Hoaøng Oanh</v>
          </cell>
          <cell r="D25" t="str">
            <v>KTV</v>
          </cell>
          <cell r="E25" t="str">
            <v>D.03</v>
          </cell>
          <cell r="F25">
            <v>24</v>
          </cell>
          <cell r="G25">
            <v>0</v>
          </cell>
          <cell r="H25">
            <v>0</v>
          </cell>
          <cell r="I25">
            <v>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KT07</v>
          </cell>
          <cell r="C26" t="str">
            <v>Nguyeãn Thoáng Nhaát</v>
          </cell>
          <cell r="D26" t="str">
            <v>NV Vaät giaù</v>
          </cell>
          <cell r="E26" t="str">
            <v>D.03</v>
          </cell>
          <cell r="F26">
            <v>24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>KT08</v>
          </cell>
          <cell r="C27" t="str">
            <v>Kieàu Thò Thuûy Tieân</v>
          </cell>
          <cell r="D27" t="str">
            <v>Keá toaùn thueá</v>
          </cell>
          <cell r="E27" t="str">
            <v>D.02</v>
          </cell>
          <cell r="F27">
            <v>23</v>
          </cell>
          <cell r="G27">
            <v>0</v>
          </cell>
          <cell r="H27">
            <v>0</v>
          </cell>
          <cell r="I27">
            <v>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KT09</v>
          </cell>
          <cell r="C28" t="str">
            <v>Huuyønh Ngoïc Giang</v>
          </cell>
          <cell r="D28" t="str">
            <v>Keá toaùn quaûn trò</v>
          </cell>
          <cell r="E28" t="str">
            <v>D.01</v>
          </cell>
          <cell r="F28">
            <v>24</v>
          </cell>
          <cell r="G28">
            <v>0</v>
          </cell>
          <cell r="H28">
            <v>0</v>
          </cell>
          <cell r="I28">
            <v>2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 t="str">
            <v>XD01</v>
          </cell>
          <cell r="C29" t="str">
            <v>Leâ Thanh Huy</v>
          </cell>
          <cell r="D29" t="str">
            <v>Q.Tröôûng Ban KHVT</v>
          </cell>
          <cell r="E29" t="str">
            <v>C.03</v>
          </cell>
          <cell r="F29">
            <v>26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XD02</v>
          </cell>
          <cell r="C30" t="str">
            <v>Chaâu Phöôùc Thuaàn</v>
          </cell>
          <cell r="D30" t="str">
            <v>Giaùm saùt</v>
          </cell>
          <cell r="E30" t="str">
            <v>D.02</v>
          </cell>
          <cell r="F30">
            <v>24</v>
          </cell>
          <cell r="G30">
            <v>1</v>
          </cell>
          <cell r="H30">
            <v>0</v>
          </cell>
          <cell r="I30">
            <v>1</v>
          </cell>
          <cell r="J30">
            <v>33.5</v>
          </cell>
          <cell r="K30">
            <v>9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XD03</v>
          </cell>
          <cell r="C31" t="str">
            <v>Nguyeãn Duy Long</v>
          </cell>
          <cell r="D31" t="str">
            <v>Giaùm saùt</v>
          </cell>
          <cell r="E31" t="str">
            <v>D.02</v>
          </cell>
          <cell r="F31">
            <v>24</v>
          </cell>
          <cell r="G31">
            <v>1</v>
          </cell>
          <cell r="H31">
            <v>0</v>
          </cell>
          <cell r="I31">
            <v>1</v>
          </cell>
          <cell r="J31">
            <v>8</v>
          </cell>
          <cell r="K31">
            <v>7.5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XD04</v>
          </cell>
          <cell r="C32" t="str">
            <v>Nguyeãn Traàn Duy Anh</v>
          </cell>
          <cell r="D32" t="str">
            <v>Qlyù Thieát keá</v>
          </cell>
          <cell r="E32" t="str">
            <v>D.01</v>
          </cell>
          <cell r="F32">
            <v>24</v>
          </cell>
          <cell r="G32">
            <v>1</v>
          </cell>
          <cell r="H32">
            <v>0</v>
          </cell>
          <cell r="I32">
            <v>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XD05</v>
          </cell>
          <cell r="C33" t="str">
            <v>Ñaøo Ngoïc Long</v>
          </cell>
          <cell r="D33" t="str">
            <v>NVVT</v>
          </cell>
          <cell r="E33" t="str">
            <v>D.03</v>
          </cell>
          <cell r="F33">
            <v>24</v>
          </cell>
          <cell r="G33">
            <v>1</v>
          </cell>
          <cell r="H33">
            <v>0</v>
          </cell>
          <cell r="I33">
            <v>1</v>
          </cell>
          <cell r="J33">
            <v>16</v>
          </cell>
          <cell r="K33">
            <v>14.5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XD06</v>
          </cell>
          <cell r="C34" t="str">
            <v>Nguyeãn Ngoïc Ñoâng</v>
          </cell>
          <cell r="D34" t="str">
            <v>NV Traéc ñaïc</v>
          </cell>
          <cell r="E34" t="str">
            <v>D.02</v>
          </cell>
          <cell r="F34">
            <v>24</v>
          </cell>
          <cell r="G34">
            <v>0</v>
          </cell>
          <cell r="H34">
            <v>0</v>
          </cell>
          <cell r="I34">
            <v>2</v>
          </cell>
          <cell r="J34">
            <v>20.799999999999997</v>
          </cell>
          <cell r="K34">
            <v>14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VT01</v>
          </cell>
          <cell r="C35" t="str">
            <v>Traàn Vaên Vò Toaøn</v>
          </cell>
          <cell r="D35" t="str">
            <v>NVVT</v>
          </cell>
          <cell r="E35" t="str">
            <v>D.02</v>
          </cell>
          <cell r="F35">
            <v>24</v>
          </cell>
          <cell r="G35">
            <v>0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 t="str">
            <v>VT02</v>
          </cell>
          <cell r="C36" t="str">
            <v>Voõ Thò Haèøng</v>
          </cell>
          <cell r="D36" t="str">
            <v>NVVT</v>
          </cell>
          <cell r="E36" t="str">
            <v>D.02</v>
          </cell>
          <cell r="F36">
            <v>24</v>
          </cell>
          <cell r="G36">
            <v>0</v>
          </cell>
          <cell r="H36">
            <v>0</v>
          </cell>
          <cell r="I36">
            <v>2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>VT03</v>
          </cell>
          <cell r="C37" t="str">
            <v>Nguyeãn Vaên Thoâng</v>
          </cell>
          <cell r="D37" t="str">
            <v>CN thu mua muïn döøa</v>
          </cell>
          <cell r="E37" t="str">
            <v>B.05</v>
          </cell>
          <cell r="F37">
            <v>24</v>
          </cell>
          <cell r="G37">
            <v>0</v>
          </cell>
          <cell r="H37">
            <v>0</v>
          </cell>
          <cell r="I37">
            <v>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VT04</v>
          </cell>
          <cell r="C38" t="str">
            <v>Nguyeãn Phan Höng</v>
          </cell>
          <cell r="D38" t="str">
            <v>NVVT MMTB</v>
          </cell>
          <cell r="E38" t="str">
            <v>D.02</v>
          </cell>
          <cell r="F38">
            <v>24</v>
          </cell>
          <cell r="G38">
            <v>0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VT05</v>
          </cell>
          <cell r="C39" t="str">
            <v>Ñoaøn Phan Quoác Anh</v>
          </cell>
          <cell r="D39" t="str">
            <v>NV ñieàu phoái</v>
          </cell>
          <cell r="E39" t="str">
            <v>D.02</v>
          </cell>
          <cell r="F39">
            <v>24</v>
          </cell>
          <cell r="G39">
            <v>0</v>
          </cell>
          <cell r="H39">
            <v>0</v>
          </cell>
          <cell r="I39">
            <v>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 t="str">
            <v>VT06</v>
          </cell>
          <cell r="C40" t="str">
            <v>Laâm Hieáu Thuaän</v>
          </cell>
          <cell r="D40" t="str">
            <v>NV ñieàu phoái - XD</v>
          </cell>
          <cell r="E40" t="str">
            <v>D.02</v>
          </cell>
          <cell r="F40">
            <v>2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DA01</v>
          </cell>
          <cell r="C41" t="str">
            <v>Huyønh Thanh Lieâm</v>
          </cell>
          <cell r="D41" t="str">
            <v>Q. Tröôûng Ban DA</v>
          </cell>
          <cell r="E41" t="str">
            <v>C.03</v>
          </cell>
          <cell r="F41">
            <v>26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DA02</v>
          </cell>
          <cell r="C42" t="str">
            <v>Leâ Coâng Nhaát Trung</v>
          </cell>
          <cell r="D42" t="str">
            <v>NV Ban DA</v>
          </cell>
          <cell r="E42" t="str">
            <v>D.03</v>
          </cell>
          <cell r="F42">
            <v>22</v>
          </cell>
          <cell r="G42">
            <v>0</v>
          </cell>
          <cell r="H42">
            <v>2</v>
          </cell>
          <cell r="I42">
            <v>2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DA04</v>
          </cell>
          <cell r="C43" t="str">
            <v>Nguyeãn Thò Giang</v>
          </cell>
          <cell r="D43" t="str">
            <v>NV Ban DA</v>
          </cell>
          <cell r="E43" t="str">
            <v>D.03</v>
          </cell>
          <cell r="F43">
            <v>24</v>
          </cell>
          <cell r="G43">
            <v>0</v>
          </cell>
          <cell r="H43">
            <v>0</v>
          </cell>
          <cell r="I43">
            <v>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DA05</v>
          </cell>
          <cell r="C44" t="str">
            <v>Cao Xuaân Vuõ</v>
          </cell>
          <cell r="D44" t="str">
            <v>NV Ban DA</v>
          </cell>
          <cell r="E44" t="str">
            <v>D.03</v>
          </cell>
          <cell r="F44">
            <v>24</v>
          </cell>
          <cell r="G44">
            <v>0</v>
          </cell>
          <cell r="H44">
            <v>0</v>
          </cell>
          <cell r="I44">
            <v>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>TT01</v>
          </cell>
          <cell r="C45" t="str">
            <v>Nguyeãn Nguyeân Nguyeân</v>
          </cell>
          <cell r="D45" t="str">
            <v>Q.GÑ Trung taâm NC KHCN</v>
          </cell>
          <cell r="E45" t="str">
            <v>D.01</v>
          </cell>
          <cell r="F45">
            <v>26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B46" t="str">
            <v>TT02</v>
          </cell>
          <cell r="C46" t="str">
            <v>Ñoã Thanh Tuù</v>
          </cell>
          <cell r="D46" t="str">
            <v>Chuyeân vieân TTNC</v>
          </cell>
          <cell r="E46" t="str">
            <v>D.03</v>
          </cell>
          <cell r="F46">
            <v>24</v>
          </cell>
          <cell r="G46">
            <v>0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TT03</v>
          </cell>
          <cell r="C47" t="str">
            <v>Nguyeãn Thò Thuùy Dieãm</v>
          </cell>
          <cell r="D47" t="str">
            <v>NV NC SP</v>
          </cell>
          <cell r="E47" t="str">
            <v>D.03</v>
          </cell>
          <cell r="F47">
            <v>20.5</v>
          </cell>
          <cell r="G47">
            <v>0</v>
          </cell>
          <cell r="H47">
            <v>3</v>
          </cell>
          <cell r="I47">
            <v>2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>TT04</v>
          </cell>
          <cell r="C48" t="str">
            <v>Vuõ Thò Loan</v>
          </cell>
          <cell r="D48" t="str">
            <v>NV NC SP</v>
          </cell>
          <cell r="E48" t="str">
            <v>D.03</v>
          </cell>
          <cell r="F48">
            <v>4</v>
          </cell>
          <cell r="G48">
            <v>0</v>
          </cell>
          <cell r="H48">
            <v>2</v>
          </cell>
          <cell r="I48">
            <v>1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TT05</v>
          </cell>
          <cell r="C49" t="str">
            <v>Traàn Thò Minh Thöông</v>
          </cell>
          <cell r="D49" t="str">
            <v>Chuyeân vieân TTNC</v>
          </cell>
          <cell r="E49" t="str">
            <v>D.03</v>
          </cell>
          <cell r="F49">
            <v>23</v>
          </cell>
          <cell r="G49">
            <v>0</v>
          </cell>
          <cell r="H49">
            <v>1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B50" t="str">
            <v>TT06</v>
          </cell>
          <cell r="C50" t="str">
            <v>Traàn Vaên Haø</v>
          </cell>
          <cell r="D50" t="str">
            <v>NV Moâi tröôøng - TTNC</v>
          </cell>
          <cell r="E50" t="str">
            <v>D.03</v>
          </cell>
          <cell r="F50">
            <v>24</v>
          </cell>
          <cell r="G50">
            <v>0</v>
          </cell>
          <cell r="H50">
            <v>0</v>
          </cell>
          <cell r="I50">
            <v>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>KDV2</v>
          </cell>
          <cell r="C52" t="str">
            <v>Thaïch Minh Chaâu</v>
          </cell>
          <cell r="D52" t="str">
            <v>NVVP</v>
          </cell>
          <cell r="E52" t="str">
            <v>D.04</v>
          </cell>
          <cell r="F52">
            <v>22</v>
          </cell>
          <cell r="G52">
            <v>0</v>
          </cell>
          <cell r="H52">
            <v>2</v>
          </cell>
          <cell r="I52">
            <v>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KDV3</v>
          </cell>
          <cell r="C53" t="str">
            <v>Leâ Thò Anh Thö</v>
          </cell>
          <cell r="D53" t="str">
            <v>GÑKD</v>
          </cell>
          <cell r="E53">
            <v>0</v>
          </cell>
          <cell r="F53">
            <v>26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B54" t="str">
            <v>KDX1</v>
          </cell>
          <cell r="C54" t="str">
            <v>Ngoâ Maïnh Linh trưởng bộ phận</v>
          </cell>
          <cell r="D54" t="str">
            <v>Laùi xe</v>
          </cell>
          <cell r="E54" t="str">
            <v>D.02</v>
          </cell>
          <cell r="F54">
            <v>24</v>
          </cell>
          <cell r="G54">
            <v>0</v>
          </cell>
          <cell r="H54">
            <v>0</v>
          </cell>
          <cell r="I54">
            <v>2</v>
          </cell>
          <cell r="J54">
            <v>0</v>
          </cell>
          <cell r="K54">
            <v>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KDX2</v>
          </cell>
          <cell r="C55" t="str">
            <v xml:space="preserve">Nguyeãn Cöôøng </v>
          </cell>
          <cell r="D55" t="str">
            <v>Laùi xe</v>
          </cell>
          <cell r="E55" t="str">
            <v>B.03</v>
          </cell>
          <cell r="F55">
            <v>24</v>
          </cell>
          <cell r="G55">
            <v>0</v>
          </cell>
          <cell r="H55">
            <v>0</v>
          </cell>
          <cell r="I55">
            <v>2</v>
          </cell>
          <cell r="J55">
            <v>0</v>
          </cell>
          <cell r="K55">
            <v>8</v>
          </cell>
          <cell r="L55">
            <v>4</v>
          </cell>
          <cell r="M55">
            <v>1</v>
          </cell>
          <cell r="N55">
            <v>0</v>
          </cell>
          <cell r="O55">
            <v>360</v>
          </cell>
        </row>
        <row r="56">
          <cell r="B56" t="str">
            <v>KDX3</v>
          </cell>
          <cell r="C56" t="str">
            <v>Nguyeãn Vaên Chung</v>
          </cell>
          <cell r="D56" t="str">
            <v>Laùi xe</v>
          </cell>
          <cell r="E56" t="str">
            <v>B.03</v>
          </cell>
          <cell r="F56">
            <v>24</v>
          </cell>
          <cell r="G56">
            <v>0</v>
          </cell>
          <cell r="H56">
            <v>0</v>
          </cell>
          <cell r="I56">
            <v>2</v>
          </cell>
          <cell r="J56">
            <v>0</v>
          </cell>
          <cell r="K56">
            <v>8</v>
          </cell>
          <cell r="L56">
            <v>11</v>
          </cell>
          <cell r="M56">
            <v>0</v>
          </cell>
          <cell r="N56">
            <v>0</v>
          </cell>
          <cell r="O56">
            <v>660</v>
          </cell>
        </row>
        <row r="57">
          <cell r="B57" t="str">
            <v>KDX4</v>
          </cell>
          <cell r="C57" t="str">
            <v>Leâ Ñöùc Bình</v>
          </cell>
          <cell r="D57" t="str">
            <v>Laùi xe</v>
          </cell>
          <cell r="E57" t="str">
            <v>B.03</v>
          </cell>
          <cell r="F57">
            <v>6</v>
          </cell>
          <cell r="G57">
            <v>0</v>
          </cell>
          <cell r="H57">
            <v>0</v>
          </cell>
          <cell r="I57">
            <v>1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>KDX5</v>
          </cell>
          <cell r="C58" t="str">
            <v>Nguyeãn Vaên Tuaán</v>
          </cell>
          <cell r="D58" t="str">
            <v>Laùi xe</v>
          </cell>
          <cell r="E58" t="str">
            <v>B.03</v>
          </cell>
          <cell r="F58">
            <v>24</v>
          </cell>
          <cell r="G58">
            <v>0</v>
          </cell>
          <cell r="H58">
            <v>0</v>
          </cell>
          <cell r="I58">
            <v>2</v>
          </cell>
          <cell r="J58">
            <v>0</v>
          </cell>
          <cell r="K58">
            <v>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KDX6</v>
          </cell>
          <cell r="C59" t="str">
            <v>Nguyeãn Hoaøi Thanh</v>
          </cell>
          <cell r="D59" t="str">
            <v>Laùi xe</v>
          </cell>
          <cell r="E59" t="str">
            <v>B.03</v>
          </cell>
          <cell r="F59">
            <v>24</v>
          </cell>
          <cell r="G59">
            <v>0</v>
          </cell>
          <cell r="H59">
            <v>0</v>
          </cell>
          <cell r="I59">
            <v>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KDX8</v>
          </cell>
          <cell r="C60" t="str">
            <v>Nguyeãn Ñình Höôùng</v>
          </cell>
          <cell r="D60" t="str">
            <v>Laùi xe</v>
          </cell>
          <cell r="E60" t="str">
            <v>B.03</v>
          </cell>
          <cell r="F60">
            <v>24</v>
          </cell>
          <cell r="G60">
            <v>0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26</v>
          </cell>
          <cell r="M60">
            <v>0</v>
          </cell>
          <cell r="N60">
            <v>0</v>
          </cell>
          <cell r="O60">
            <v>1560</v>
          </cell>
        </row>
        <row r="61">
          <cell r="B61" t="str">
            <v>KDX9</v>
          </cell>
          <cell r="C61" t="str">
            <v>Chaâu Kim Löôïng</v>
          </cell>
          <cell r="D61" t="str">
            <v>Laùi xe</v>
          </cell>
          <cell r="E61" t="str">
            <v>B.03</v>
          </cell>
          <cell r="F61">
            <v>24</v>
          </cell>
          <cell r="G61">
            <v>0</v>
          </cell>
          <cell r="H61">
            <v>0</v>
          </cell>
          <cell r="I61">
            <v>2</v>
          </cell>
          <cell r="J61">
            <v>0</v>
          </cell>
          <cell r="K61">
            <v>8</v>
          </cell>
          <cell r="L61">
            <v>6</v>
          </cell>
          <cell r="M61">
            <v>0</v>
          </cell>
          <cell r="N61">
            <v>0</v>
          </cell>
          <cell r="O61">
            <v>360</v>
          </cell>
        </row>
        <row r="62">
          <cell r="B62" t="str">
            <v>KDX10</v>
          </cell>
          <cell r="C62" t="str">
            <v>Huyønh Troïng Nghóa</v>
          </cell>
          <cell r="D62" t="str">
            <v>Laùi xe</v>
          </cell>
          <cell r="E62" t="str">
            <v>B.03</v>
          </cell>
          <cell r="F62">
            <v>24</v>
          </cell>
          <cell r="G62">
            <v>0</v>
          </cell>
          <cell r="H62">
            <v>0</v>
          </cell>
          <cell r="I62">
            <v>2</v>
          </cell>
          <cell r="J62">
            <v>0</v>
          </cell>
          <cell r="K62">
            <v>8</v>
          </cell>
          <cell r="L62">
            <v>5</v>
          </cell>
          <cell r="M62">
            <v>0</v>
          </cell>
          <cell r="N62">
            <v>0</v>
          </cell>
          <cell r="O62">
            <v>300</v>
          </cell>
        </row>
        <row r="63">
          <cell r="B63" t="str">
            <v>KDX11</v>
          </cell>
          <cell r="C63" t="str">
            <v>Thaïch Ngoïc Kieàu</v>
          </cell>
          <cell r="D63" t="str">
            <v>Laùi xe</v>
          </cell>
          <cell r="E63" t="str">
            <v>B.03</v>
          </cell>
          <cell r="F63">
            <v>24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26</v>
          </cell>
          <cell r="M63">
            <v>0</v>
          </cell>
          <cell r="N63">
            <v>0</v>
          </cell>
          <cell r="O63">
            <v>1560</v>
          </cell>
        </row>
        <row r="64">
          <cell r="B64" t="str">
            <v>KDX12</v>
          </cell>
          <cell r="C64" t="str">
            <v>Ñoã Thanh Haøo</v>
          </cell>
          <cell r="D64" t="str">
            <v>Laùi xe buøn</v>
          </cell>
          <cell r="E64" t="str">
            <v>B.03</v>
          </cell>
          <cell r="F64">
            <v>24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KDX13</v>
          </cell>
          <cell r="C65" t="str">
            <v>Leâ Syõ Ninh</v>
          </cell>
          <cell r="D65" t="str">
            <v>Laùi xe - phuï</v>
          </cell>
          <cell r="E65" t="str">
            <v>B.03</v>
          </cell>
          <cell r="F65">
            <v>24</v>
          </cell>
          <cell r="G65">
            <v>0</v>
          </cell>
          <cell r="H65">
            <v>0</v>
          </cell>
          <cell r="I65">
            <v>2</v>
          </cell>
          <cell r="J65">
            <v>0</v>
          </cell>
          <cell r="K65">
            <v>8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KDS1</v>
          </cell>
          <cell r="C66" t="str">
            <v>Nguyeãn Tuaán Anh</v>
          </cell>
          <cell r="D66" t="str">
            <v>NVKD</v>
          </cell>
          <cell r="E66" t="str">
            <v>D.02</v>
          </cell>
          <cell r="F66">
            <v>24</v>
          </cell>
          <cell r="G66">
            <v>0</v>
          </cell>
          <cell r="H66">
            <v>0</v>
          </cell>
          <cell r="I66">
            <v>2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KDS2</v>
          </cell>
          <cell r="C67" t="str">
            <v>Phan Thanh Tuøng</v>
          </cell>
          <cell r="D67" t="str">
            <v>NVKD</v>
          </cell>
          <cell r="E67" t="str">
            <v>D.04</v>
          </cell>
          <cell r="F67">
            <v>24</v>
          </cell>
          <cell r="G67">
            <v>0</v>
          </cell>
          <cell r="H67">
            <v>0</v>
          </cell>
          <cell r="I67">
            <v>2</v>
          </cell>
          <cell r="J67">
            <v>0</v>
          </cell>
          <cell r="K67">
            <v>0</v>
          </cell>
          <cell r="L67">
            <v>4</v>
          </cell>
          <cell r="M67">
            <v>0</v>
          </cell>
          <cell r="N67">
            <v>0</v>
          </cell>
          <cell r="O67">
            <v>240</v>
          </cell>
        </row>
        <row r="68">
          <cell r="B68" t="str">
            <v>KDS3</v>
          </cell>
          <cell r="C68" t="str">
            <v>Phaïm Thò Nhaãn</v>
          </cell>
          <cell r="D68" t="str">
            <v>NVKD</v>
          </cell>
          <cell r="E68" t="str">
            <v>D.04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B69" t="str">
            <v>KDS4</v>
          </cell>
          <cell r="C69" t="str">
            <v>Trịnh Minh Hảo (Trưởng BP sale)</v>
          </cell>
          <cell r="D69" t="str">
            <v>NVKD</v>
          </cell>
          <cell r="E69" t="str">
            <v>D.02</v>
          </cell>
          <cell r="F69">
            <v>23</v>
          </cell>
          <cell r="G69">
            <v>0</v>
          </cell>
          <cell r="H69">
            <v>1</v>
          </cell>
          <cell r="I69">
            <v>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B70" t="str">
            <v>KDS5</v>
          </cell>
          <cell r="C70" t="str">
            <v>Nguyeãn Thò Myõ Haïnh</v>
          </cell>
          <cell r="D70" t="str">
            <v>NVKD</v>
          </cell>
          <cell r="E70" t="str">
            <v>D.04</v>
          </cell>
          <cell r="F70">
            <v>24</v>
          </cell>
          <cell r="G70">
            <v>0</v>
          </cell>
          <cell r="H70">
            <v>0</v>
          </cell>
          <cell r="I70">
            <v>2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B71" t="str">
            <v>KDS6</v>
          </cell>
          <cell r="C71" t="str">
            <v>Leâ Nho Khaùnh</v>
          </cell>
          <cell r="D71" t="str">
            <v>NVKD tænh</v>
          </cell>
          <cell r="E71" t="str">
            <v>D.04</v>
          </cell>
          <cell r="F71">
            <v>24</v>
          </cell>
          <cell r="G71">
            <v>0</v>
          </cell>
          <cell r="H71">
            <v>0</v>
          </cell>
          <cell r="I71">
            <v>2</v>
          </cell>
          <cell r="J71">
            <v>0</v>
          </cell>
          <cell r="K71">
            <v>16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KDS7</v>
          </cell>
          <cell r="C72" t="str">
            <v>Ngoâ Quoác Taøi</v>
          </cell>
          <cell r="D72" t="str">
            <v>NVKD</v>
          </cell>
          <cell r="E72" t="str">
            <v>D.04</v>
          </cell>
          <cell r="F72">
            <v>24</v>
          </cell>
          <cell r="G72">
            <v>0</v>
          </cell>
          <cell r="H72">
            <v>0</v>
          </cell>
          <cell r="I72">
            <v>2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KDS8</v>
          </cell>
          <cell r="C73" t="str">
            <v>Nguyeãn Ñöùc Trung</v>
          </cell>
          <cell r="D73" t="str">
            <v>NVKD</v>
          </cell>
          <cell r="E73" t="str">
            <v>D.04</v>
          </cell>
          <cell r="F73">
            <v>24</v>
          </cell>
          <cell r="G73">
            <v>0</v>
          </cell>
          <cell r="H73">
            <v>0</v>
          </cell>
          <cell r="I73">
            <v>2</v>
          </cell>
          <cell r="J73">
            <v>0</v>
          </cell>
          <cell r="K73">
            <v>0</v>
          </cell>
          <cell r="L73">
            <v>4</v>
          </cell>
          <cell r="M73">
            <v>0</v>
          </cell>
          <cell r="N73">
            <v>0</v>
          </cell>
          <cell r="O73">
            <v>240</v>
          </cell>
        </row>
        <row r="74">
          <cell r="B74" t="str">
            <v>KDS9</v>
          </cell>
          <cell r="C74" t="str">
            <v>Nguyeãn Minh Ñaïi</v>
          </cell>
          <cell r="D74" t="str">
            <v>NVKD</v>
          </cell>
          <cell r="E74" t="str">
            <v>D.04</v>
          </cell>
          <cell r="F74">
            <v>24</v>
          </cell>
          <cell r="G74">
            <v>0</v>
          </cell>
          <cell r="H74">
            <v>0</v>
          </cell>
          <cell r="I74">
            <v>2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B75" t="str">
            <v>KDS10</v>
          </cell>
          <cell r="C75" t="str">
            <v>Traàn Ngoïc Thaïch</v>
          </cell>
          <cell r="D75" t="str">
            <v>NVKD tænh</v>
          </cell>
          <cell r="E75" t="str">
            <v>D.04</v>
          </cell>
          <cell r="F75">
            <v>18</v>
          </cell>
          <cell r="G75">
            <v>0</v>
          </cell>
          <cell r="H75">
            <v>0</v>
          </cell>
          <cell r="I75">
            <v>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B76" t="str">
            <v>KDG1</v>
          </cell>
          <cell r="C76" t="str">
            <v>Nguyeãn Hoàng Haûi (trưởng bộ phận)</v>
          </cell>
          <cell r="D76" t="str">
            <v>G.haøng</v>
          </cell>
          <cell r="E76" t="str">
            <v>D.02</v>
          </cell>
          <cell r="F76">
            <v>24</v>
          </cell>
          <cell r="G76">
            <v>0</v>
          </cell>
          <cell r="H76">
            <v>0</v>
          </cell>
          <cell r="I76">
            <v>2</v>
          </cell>
          <cell r="J76">
            <v>0</v>
          </cell>
          <cell r="K76">
            <v>8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B77" t="str">
            <v>KDG2</v>
          </cell>
          <cell r="C77" t="str">
            <v>Nguyeãn Thaønh Ngoan</v>
          </cell>
          <cell r="D77" t="str">
            <v>G.haøng</v>
          </cell>
          <cell r="E77" t="str">
            <v>B.06</v>
          </cell>
          <cell r="F77">
            <v>24</v>
          </cell>
          <cell r="G77">
            <v>0</v>
          </cell>
          <cell r="H77">
            <v>0</v>
          </cell>
          <cell r="I77">
            <v>2</v>
          </cell>
          <cell r="J77">
            <v>0</v>
          </cell>
          <cell r="K77">
            <v>0</v>
          </cell>
          <cell r="L77">
            <v>2</v>
          </cell>
          <cell r="M77">
            <v>0</v>
          </cell>
          <cell r="N77">
            <v>0</v>
          </cell>
          <cell r="O77">
            <v>120</v>
          </cell>
        </row>
        <row r="78">
          <cell r="B78" t="str">
            <v>KDG3</v>
          </cell>
          <cell r="C78" t="str">
            <v>Nguyeãn Thanh Cöôøng</v>
          </cell>
          <cell r="D78" t="str">
            <v>G.haøng</v>
          </cell>
          <cell r="E78" t="str">
            <v>B.06</v>
          </cell>
          <cell r="F78">
            <v>22</v>
          </cell>
          <cell r="G78">
            <v>0</v>
          </cell>
          <cell r="H78">
            <v>2</v>
          </cell>
          <cell r="I78">
            <v>2</v>
          </cell>
          <cell r="J78">
            <v>0</v>
          </cell>
          <cell r="K78">
            <v>0</v>
          </cell>
          <cell r="L78">
            <v>8</v>
          </cell>
          <cell r="M78">
            <v>1</v>
          </cell>
          <cell r="N78">
            <v>0</v>
          </cell>
          <cell r="O78">
            <v>600</v>
          </cell>
        </row>
        <row r="79">
          <cell r="B79" t="str">
            <v>KDG4</v>
          </cell>
          <cell r="C79" t="str">
            <v>Nguyeãn Ngoïc Hieáu</v>
          </cell>
          <cell r="D79" t="str">
            <v>G.haøng</v>
          </cell>
          <cell r="E79" t="str">
            <v>B.06</v>
          </cell>
          <cell r="F79">
            <v>23</v>
          </cell>
          <cell r="G79">
            <v>0</v>
          </cell>
          <cell r="H79">
            <v>1</v>
          </cell>
          <cell r="I79">
            <v>2</v>
          </cell>
          <cell r="J79">
            <v>0</v>
          </cell>
          <cell r="K79">
            <v>0</v>
          </cell>
          <cell r="L79">
            <v>7</v>
          </cell>
          <cell r="M79">
            <v>2</v>
          </cell>
          <cell r="N79">
            <v>0</v>
          </cell>
          <cell r="O79">
            <v>660</v>
          </cell>
        </row>
        <row r="80">
          <cell r="B80" t="str">
            <v>KDG5</v>
          </cell>
          <cell r="C80" t="str">
            <v>Khaâu Phöôùc Taøi</v>
          </cell>
          <cell r="D80" t="str">
            <v>G.haøng</v>
          </cell>
          <cell r="E80" t="str">
            <v>B.06</v>
          </cell>
          <cell r="F80">
            <v>23</v>
          </cell>
          <cell r="G80">
            <v>0</v>
          </cell>
          <cell r="H80">
            <v>1</v>
          </cell>
          <cell r="I80">
            <v>2</v>
          </cell>
          <cell r="J80">
            <v>0</v>
          </cell>
          <cell r="K80">
            <v>0</v>
          </cell>
          <cell r="L80">
            <v>9</v>
          </cell>
          <cell r="M80">
            <v>1</v>
          </cell>
          <cell r="N80">
            <v>0</v>
          </cell>
          <cell r="O80">
            <v>660</v>
          </cell>
        </row>
        <row r="81">
          <cell r="B81" t="str">
            <v>KDG6</v>
          </cell>
          <cell r="C81" t="str">
            <v>Huyønh Quoác Huøng</v>
          </cell>
          <cell r="D81" t="str">
            <v>G.haøng</v>
          </cell>
          <cell r="E81" t="str">
            <v>B.06</v>
          </cell>
          <cell r="F81">
            <v>24</v>
          </cell>
          <cell r="G81">
            <v>0</v>
          </cell>
          <cell r="H81">
            <v>0</v>
          </cell>
          <cell r="I81">
            <v>2</v>
          </cell>
          <cell r="J81">
            <v>0</v>
          </cell>
          <cell r="K81">
            <v>8</v>
          </cell>
          <cell r="L81">
            <v>9</v>
          </cell>
          <cell r="M81">
            <v>2</v>
          </cell>
          <cell r="N81">
            <v>0</v>
          </cell>
          <cell r="O81">
            <v>780</v>
          </cell>
        </row>
        <row r="82">
          <cell r="B82" t="str">
            <v>KDG7</v>
          </cell>
          <cell r="C82" t="str">
            <v>Ngoâ Quoác Huy</v>
          </cell>
          <cell r="D82" t="str">
            <v>G.haøng</v>
          </cell>
          <cell r="E82" t="str">
            <v>B.06</v>
          </cell>
          <cell r="F82">
            <v>24</v>
          </cell>
          <cell r="G82">
            <v>0</v>
          </cell>
          <cell r="H82">
            <v>0</v>
          </cell>
          <cell r="I82">
            <v>2</v>
          </cell>
          <cell r="J82">
            <v>0</v>
          </cell>
          <cell r="K82">
            <v>0</v>
          </cell>
          <cell r="L82">
            <v>1</v>
          </cell>
          <cell r="M82">
            <v>0</v>
          </cell>
          <cell r="N82">
            <v>0</v>
          </cell>
          <cell r="O82">
            <v>60</v>
          </cell>
        </row>
        <row r="83">
          <cell r="B83" t="str">
            <v>KDG8</v>
          </cell>
          <cell r="C83" t="str">
            <v>Traàn Thanh Long</v>
          </cell>
          <cell r="D83" t="str">
            <v>G.haøng</v>
          </cell>
          <cell r="E83" t="str">
            <v>B.06</v>
          </cell>
          <cell r="F83">
            <v>24</v>
          </cell>
          <cell r="G83">
            <v>0</v>
          </cell>
          <cell r="H83">
            <v>0</v>
          </cell>
          <cell r="I83">
            <v>2</v>
          </cell>
          <cell r="J83">
            <v>0</v>
          </cell>
          <cell r="K83">
            <v>8</v>
          </cell>
          <cell r="L83">
            <v>7</v>
          </cell>
          <cell r="M83">
            <v>0</v>
          </cell>
          <cell r="N83">
            <v>0</v>
          </cell>
          <cell r="O83">
            <v>420</v>
          </cell>
        </row>
        <row r="84">
          <cell r="B84" t="str">
            <v>KDG9</v>
          </cell>
          <cell r="C84" t="str">
            <v>Huyønh Minh Hoaøng</v>
          </cell>
          <cell r="D84" t="str">
            <v>G.haøng</v>
          </cell>
          <cell r="E84" t="str">
            <v>B.06</v>
          </cell>
          <cell r="F84">
            <v>23</v>
          </cell>
          <cell r="G84">
            <v>0</v>
          </cell>
          <cell r="H84">
            <v>1</v>
          </cell>
          <cell r="I84">
            <v>2</v>
          </cell>
          <cell r="J84">
            <v>0</v>
          </cell>
          <cell r="K84">
            <v>8</v>
          </cell>
          <cell r="L84">
            <v>11</v>
          </cell>
          <cell r="M84">
            <v>0</v>
          </cell>
          <cell r="N84">
            <v>0</v>
          </cell>
          <cell r="O84">
            <v>660</v>
          </cell>
        </row>
        <row r="85">
          <cell r="B85" t="str">
            <v>KDG10</v>
          </cell>
          <cell r="C85" t="str">
            <v>Haø Thaønh Ñaït</v>
          </cell>
          <cell r="D85" t="str">
            <v>G.haøng</v>
          </cell>
          <cell r="E85" t="str">
            <v>B.06</v>
          </cell>
          <cell r="F85">
            <v>24</v>
          </cell>
          <cell r="G85">
            <v>0</v>
          </cell>
          <cell r="H85">
            <v>0</v>
          </cell>
          <cell r="I85">
            <v>2</v>
          </cell>
          <cell r="J85">
            <v>0</v>
          </cell>
          <cell r="K85">
            <v>0</v>
          </cell>
          <cell r="L85">
            <v>7</v>
          </cell>
          <cell r="M85">
            <v>0</v>
          </cell>
          <cell r="N85">
            <v>0</v>
          </cell>
          <cell r="O85">
            <v>420</v>
          </cell>
        </row>
        <row r="86">
          <cell r="B86" t="str">
            <v>KDG11</v>
          </cell>
          <cell r="C86" t="str">
            <v>Döông Nguyeãn Vuõ Baûo</v>
          </cell>
          <cell r="D86" t="str">
            <v>G.haøng</v>
          </cell>
          <cell r="E86" t="str">
            <v>B.06</v>
          </cell>
          <cell r="F86">
            <v>24</v>
          </cell>
          <cell r="G86">
            <v>0</v>
          </cell>
          <cell r="H86">
            <v>0</v>
          </cell>
          <cell r="I86">
            <v>2</v>
          </cell>
          <cell r="J86">
            <v>0</v>
          </cell>
          <cell r="K86">
            <v>8</v>
          </cell>
          <cell r="L86">
            <v>5</v>
          </cell>
          <cell r="M86">
            <v>0</v>
          </cell>
          <cell r="N86">
            <v>0</v>
          </cell>
          <cell r="O86">
            <v>300</v>
          </cell>
        </row>
        <row r="87">
          <cell r="B87" t="str">
            <v>KDPX2</v>
          </cell>
          <cell r="C87" t="str">
            <v>Leâ Hoaøng Phuùc</v>
          </cell>
          <cell r="D87" t="str">
            <v>Phuï xe</v>
          </cell>
          <cell r="E87" t="str">
            <v>B.06</v>
          </cell>
          <cell r="F87">
            <v>24</v>
          </cell>
          <cell r="G87">
            <v>0</v>
          </cell>
          <cell r="H87">
            <v>0</v>
          </cell>
          <cell r="I87">
            <v>2</v>
          </cell>
          <cell r="J87">
            <v>0</v>
          </cell>
          <cell r="K87">
            <v>0</v>
          </cell>
          <cell r="L87">
            <v>5</v>
          </cell>
          <cell r="M87">
            <v>0</v>
          </cell>
          <cell r="N87">
            <v>0</v>
          </cell>
          <cell r="O87">
            <v>300</v>
          </cell>
        </row>
        <row r="88">
          <cell r="B88" t="str">
            <v>KDPX3</v>
          </cell>
          <cell r="C88" t="str">
            <v>Traàn Minh Long</v>
          </cell>
          <cell r="D88" t="str">
            <v>Phuï xe</v>
          </cell>
          <cell r="E88" t="str">
            <v>B.06</v>
          </cell>
          <cell r="F88">
            <v>7</v>
          </cell>
          <cell r="G88">
            <v>0</v>
          </cell>
          <cell r="H88">
            <v>0</v>
          </cell>
          <cell r="I88">
            <v>1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 t="str">
            <v>KDPX4</v>
          </cell>
          <cell r="C89" t="str">
            <v>Döông Tấn Ñaït</v>
          </cell>
          <cell r="D89" t="str">
            <v>Phuï xe</v>
          </cell>
          <cell r="E89" t="str">
            <v>B.06</v>
          </cell>
          <cell r="F89">
            <v>24</v>
          </cell>
          <cell r="G89">
            <v>0</v>
          </cell>
          <cell r="H89">
            <v>0</v>
          </cell>
          <cell r="I89">
            <v>2</v>
          </cell>
          <cell r="J89">
            <v>0</v>
          </cell>
          <cell r="K89">
            <v>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 t="str">
            <v>KDPX5</v>
          </cell>
          <cell r="C90" t="str">
            <v>Leâ Taán Duõng</v>
          </cell>
          <cell r="D90" t="str">
            <v>Phuï xe</v>
          </cell>
          <cell r="E90" t="str">
            <v>B.06</v>
          </cell>
          <cell r="F90">
            <v>24</v>
          </cell>
          <cell r="G90">
            <v>0</v>
          </cell>
          <cell r="H90">
            <v>0</v>
          </cell>
          <cell r="I90">
            <v>2</v>
          </cell>
          <cell r="J90">
            <v>0</v>
          </cell>
          <cell r="K90">
            <v>0</v>
          </cell>
          <cell r="L90">
            <v>9</v>
          </cell>
          <cell r="M90">
            <v>0</v>
          </cell>
          <cell r="N90">
            <v>0</v>
          </cell>
          <cell r="O90">
            <v>540</v>
          </cell>
        </row>
        <row r="91">
          <cell r="B91" t="str">
            <v>KDPX6</v>
          </cell>
          <cell r="C91" t="str">
            <v>Ñaëng Quoác Coïp</v>
          </cell>
          <cell r="D91" t="str">
            <v>Phuï xe</v>
          </cell>
          <cell r="E91" t="str">
            <v>B.06</v>
          </cell>
          <cell r="F91">
            <v>24</v>
          </cell>
          <cell r="G91">
            <v>0</v>
          </cell>
          <cell r="H91">
            <v>0</v>
          </cell>
          <cell r="I91">
            <v>2</v>
          </cell>
          <cell r="J91">
            <v>0</v>
          </cell>
          <cell r="K91">
            <v>8</v>
          </cell>
          <cell r="L91">
            <v>10</v>
          </cell>
          <cell r="M91">
            <v>1</v>
          </cell>
          <cell r="N91">
            <v>0</v>
          </cell>
          <cell r="O91">
            <v>720</v>
          </cell>
        </row>
        <row r="92">
          <cell r="B92" t="str">
            <v>KDPX7</v>
          </cell>
          <cell r="C92" t="str">
            <v>Leâ Ñaéc Cöôøng</v>
          </cell>
          <cell r="D92" t="str">
            <v>Phuï xe</v>
          </cell>
          <cell r="E92" t="str">
            <v>B.06</v>
          </cell>
          <cell r="F92">
            <v>6</v>
          </cell>
          <cell r="G92">
            <v>0</v>
          </cell>
          <cell r="H92">
            <v>0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B93" t="str">
            <v>KDPX8</v>
          </cell>
          <cell r="C93" t="str">
            <v>Nguyeãn Vaên Meøo</v>
          </cell>
          <cell r="D93" t="str">
            <v>Phuï xe</v>
          </cell>
          <cell r="E93" t="str">
            <v>B.06</v>
          </cell>
          <cell r="F93">
            <v>12</v>
          </cell>
          <cell r="G93">
            <v>0</v>
          </cell>
          <cell r="H93">
            <v>0</v>
          </cell>
          <cell r="I93">
            <v>1</v>
          </cell>
          <cell r="J93">
            <v>0</v>
          </cell>
          <cell r="K93">
            <v>0</v>
          </cell>
          <cell r="L93">
            <v>5</v>
          </cell>
          <cell r="M93">
            <v>0</v>
          </cell>
          <cell r="N93">
            <v>0</v>
          </cell>
          <cell r="O93">
            <v>300</v>
          </cell>
        </row>
        <row r="94">
          <cell r="B94" t="str">
            <v>KDPX9</v>
          </cell>
          <cell r="C94" t="str">
            <v>Danh Thöøa</v>
          </cell>
          <cell r="D94" t="str">
            <v>Phuï xe</v>
          </cell>
          <cell r="E94" t="str">
            <v>B.06</v>
          </cell>
          <cell r="F94">
            <v>22</v>
          </cell>
          <cell r="G94">
            <v>0</v>
          </cell>
          <cell r="H94">
            <v>0</v>
          </cell>
          <cell r="I94">
            <v>2</v>
          </cell>
          <cell r="J94">
            <v>0</v>
          </cell>
          <cell r="K94">
            <v>8</v>
          </cell>
          <cell r="L94">
            <v>9</v>
          </cell>
          <cell r="M94">
            <v>0</v>
          </cell>
          <cell r="N94">
            <v>0</v>
          </cell>
          <cell r="O94">
            <v>540</v>
          </cell>
        </row>
        <row r="95">
          <cell r="B95" t="str">
            <v>KDPX10</v>
          </cell>
          <cell r="C95" t="str">
            <v>Danh Xaø Quaùch</v>
          </cell>
          <cell r="D95" t="str">
            <v>Phuï xe</v>
          </cell>
          <cell r="E95" t="str">
            <v>B.06</v>
          </cell>
          <cell r="F95">
            <v>23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26</v>
          </cell>
          <cell r="M95">
            <v>0</v>
          </cell>
          <cell r="N95">
            <v>0</v>
          </cell>
          <cell r="O95">
            <v>1560</v>
          </cell>
        </row>
        <row r="96">
          <cell r="B96" t="str">
            <v>KDPX11</v>
          </cell>
          <cell r="C96" t="str">
            <v>Döông Thaønh Taøi</v>
          </cell>
          <cell r="D96" t="str">
            <v>Phuï xe</v>
          </cell>
          <cell r="E96" t="str">
            <v>B.06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 t="str">
            <v>KDPX12</v>
          </cell>
          <cell r="C97" t="str">
            <v>Traàn Vaên Huy</v>
          </cell>
          <cell r="D97" t="str">
            <v>Phuï xe</v>
          </cell>
          <cell r="E97" t="str">
            <v>B.06</v>
          </cell>
          <cell r="F97">
            <v>13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>
            <v>0</v>
          </cell>
          <cell r="C98" t="str">
            <v>Toång coäng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>
            <v>1</v>
          </cell>
          <cell r="C99">
            <v>2</v>
          </cell>
          <cell r="D99">
            <v>3</v>
          </cell>
          <cell r="E99">
            <v>4</v>
          </cell>
          <cell r="F99">
            <v>5</v>
          </cell>
          <cell r="G99">
            <v>6</v>
          </cell>
          <cell r="H99">
            <v>7</v>
          </cell>
          <cell r="I99">
            <v>8</v>
          </cell>
          <cell r="J99">
            <v>9</v>
          </cell>
          <cell r="K99">
            <v>10</v>
          </cell>
          <cell r="L99">
            <v>11</v>
          </cell>
          <cell r="M99">
            <v>12</v>
          </cell>
          <cell r="N99">
            <v>13</v>
          </cell>
          <cell r="O99">
            <v>14</v>
          </cell>
        </row>
      </sheetData>
      <sheetData sheetId="12"/>
      <sheetData sheetId="13"/>
      <sheetData sheetId="14">
        <row r="7">
          <cell r="B7" t="str">
            <v>LÑ01</v>
          </cell>
          <cell r="C7" t="str">
            <v>Ngoâ Pa Ri</v>
          </cell>
          <cell r="D7" t="str">
            <v>Chuû tòch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26</v>
          </cell>
          <cell r="AO7">
            <v>0</v>
          </cell>
          <cell r="AP7">
            <v>0</v>
          </cell>
          <cell r="AQ7">
            <v>0</v>
          </cell>
        </row>
        <row r="8">
          <cell r="B8" t="str">
            <v>LÑ02</v>
          </cell>
          <cell r="C8" t="str">
            <v>Nguyeãn Vaên Thaûo</v>
          </cell>
          <cell r="D8" t="str">
            <v>Toång Gíam Ñoác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26</v>
          </cell>
          <cell r="AO8">
            <v>0</v>
          </cell>
          <cell r="AP8">
            <v>0</v>
          </cell>
          <cell r="AQ8">
            <v>0</v>
          </cell>
        </row>
        <row r="9">
          <cell r="B9" t="str">
            <v>NS01</v>
          </cell>
          <cell r="C9" t="str">
            <v>Nguyeãn Ñoã Q. Phöông</v>
          </cell>
          <cell r="D9" t="str">
            <v>Q.GÑ HCNS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26</v>
          </cell>
          <cell r="AO9">
            <v>0</v>
          </cell>
          <cell r="AP9">
            <v>0</v>
          </cell>
          <cell r="AQ9">
            <v>0</v>
          </cell>
        </row>
        <row r="10">
          <cell r="B10" t="str">
            <v>NS02</v>
          </cell>
          <cell r="C10" t="str">
            <v>Leâ Hoaøng Tuaán</v>
          </cell>
          <cell r="D10" t="str">
            <v>Baûo veä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30</v>
          </cell>
          <cell r="AO10">
            <v>0</v>
          </cell>
          <cell r="AP10">
            <v>0</v>
          </cell>
          <cell r="AQ10">
            <v>0</v>
          </cell>
        </row>
        <row r="11">
          <cell r="B11" t="str">
            <v>NS03</v>
          </cell>
          <cell r="C11" t="str">
            <v>Traàn Thò Thanh Xuaân</v>
          </cell>
          <cell r="D11" t="str">
            <v>NV Haønh chính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 t="str">
            <v>LT</v>
          </cell>
          <cell r="K11">
            <v>1</v>
          </cell>
          <cell r="L11">
            <v>1</v>
          </cell>
          <cell r="M11">
            <v>0</v>
          </cell>
          <cell r="N11">
            <v>1</v>
          </cell>
          <cell r="O11">
            <v>1</v>
          </cell>
          <cell r="P11">
            <v>0.5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 t="str">
            <v>LT</v>
          </cell>
          <cell r="AK11" t="str">
            <v>LT</v>
          </cell>
          <cell r="AL11" t="str">
            <v>LT</v>
          </cell>
          <cell r="AM11" t="str">
            <v>LT</v>
          </cell>
          <cell r="AN11">
            <v>10.5</v>
          </cell>
          <cell r="AO11">
            <v>0</v>
          </cell>
          <cell r="AP11">
            <v>0</v>
          </cell>
          <cell r="AQ11">
            <v>1</v>
          </cell>
        </row>
        <row r="12">
          <cell r="B12" t="str">
            <v>NS04</v>
          </cell>
          <cell r="C12" t="str">
            <v>Leâ Xuaân Kim</v>
          </cell>
          <cell r="D12" t="str">
            <v>Taøi xeá cho CT.HÑTV</v>
          </cell>
          <cell r="E12">
            <v>1</v>
          </cell>
          <cell r="F12">
            <v>0</v>
          </cell>
          <cell r="G12">
            <v>1</v>
          </cell>
          <cell r="H12">
            <v>1</v>
          </cell>
          <cell r="I12">
            <v>1</v>
          </cell>
          <cell r="J12" t="str">
            <v>LT</v>
          </cell>
          <cell r="K12">
            <v>1</v>
          </cell>
          <cell r="L12">
            <v>1</v>
          </cell>
          <cell r="M12">
            <v>0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 t="str">
            <v>LT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24</v>
          </cell>
          <cell r="AO12">
            <v>0</v>
          </cell>
          <cell r="AP12">
            <v>0</v>
          </cell>
          <cell r="AQ12">
            <v>2</v>
          </cell>
        </row>
        <row r="13">
          <cell r="B13" t="str">
            <v>NS05</v>
          </cell>
          <cell r="C13" t="str">
            <v>Nguyeãn Chu Thy</v>
          </cell>
          <cell r="D13" t="str">
            <v>Chuyeân vieân IT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26</v>
          </cell>
          <cell r="AO13">
            <v>0</v>
          </cell>
          <cell r="AP13">
            <v>0</v>
          </cell>
          <cell r="AQ13">
            <v>0</v>
          </cell>
        </row>
        <row r="14">
          <cell r="B14" t="str">
            <v>NS06</v>
          </cell>
          <cell r="C14" t="str">
            <v>Leâ Nguyeãn Trieàu Vöông</v>
          </cell>
          <cell r="D14" t="str">
            <v>NV IT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26</v>
          </cell>
          <cell r="AO14">
            <v>0</v>
          </cell>
          <cell r="AP14">
            <v>0</v>
          </cell>
          <cell r="AQ14">
            <v>0</v>
          </cell>
        </row>
        <row r="15">
          <cell r="B15" t="str">
            <v>NS07</v>
          </cell>
          <cell r="C15" t="str">
            <v>Nguyeãn Thò Ngoïc Thieän</v>
          </cell>
          <cell r="D15" t="str">
            <v>NV Nhaân söï</v>
          </cell>
          <cell r="E15">
            <v>1</v>
          </cell>
          <cell r="F15">
            <v>0</v>
          </cell>
          <cell r="G15">
            <v>1</v>
          </cell>
          <cell r="H15">
            <v>1</v>
          </cell>
          <cell r="I15">
            <v>1</v>
          </cell>
          <cell r="J15" t="str">
            <v>LT</v>
          </cell>
          <cell r="K15">
            <v>1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0</v>
          </cell>
          <cell r="AA15">
            <v>0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 t="str">
            <v>LT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23</v>
          </cell>
          <cell r="AO15">
            <v>0</v>
          </cell>
          <cell r="AP15">
            <v>0</v>
          </cell>
          <cell r="AQ15">
            <v>2</v>
          </cell>
        </row>
        <row r="16">
          <cell r="B16" t="str">
            <v>NS08</v>
          </cell>
          <cell r="C16" t="str">
            <v>Ñoã Ngoïc Thieân Thanh</v>
          </cell>
          <cell r="D16" t="str">
            <v>NV Haønh chính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0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 t="str">
            <v>LT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12</v>
          </cell>
          <cell r="AO16">
            <v>0</v>
          </cell>
          <cell r="AP16">
            <v>0</v>
          </cell>
          <cell r="AQ16">
            <v>1</v>
          </cell>
        </row>
        <row r="17">
          <cell r="B17" t="str">
            <v>NB01</v>
          </cell>
          <cell r="C17" t="str">
            <v>Nguyeãn Thoï Ngoïc</v>
          </cell>
          <cell r="D17" t="str">
            <v>CV Ban KS Noäi boä</v>
          </cell>
          <cell r="E17">
            <v>1</v>
          </cell>
          <cell r="F17">
            <v>0</v>
          </cell>
          <cell r="G17">
            <v>1</v>
          </cell>
          <cell r="H17">
            <v>1</v>
          </cell>
          <cell r="I17">
            <v>1</v>
          </cell>
          <cell r="J17" t="str">
            <v>LT</v>
          </cell>
          <cell r="K17">
            <v>1</v>
          </cell>
          <cell r="L17">
            <v>1</v>
          </cell>
          <cell r="M17">
            <v>0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 t="str">
            <v>P</v>
          </cell>
          <cell r="S17">
            <v>1</v>
          </cell>
          <cell r="T17">
            <v>0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0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 t="str">
            <v>LT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23</v>
          </cell>
          <cell r="AO17">
            <v>0</v>
          </cell>
          <cell r="AP17">
            <v>1</v>
          </cell>
          <cell r="AQ17">
            <v>2</v>
          </cell>
        </row>
        <row r="18">
          <cell r="B18" t="str">
            <v>NB02</v>
          </cell>
          <cell r="C18" t="str">
            <v>Nguyeãn Trinh Nguyeân</v>
          </cell>
          <cell r="D18" t="str">
            <v>NV Phaùp lyù</v>
          </cell>
          <cell r="E18">
            <v>1</v>
          </cell>
          <cell r="F18">
            <v>0</v>
          </cell>
          <cell r="G18">
            <v>1</v>
          </cell>
          <cell r="H18">
            <v>1</v>
          </cell>
          <cell r="I18">
            <v>1</v>
          </cell>
          <cell r="J18" t="str">
            <v>LT</v>
          </cell>
          <cell r="K18">
            <v>1</v>
          </cell>
          <cell r="L18">
            <v>1</v>
          </cell>
          <cell r="M18">
            <v>0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0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0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 t="str">
            <v>LT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24</v>
          </cell>
          <cell r="AO18">
            <v>0</v>
          </cell>
          <cell r="AP18">
            <v>0</v>
          </cell>
          <cell r="AQ18">
            <v>2</v>
          </cell>
        </row>
        <row r="19">
          <cell r="B19" t="str">
            <v>ÑMCC01</v>
          </cell>
          <cell r="C19" t="str">
            <v>Hoaøng Giaùng Sinh</v>
          </cell>
          <cell r="D19" t="str">
            <v>Tröôûng ban ÑMCC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26</v>
          </cell>
          <cell r="AO19">
            <v>0</v>
          </cell>
          <cell r="AP19">
            <v>0</v>
          </cell>
          <cell r="AQ19">
            <v>0</v>
          </cell>
        </row>
        <row r="20">
          <cell r="B20" t="str">
            <v>KT01</v>
          </cell>
          <cell r="C20" t="str">
            <v>Nguyeãn T. Hoàng Aùnh</v>
          </cell>
          <cell r="D20" t="str">
            <v>KTV</v>
          </cell>
          <cell r="E20">
            <v>1</v>
          </cell>
          <cell r="F20">
            <v>0</v>
          </cell>
          <cell r="G20">
            <v>1</v>
          </cell>
          <cell r="H20">
            <v>1</v>
          </cell>
          <cell r="I20">
            <v>1</v>
          </cell>
          <cell r="J20" t="str">
            <v>LT</v>
          </cell>
          <cell r="K20">
            <v>1</v>
          </cell>
          <cell r="L20">
            <v>1</v>
          </cell>
          <cell r="M20">
            <v>0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 t="str">
            <v>P</v>
          </cell>
          <cell r="T20">
            <v>0</v>
          </cell>
          <cell r="U20" t="str">
            <v>P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0</v>
          </cell>
          <cell r="AB20" t="str">
            <v>P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 t="str">
            <v>LT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21</v>
          </cell>
          <cell r="AO20">
            <v>0</v>
          </cell>
          <cell r="AP20">
            <v>3</v>
          </cell>
          <cell r="AQ20">
            <v>2</v>
          </cell>
        </row>
        <row r="21">
          <cell r="B21" t="str">
            <v>KT02</v>
          </cell>
          <cell r="C21" t="str">
            <v>Ninh Phöông Haïnh</v>
          </cell>
          <cell r="D21" t="str">
            <v>Thuû quyõ</v>
          </cell>
          <cell r="E21">
            <v>1</v>
          </cell>
          <cell r="F21">
            <v>0</v>
          </cell>
          <cell r="G21">
            <v>1</v>
          </cell>
          <cell r="H21">
            <v>1</v>
          </cell>
          <cell r="I21">
            <v>1</v>
          </cell>
          <cell r="J21" t="str">
            <v>LT</v>
          </cell>
          <cell r="K21">
            <v>1</v>
          </cell>
          <cell r="L21">
            <v>1</v>
          </cell>
          <cell r="M21">
            <v>0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0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 t="str">
            <v>LT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24</v>
          </cell>
          <cell r="AO21">
            <v>0</v>
          </cell>
          <cell r="AP21">
            <v>0</v>
          </cell>
          <cell r="AQ21">
            <v>2</v>
          </cell>
        </row>
        <row r="22">
          <cell r="B22" t="str">
            <v>KT03</v>
          </cell>
          <cell r="C22" t="str">
            <v xml:space="preserve">Nguyeãn Thaùi Ngaân </v>
          </cell>
          <cell r="D22" t="str">
            <v>KTV</v>
          </cell>
          <cell r="E22">
            <v>1</v>
          </cell>
          <cell r="F22">
            <v>0</v>
          </cell>
          <cell r="G22">
            <v>1</v>
          </cell>
          <cell r="H22">
            <v>1</v>
          </cell>
          <cell r="I22">
            <v>1</v>
          </cell>
          <cell r="J22" t="str">
            <v>LT</v>
          </cell>
          <cell r="K22">
            <v>1</v>
          </cell>
          <cell r="L22" t="str">
            <v>P</v>
          </cell>
          <cell r="M22">
            <v>0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</v>
          </cell>
          <cell r="U22">
            <v>0.5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 t="str">
            <v>LT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22.5</v>
          </cell>
          <cell r="AO22">
            <v>0</v>
          </cell>
          <cell r="AP22">
            <v>1</v>
          </cell>
          <cell r="AQ22">
            <v>2</v>
          </cell>
        </row>
        <row r="23">
          <cell r="B23" t="str">
            <v>KT04</v>
          </cell>
          <cell r="C23" t="str">
            <v>Nguyeãn Vaên Baûy</v>
          </cell>
          <cell r="D23" t="str">
            <v>Q.GÑ TC-KT</v>
          </cell>
          <cell r="E23">
            <v>1</v>
          </cell>
          <cell r="F23">
            <v>0</v>
          </cell>
          <cell r="G23">
            <v>1</v>
          </cell>
          <cell r="H23">
            <v>1</v>
          </cell>
          <cell r="I23">
            <v>1</v>
          </cell>
          <cell r="J23" t="str">
            <v>LT</v>
          </cell>
          <cell r="K23">
            <v>1</v>
          </cell>
          <cell r="L23">
            <v>1</v>
          </cell>
          <cell r="M23">
            <v>0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0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 t="str">
            <v>LT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26</v>
          </cell>
          <cell r="AO23">
            <v>0</v>
          </cell>
          <cell r="AP23">
            <v>0</v>
          </cell>
          <cell r="AQ23">
            <v>2</v>
          </cell>
        </row>
        <row r="24">
          <cell r="B24" t="str">
            <v>KT05</v>
          </cell>
          <cell r="C24" t="str">
            <v>Voõ Thò Hoàng Ñaøo</v>
          </cell>
          <cell r="D24" t="str">
            <v>KTV</v>
          </cell>
          <cell r="E24">
            <v>1</v>
          </cell>
          <cell r="F24">
            <v>0</v>
          </cell>
          <cell r="G24">
            <v>1</v>
          </cell>
          <cell r="H24">
            <v>1</v>
          </cell>
          <cell r="I24">
            <v>1</v>
          </cell>
          <cell r="J24" t="str">
            <v>LT</v>
          </cell>
          <cell r="K24">
            <v>1</v>
          </cell>
          <cell r="L24">
            <v>1</v>
          </cell>
          <cell r="M24">
            <v>0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0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 t="str">
            <v>LT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24</v>
          </cell>
          <cell r="AO24">
            <v>0</v>
          </cell>
          <cell r="AP24">
            <v>0</v>
          </cell>
          <cell r="AQ24">
            <v>2</v>
          </cell>
        </row>
        <row r="25">
          <cell r="B25" t="str">
            <v>KT06</v>
          </cell>
          <cell r="C25" t="str">
            <v>Töø Thò Hoaøng Oanh</v>
          </cell>
          <cell r="D25" t="str">
            <v>KTV</v>
          </cell>
          <cell r="E25">
            <v>1</v>
          </cell>
          <cell r="F25">
            <v>0</v>
          </cell>
          <cell r="G25">
            <v>1</v>
          </cell>
          <cell r="H25">
            <v>1</v>
          </cell>
          <cell r="I25">
            <v>1</v>
          </cell>
          <cell r="J25" t="str">
            <v>LT</v>
          </cell>
          <cell r="K25">
            <v>1</v>
          </cell>
          <cell r="L25">
            <v>1</v>
          </cell>
          <cell r="M25">
            <v>0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0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0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 t="str">
            <v>LT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24</v>
          </cell>
          <cell r="AO25">
            <v>0</v>
          </cell>
          <cell r="AP25">
            <v>0</v>
          </cell>
          <cell r="AQ25">
            <v>2</v>
          </cell>
        </row>
        <row r="26">
          <cell r="B26" t="str">
            <v>KT07</v>
          </cell>
          <cell r="C26" t="str">
            <v>Nguyeãn Thoáng Nhaát</v>
          </cell>
          <cell r="D26" t="str">
            <v>NV Vaät giaù</v>
          </cell>
          <cell r="E26">
            <v>1</v>
          </cell>
          <cell r="F26">
            <v>0</v>
          </cell>
          <cell r="G26">
            <v>1</v>
          </cell>
          <cell r="H26">
            <v>1</v>
          </cell>
          <cell r="I26">
            <v>1</v>
          </cell>
          <cell r="J26" t="str">
            <v>LT</v>
          </cell>
          <cell r="K26">
            <v>1</v>
          </cell>
          <cell r="L26">
            <v>1</v>
          </cell>
          <cell r="M26">
            <v>0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0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0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 t="str">
            <v>LT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24</v>
          </cell>
          <cell r="AO26">
            <v>0</v>
          </cell>
          <cell r="AP26">
            <v>0</v>
          </cell>
          <cell r="AQ26">
            <v>2</v>
          </cell>
        </row>
        <row r="27">
          <cell r="B27" t="str">
            <v>KT08</v>
          </cell>
          <cell r="C27" t="str">
            <v>Kieàu Thò Thuûy Tieân</v>
          </cell>
          <cell r="D27" t="str">
            <v>Keá toaùn thueá</v>
          </cell>
          <cell r="E27">
            <v>1</v>
          </cell>
          <cell r="F27">
            <v>0</v>
          </cell>
          <cell r="G27">
            <v>1</v>
          </cell>
          <cell r="H27">
            <v>1</v>
          </cell>
          <cell r="I27">
            <v>1</v>
          </cell>
          <cell r="J27" t="str">
            <v>LT</v>
          </cell>
          <cell r="K27">
            <v>1</v>
          </cell>
          <cell r="L27">
            <v>1</v>
          </cell>
          <cell r="M27">
            <v>0</v>
          </cell>
          <cell r="N27">
            <v>1</v>
          </cell>
          <cell r="O27">
            <v>1</v>
          </cell>
          <cell r="P27">
            <v>1</v>
          </cell>
          <cell r="Q27">
            <v>0</v>
          </cell>
          <cell r="R27">
            <v>1</v>
          </cell>
          <cell r="S27">
            <v>1</v>
          </cell>
          <cell r="T27">
            <v>0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0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LT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  <cell r="AO27">
            <v>0</v>
          </cell>
          <cell r="AP27">
            <v>0</v>
          </cell>
          <cell r="AQ27">
            <v>2</v>
          </cell>
        </row>
        <row r="28">
          <cell r="B28" t="str">
            <v>KT09</v>
          </cell>
          <cell r="C28" t="str">
            <v>Huuyønh Ngoïc Giang</v>
          </cell>
          <cell r="D28" t="str">
            <v>Keá toaùn quaûn trò</v>
          </cell>
          <cell r="E28">
            <v>1</v>
          </cell>
          <cell r="F28">
            <v>0</v>
          </cell>
          <cell r="G28">
            <v>1</v>
          </cell>
          <cell r="H28">
            <v>1</v>
          </cell>
          <cell r="I28">
            <v>1</v>
          </cell>
          <cell r="J28" t="str">
            <v>LT</v>
          </cell>
          <cell r="K28">
            <v>1</v>
          </cell>
          <cell r="L28">
            <v>1</v>
          </cell>
          <cell r="M28">
            <v>0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0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0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LT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24</v>
          </cell>
          <cell r="AO28">
            <v>0</v>
          </cell>
          <cell r="AP28">
            <v>0</v>
          </cell>
          <cell r="AQ28">
            <v>2</v>
          </cell>
        </row>
        <row r="29">
          <cell r="B29" t="str">
            <v>XD01</v>
          </cell>
          <cell r="C29" t="str">
            <v>Leâ Thanh Huy</v>
          </cell>
          <cell r="D29" t="str">
            <v>Q.Tröôûng Ban KHVT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26</v>
          </cell>
          <cell r="AO29">
            <v>0</v>
          </cell>
          <cell r="AP29">
            <v>0</v>
          </cell>
          <cell r="AQ29">
            <v>0</v>
          </cell>
        </row>
        <row r="30">
          <cell r="B30" t="str">
            <v>XD02</v>
          </cell>
          <cell r="C30" t="str">
            <v>Chaâu Phöôùc Thuaàn</v>
          </cell>
          <cell r="D30" t="str">
            <v>Giaùm saùt</v>
          </cell>
          <cell r="E30">
            <v>1</v>
          </cell>
          <cell r="F30">
            <v>0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 t="str">
            <v>LT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  <cell r="AO30">
            <v>1</v>
          </cell>
          <cell r="AP30">
            <v>0</v>
          </cell>
          <cell r="AQ30">
            <v>1</v>
          </cell>
        </row>
        <row r="31">
          <cell r="B31" t="str">
            <v>XD03</v>
          </cell>
          <cell r="C31" t="str">
            <v>Nguyeãn Duy Long</v>
          </cell>
          <cell r="D31" t="str">
            <v>Giaùm saùt</v>
          </cell>
          <cell r="E31">
            <v>1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0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0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 t="str">
            <v>LT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24</v>
          </cell>
          <cell r="AO31">
            <v>1</v>
          </cell>
          <cell r="AP31">
            <v>0</v>
          </cell>
          <cell r="AQ31">
            <v>1</v>
          </cell>
        </row>
        <row r="32">
          <cell r="B32" t="str">
            <v>XD04</v>
          </cell>
          <cell r="C32" t="str">
            <v>Nguyeãn Traàn Duy Anh</v>
          </cell>
          <cell r="D32" t="str">
            <v>Qlyù Thieát keá</v>
          </cell>
          <cell r="E32">
            <v>1</v>
          </cell>
          <cell r="F32">
            <v>0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0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0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 t="str">
            <v>LT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24</v>
          </cell>
          <cell r="AO32">
            <v>1</v>
          </cell>
          <cell r="AP32">
            <v>0</v>
          </cell>
          <cell r="AQ32">
            <v>1</v>
          </cell>
        </row>
        <row r="33">
          <cell r="B33" t="str">
            <v>XD05</v>
          </cell>
          <cell r="C33" t="str">
            <v>Ñaøo Ngoïc Long</v>
          </cell>
          <cell r="D33" t="str">
            <v>NVVT</v>
          </cell>
          <cell r="E33">
            <v>1</v>
          </cell>
          <cell r="F33">
            <v>0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0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0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 t="str">
            <v>LT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24</v>
          </cell>
          <cell r="AO33">
            <v>1</v>
          </cell>
          <cell r="AP33">
            <v>0</v>
          </cell>
          <cell r="AQ33">
            <v>1</v>
          </cell>
        </row>
        <row r="34">
          <cell r="B34" t="str">
            <v>XD06</v>
          </cell>
          <cell r="C34" t="str">
            <v>Nguyeãn Ngoïc Ñoâng</v>
          </cell>
          <cell r="D34" t="str">
            <v>NV Traéc ñaïc</v>
          </cell>
          <cell r="E34">
            <v>1</v>
          </cell>
          <cell r="F34">
            <v>0</v>
          </cell>
          <cell r="G34">
            <v>1</v>
          </cell>
          <cell r="H34">
            <v>1</v>
          </cell>
          <cell r="I34">
            <v>1</v>
          </cell>
          <cell r="J34" t="str">
            <v>LT</v>
          </cell>
          <cell r="K34">
            <v>1</v>
          </cell>
          <cell r="L34">
            <v>1</v>
          </cell>
          <cell r="M34">
            <v>0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0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 t="str">
            <v>LT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24</v>
          </cell>
          <cell r="AO34">
            <v>0</v>
          </cell>
          <cell r="AP34">
            <v>0</v>
          </cell>
          <cell r="AQ34">
            <v>2</v>
          </cell>
        </row>
        <row r="35">
          <cell r="B35" t="str">
            <v>VT01</v>
          </cell>
          <cell r="C35" t="str">
            <v>Traàn Vaên Vò Toaøn</v>
          </cell>
          <cell r="D35" t="str">
            <v>NVVT</v>
          </cell>
          <cell r="E35">
            <v>1</v>
          </cell>
          <cell r="F35">
            <v>0</v>
          </cell>
          <cell r="G35">
            <v>1</v>
          </cell>
          <cell r="H35">
            <v>1</v>
          </cell>
          <cell r="I35">
            <v>1</v>
          </cell>
          <cell r="J35" t="str">
            <v>LT</v>
          </cell>
          <cell r="K35">
            <v>1</v>
          </cell>
          <cell r="L35">
            <v>1</v>
          </cell>
          <cell r="M35">
            <v>0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0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 t="str">
            <v>LT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24</v>
          </cell>
          <cell r="AO35">
            <v>0</v>
          </cell>
          <cell r="AP35">
            <v>0</v>
          </cell>
          <cell r="AQ35">
            <v>2</v>
          </cell>
        </row>
        <row r="36">
          <cell r="B36" t="str">
            <v>VT02</v>
          </cell>
          <cell r="C36" t="str">
            <v>Voõ Thò Haèøng</v>
          </cell>
          <cell r="D36" t="str">
            <v>NVVT</v>
          </cell>
          <cell r="E36">
            <v>1</v>
          </cell>
          <cell r="F36">
            <v>0</v>
          </cell>
          <cell r="G36">
            <v>1</v>
          </cell>
          <cell r="H36">
            <v>1</v>
          </cell>
          <cell r="I36">
            <v>1</v>
          </cell>
          <cell r="J36" t="str">
            <v>LT</v>
          </cell>
          <cell r="K36">
            <v>1</v>
          </cell>
          <cell r="L36">
            <v>1</v>
          </cell>
          <cell r="M36">
            <v>0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0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 t="str">
            <v>LT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24</v>
          </cell>
          <cell r="AO36">
            <v>0</v>
          </cell>
          <cell r="AP36">
            <v>0</v>
          </cell>
          <cell r="AQ36">
            <v>2</v>
          </cell>
        </row>
        <row r="37">
          <cell r="B37" t="str">
            <v>VT03</v>
          </cell>
          <cell r="C37" t="str">
            <v>Nguyeãn Vaên Thoâng</v>
          </cell>
          <cell r="D37" t="str">
            <v>CN thu mua muïn döøa</v>
          </cell>
          <cell r="E37">
            <v>1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 t="str">
            <v>LT</v>
          </cell>
          <cell r="K37">
            <v>1</v>
          </cell>
          <cell r="L37">
            <v>1</v>
          </cell>
          <cell r="M37">
            <v>0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0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 t="str">
            <v>LT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24</v>
          </cell>
          <cell r="AO37">
            <v>0</v>
          </cell>
          <cell r="AP37">
            <v>0</v>
          </cell>
          <cell r="AQ37">
            <v>2</v>
          </cell>
        </row>
        <row r="38">
          <cell r="B38" t="str">
            <v>VT04</v>
          </cell>
          <cell r="C38" t="str">
            <v>Nguyeãn Phan Höng</v>
          </cell>
          <cell r="D38" t="str">
            <v>NVVT MMTB</v>
          </cell>
          <cell r="E38">
            <v>1</v>
          </cell>
          <cell r="F38">
            <v>0</v>
          </cell>
          <cell r="G38">
            <v>1</v>
          </cell>
          <cell r="H38">
            <v>1</v>
          </cell>
          <cell r="I38">
            <v>1</v>
          </cell>
          <cell r="J38" t="str">
            <v>LT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0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 t="str">
            <v>LT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24</v>
          </cell>
          <cell r="AO38">
            <v>0</v>
          </cell>
          <cell r="AP38">
            <v>0</v>
          </cell>
          <cell r="AQ38">
            <v>2</v>
          </cell>
        </row>
        <row r="39">
          <cell r="B39" t="str">
            <v>VT05</v>
          </cell>
          <cell r="C39" t="str">
            <v>Ñoaøn Phan Quoác Anh</v>
          </cell>
          <cell r="D39" t="str">
            <v>NV ñieàu phoái</v>
          </cell>
          <cell r="E39">
            <v>1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 t="str">
            <v>LT</v>
          </cell>
          <cell r="K39">
            <v>1</v>
          </cell>
          <cell r="L39">
            <v>1</v>
          </cell>
          <cell r="M39">
            <v>0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0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 t="str">
            <v>LT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24</v>
          </cell>
          <cell r="AO39">
            <v>0</v>
          </cell>
          <cell r="AP39">
            <v>0</v>
          </cell>
          <cell r="AQ39">
            <v>2</v>
          </cell>
        </row>
        <row r="40">
          <cell r="B40" t="str">
            <v>VT06</v>
          </cell>
          <cell r="C40" t="str">
            <v>Laâm Hieáu Thuaän</v>
          </cell>
          <cell r="D40" t="str">
            <v>NV ñieàu phoái - XD</v>
          </cell>
          <cell r="E40">
            <v>1</v>
          </cell>
          <cell r="F40">
            <v>0</v>
          </cell>
          <cell r="G40">
            <v>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2</v>
          </cell>
          <cell r="AO40">
            <v>0</v>
          </cell>
          <cell r="AP40">
            <v>0</v>
          </cell>
          <cell r="AQ40">
            <v>0</v>
          </cell>
        </row>
        <row r="41">
          <cell r="B41" t="str">
            <v>DA01</v>
          </cell>
          <cell r="C41" t="str">
            <v>Huyønh Thanh Lieâm</v>
          </cell>
          <cell r="D41" t="str">
            <v>Q. Tröôûng Ban DA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26</v>
          </cell>
          <cell r="AO41">
            <v>0</v>
          </cell>
          <cell r="AP41">
            <v>0</v>
          </cell>
          <cell r="AQ41">
            <v>0</v>
          </cell>
        </row>
        <row r="42">
          <cell r="B42" t="str">
            <v>DA02</v>
          </cell>
          <cell r="C42" t="str">
            <v>Leâ Coâng Nhaát Trung</v>
          </cell>
          <cell r="D42" t="str">
            <v>NV Ban DA</v>
          </cell>
          <cell r="E42">
            <v>1</v>
          </cell>
          <cell r="F42">
            <v>0</v>
          </cell>
          <cell r="G42">
            <v>1</v>
          </cell>
          <cell r="H42">
            <v>1</v>
          </cell>
          <cell r="I42">
            <v>1</v>
          </cell>
          <cell r="J42" t="str">
            <v>LT</v>
          </cell>
          <cell r="K42" t="str">
            <v>P</v>
          </cell>
          <cell r="L42">
            <v>1</v>
          </cell>
          <cell r="M42">
            <v>0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0</v>
          </cell>
          <cell r="U42">
            <v>1</v>
          </cell>
          <cell r="V42">
            <v>1</v>
          </cell>
          <cell r="W42">
            <v>1</v>
          </cell>
          <cell r="X42" t="str">
            <v>P</v>
          </cell>
          <cell r="Y42">
            <v>1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 t="str">
            <v>LT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22</v>
          </cell>
          <cell r="AO42">
            <v>0</v>
          </cell>
          <cell r="AP42">
            <v>2</v>
          </cell>
          <cell r="AQ42">
            <v>2</v>
          </cell>
        </row>
        <row r="43">
          <cell r="B43" t="str">
            <v>DA04</v>
          </cell>
          <cell r="C43" t="str">
            <v>Nguyeãn Thò Giang</v>
          </cell>
          <cell r="D43" t="str">
            <v>NV Ban DA</v>
          </cell>
          <cell r="E43">
            <v>1</v>
          </cell>
          <cell r="F43">
            <v>0</v>
          </cell>
          <cell r="G43">
            <v>1</v>
          </cell>
          <cell r="H43">
            <v>1</v>
          </cell>
          <cell r="I43">
            <v>1</v>
          </cell>
          <cell r="J43" t="str">
            <v>LT</v>
          </cell>
          <cell r="K43">
            <v>1</v>
          </cell>
          <cell r="L43">
            <v>1</v>
          </cell>
          <cell r="M43">
            <v>0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0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0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 t="str">
            <v>LT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24</v>
          </cell>
          <cell r="AO43">
            <v>0</v>
          </cell>
          <cell r="AP43">
            <v>0</v>
          </cell>
          <cell r="AQ43">
            <v>2</v>
          </cell>
        </row>
        <row r="44">
          <cell r="B44" t="str">
            <v>DA05</v>
          </cell>
          <cell r="C44" t="str">
            <v>Cao Xuaân Vuõ</v>
          </cell>
          <cell r="D44" t="str">
            <v>NV Ban DA</v>
          </cell>
          <cell r="E44">
            <v>1</v>
          </cell>
          <cell r="F44">
            <v>0</v>
          </cell>
          <cell r="G44">
            <v>1</v>
          </cell>
          <cell r="H44">
            <v>1</v>
          </cell>
          <cell r="I44">
            <v>1</v>
          </cell>
          <cell r="J44" t="str">
            <v>LT</v>
          </cell>
          <cell r="K44">
            <v>1</v>
          </cell>
          <cell r="L44">
            <v>1</v>
          </cell>
          <cell r="M44">
            <v>0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0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 t="str">
            <v>LT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24</v>
          </cell>
          <cell r="AO44">
            <v>0</v>
          </cell>
          <cell r="AP44">
            <v>0</v>
          </cell>
          <cell r="AQ44">
            <v>2</v>
          </cell>
        </row>
        <row r="45">
          <cell r="B45" t="str">
            <v>TT01</v>
          </cell>
          <cell r="C45" t="str">
            <v>Nguyeãn Nguyeân Nguyeân</v>
          </cell>
          <cell r="D45" t="str">
            <v>Q.GÑ Trung taâm NC KHCN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26</v>
          </cell>
          <cell r="AO45">
            <v>0</v>
          </cell>
          <cell r="AP45">
            <v>0</v>
          </cell>
          <cell r="AQ45">
            <v>0</v>
          </cell>
        </row>
        <row r="46">
          <cell r="B46" t="str">
            <v>TT02</v>
          </cell>
          <cell r="C46" t="str">
            <v>Ñoã Thanh Tuù</v>
          </cell>
          <cell r="D46" t="str">
            <v>Chuyeân vieân TTNC</v>
          </cell>
          <cell r="E46">
            <v>1</v>
          </cell>
          <cell r="F46">
            <v>0</v>
          </cell>
          <cell r="G46">
            <v>1</v>
          </cell>
          <cell r="H46">
            <v>1</v>
          </cell>
          <cell r="I46">
            <v>1</v>
          </cell>
          <cell r="J46" t="str">
            <v>LT</v>
          </cell>
          <cell r="K46">
            <v>1</v>
          </cell>
          <cell r="L46">
            <v>1</v>
          </cell>
          <cell r="M46">
            <v>0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0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 t="str">
            <v>LT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24</v>
          </cell>
          <cell r="AO46">
            <v>0</v>
          </cell>
          <cell r="AP46">
            <v>0</v>
          </cell>
          <cell r="AQ46">
            <v>2</v>
          </cell>
        </row>
        <row r="47">
          <cell r="B47" t="str">
            <v>TT03</v>
          </cell>
          <cell r="C47" t="str">
            <v>Nguyeãn Thò Thuùy Dieãm</v>
          </cell>
          <cell r="D47" t="str">
            <v>NV NC SP</v>
          </cell>
          <cell r="E47">
            <v>1</v>
          </cell>
          <cell r="F47">
            <v>0</v>
          </cell>
          <cell r="G47">
            <v>1</v>
          </cell>
          <cell r="H47">
            <v>1</v>
          </cell>
          <cell r="I47">
            <v>1</v>
          </cell>
          <cell r="J47" t="str">
            <v>LT</v>
          </cell>
          <cell r="K47" t="str">
            <v>P</v>
          </cell>
          <cell r="L47">
            <v>1</v>
          </cell>
          <cell r="M47">
            <v>0</v>
          </cell>
          <cell r="N47">
            <v>1</v>
          </cell>
          <cell r="O47">
            <v>1</v>
          </cell>
          <cell r="P47">
            <v>1</v>
          </cell>
          <cell r="Q47">
            <v>0.5</v>
          </cell>
          <cell r="R47">
            <v>1</v>
          </cell>
          <cell r="S47">
            <v>1</v>
          </cell>
          <cell r="T47">
            <v>0</v>
          </cell>
          <cell r="U47">
            <v>1</v>
          </cell>
          <cell r="V47">
            <v>1</v>
          </cell>
          <cell r="W47">
            <v>1</v>
          </cell>
          <cell r="X47" t="str">
            <v>P</v>
          </cell>
          <cell r="Y47">
            <v>1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 t="str">
            <v>P</v>
          </cell>
          <cell r="AG47">
            <v>1</v>
          </cell>
          <cell r="AH47" t="str">
            <v>LT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20.5</v>
          </cell>
          <cell r="AO47">
            <v>0</v>
          </cell>
          <cell r="AP47">
            <v>3</v>
          </cell>
          <cell r="AQ47">
            <v>2</v>
          </cell>
        </row>
        <row r="48">
          <cell r="B48" t="str">
            <v>TT04</v>
          </cell>
          <cell r="C48" t="str">
            <v>Vuõ Thò Loan</v>
          </cell>
          <cell r="D48" t="str">
            <v>NV NC SP</v>
          </cell>
          <cell r="E48">
            <v>1</v>
          </cell>
          <cell r="F48">
            <v>0</v>
          </cell>
          <cell r="G48" t="str">
            <v>P</v>
          </cell>
          <cell r="H48" t="str">
            <v>P</v>
          </cell>
          <cell r="I48">
            <v>1</v>
          </cell>
          <cell r="J48" t="str">
            <v>LT</v>
          </cell>
          <cell r="K48">
            <v>1</v>
          </cell>
          <cell r="L48">
            <v>1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4</v>
          </cell>
          <cell r="AO48">
            <v>0</v>
          </cell>
          <cell r="AP48">
            <v>2</v>
          </cell>
          <cell r="AQ48">
            <v>1</v>
          </cell>
        </row>
        <row r="49">
          <cell r="B49" t="str">
            <v>TT05</v>
          </cell>
          <cell r="C49" t="str">
            <v>Traàn Thò Minh Thöông</v>
          </cell>
          <cell r="D49" t="str">
            <v>Chuyeân vieân TTNC</v>
          </cell>
          <cell r="E49">
            <v>1</v>
          </cell>
          <cell r="F49">
            <v>0</v>
          </cell>
          <cell r="G49">
            <v>1</v>
          </cell>
          <cell r="H49">
            <v>1</v>
          </cell>
          <cell r="I49">
            <v>1</v>
          </cell>
          <cell r="J49" t="str">
            <v>LT</v>
          </cell>
          <cell r="K49">
            <v>1</v>
          </cell>
          <cell r="L49">
            <v>1</v>
          </cell>
          <cell r="M49">
            <v>0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0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0</v>
          </cell>
          <cell r="AB49" t="str">
            <v>P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 t="str">
            <v>LT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23</v>
          </cell>
          <cell r="AO49">
            <v>0</v>
          </cell>
          <cell r="AP49">
            <v>1</v>
          </cell>
          <cell r="AQ49">
            <v>2</v>
          </cell>
        </row>
        <row r="50">
          <cell r="B50" t="str">
            <v>TT06</v>
          </cell>
          <cell r="C50" t="str">
            <v>Traàn Vaên Haø</v>
          </cell>
          <cell r="D50" t="str">
            <v>NV Moâi tröôøng - TTNC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 t="str">
            <v>LT</v>
          </cell>
          <cell r="K50">
            <v>1</v>
          </cell>
          <cell r="L50">
            <v>1</v>
          </cell>
          <cell r="M50">
            <v>0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0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0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  <cell r="AH50" t="str">
            <v>LT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24</v>
          </cell>
          <cell r="AO50">
            <v>0</v>
          </cell>
          <cell r="AP50">
            <v>0</v>
          </cell>
          <cell r="AQ50">
            <v>2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  <row r="52">
          <cell r="B52" t="str">
            <v>KDV2</v>
          </cell>
          <cell r="C52" t="str">
            <v>Thaïch Minh Chaâu</v>
          </cell>
          <cell r="D52" t="str">
            <v>NVVP</v>
          </cell>
          <cell r="E52">
            <v>1</v>
          </cell>
          <cell r="F52">
            <v>0</v>
          </cell>
          <cell r="G52">
            <v>1</v>
          </cell>
          <cell r="H52">
            <v>1</v>
          </cell>
          <cell r="I52">
            <v>1</v>
          </cell>
          <cell r="J52" t="str">
            <v>LT</v>
          </cell>
          <cell r="K52">
            <v>1</v>
          </cell>
          <cell r="L52">
            <v>1</v>
          </cell>
          <cell r="M52">
            <v>0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0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P</v>
          </cell>
          <cell r="Z52" t="str">
            <v>P</v>
          </cell>
          <cell r="AA52">
            <v>0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1</v>
          </cell>
          <cell r="AH52" t="str">
            <v>LT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22</v>
          </cell>
          <cell r="AO52">
            <v>0</v>
          </cell>
          <cell r="AP52">
            <v>2</v>
          </cell>
          <cell r="AQ52">
            <v>2</v>
          </cell>
        </row>
        <row r="53">
          <cell r="B53" t="str">
            <v>KDV3</v>
          </cell>
          <cell r="C53" t="str">
            <v>Leâ Thò Anh Thö</v>
          </cell>
          <cell r="D53" t="str">
            <v>GÑKD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26</v>
          </cell>
          <cell r="AO53">
            <v>0</v>
          </cell>
          <cell r="AP53">
            <v>0</v>
          </cell>
          <cell r="AQ53">
            <v>0</v>
          </cell>
        </row>
        <row r="54">
          <cell r="B54" t="str">
            <v>KDX1</v>
          </cell>
          <cell r="C54" t="str">
            <v>Ngoâ Maïnh Linh trưởng bộ phận</v>
          </cell>
          <cell r="D54" t="str">
            <v>Laùi xe</v>
          </cell>
          <cell r="E54">
            <v>1</v>
          </cell>
          <cell r="F54">
            <v>0</v>
          </cell>
          <cell r="G54">
            <v>1</v>
          </cell>
          <cell r="H54">
            <v>1</v>
          </cell>
          <cell r="I54">
            <v>1</v>
          </cell>
          <cell r="J54" t="str">
            <v>LT</v>
          </cell>
          <cell r="K54">
            <v>1</v>
          </cell>
          <cell r="L54">
            <v>1</v>
          </cell>
          <cell r="M54">
            <v>0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0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 t="str">
            <v>LT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24</v>
          </cell>
          <cell r="AO54">
            <v>0</v>
          </cell>
          <cell r="AP54">
            <v>0</v>
          </cell>
          <cell r="AQ54">
            <v>2</v>
          </cell>
        </row>
        <row r="55">
          <cell r="B55" t="str">
            <v>KDX2</v>
          </cell>
          <cell r="C55" t="str">
            <v xml:space="preserve">Nguyeãn Cöôøng </v>
          </cell>
          <cell r="D55" t="str">
            <v>Laùi xe</v>
          </cell>
          <cell r="E55">
            <v>1</v>
          </cell>
          <cell r="F55">
            <v>0</v>
          </cell>
          <cell r="G55">
            <v>1</v>
          </cell>
          <cell r="H55">
            <v>1</v>
          </cell>
          <cell r="I55">
            <v>1</v>
          </cell>
          <cell r="J55" t="str">
            <v>LT</v>
          </cell>
          <cell r="K55">
            <v>1</v>
          </cell>
          <cell r="L55">
            <v>1</v>
          </cell>
          <cell r="M55">
            <v>0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0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0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 t="str">
            <v>LT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24</v>
          </cell>
          <cell r="AO55">
            <v>0</v>
          </cell>
          <cell r="AP55">
            <v>0</v>
          </cell>
          <cell r="AQ55">
            <v>2</v>
          </cell>
        </row>
        <row r="56">
          <cell r="B56" t="str">
            <v>KDX3</v>
          </cell>
          <cell r="C56" t="str">
            <v>Nguyeãn Vaên Chung</v>
          </cell>
          <cell r="D56" t="str">
            <v>Laùi xe</v>
          </cell>
          <cell r="E56">
            <v>1</v>
          </cell>
          <cell r="F56">
            <v>0</v>
          </cell>
          <cell r="G56">
            <v>1</v>
          </cell>
          <cell r="H56">
            <v>1</v>
          </cell>
          <cell r="I56">
            <v>1</v>
          </cell>
          <cell r="J56" t="str">
            <v>LT</v>
          </cell>
          <cell r="K56">
            <v>1</v>
          </cell>
          <cell r="L56">
            <v>1</v>
          </cell>
          <cell r="M56">
            <v>0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0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 t="str">
            <v>LT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24</v>
          </cell>
          <cell r="AO56">
            <v>0</v>
          </cell>
          <cell r="AP56">
            <v>0</v>
          </cell>
          <cell r="AQ56">
            <v>2</v>
          </cell>
        </row>
        <row r="57">
          <cell r="B57" t="str">
            <v>KDX4</v>
          </cell>
          <cell r="C57" t="str">
            <v>Leâ Ñöùc Bình</v>
          </cell>
          <cell r="D57" t="str">
            <v>Laùi xe</v>
          </cell>
          <cell r="E57">
            <v>1</v>
          </cell>
          <cell r="F57">
            <v>0</v>
          </cell>
          <cell r="G57">
            <v>1</v>
          </cell>
          <cell r="H57">
            <v>1</v>
          </cell>
          <cell r="I57">
            <v>1</v>
          </cell>
          <cell r="J57" t="str">
            <v>LT</v>
          </cell>
          <cell r="K57">
            <v>1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6</v>
          </cell>
          <cell r="AO57">
            <v>0</v>
          </cell>
          <cell r="AP57">
            <v>0</v>
          </cell>
          <cell r="AQ57">
            <v>1</v>
          </cell>
        </row>
        <row r="58">
          <cell r="B58" t="str">
            <v>KDX5</v>
          </cell>
          <cell r="C58" t="str">
            <v>Nguyeãn Vaên Tuaán</v>
          </cell>
          <cell r="D58" t="str">
            <v>Laùi xe</v>
          </cell>
          <cell r="E58">
            <v>1</v>
          </cell>
          <cell r="F58">
            <v>0</v>
          </cell>
          <cell r="G58">
            <v>1</v>
          </cell>
          <cell r="H58">
            <v>1</v>
          </cell>
          <cell r="I58">
            <v>1</v>
          </cell>
          <cell r="J58" t="str">
            <v>LT</v>
          </cell>
          <cell r="K58">
            <v>1</v>
          </cell>
          <cell r="L58">
            <v>1</v>
          </cell>
          <cell r="M58">
            <v>0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0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0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 t="str">
            <v>LT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24</v>
          </cell>
          <cell r="AO58">
            <v>0</v>
          </cell>
          <cell r="AP58">
            <v>0</v>
          </cell>
          <cell r="AQ58">
            <v>2</v>
          </cell>
        </row>
        <row r="59">
          <cell r="B59" t="str">
            <v>KDX6</v>
          </cell>
          <cell r="C59" t="str">
            <v>Nguyeãn Hoaøi Thanh</v>
          </cell>
          <cell r="D59" t="str">
            <v>Laùi xe</v>
          </cell>
          <cell r="E59">
            <v>1</v>
          </cell>
          <cell r="F59">
            <v>0</v>
          </cell>
          <cell r="G59">
            <v>1</v>
          </cell>
          <cell r="H59">
            <v>1</v>
          </cell>
          <cell r="I59">
            <v>1</v>
          </cell>
          <cell r="J59" t="str">
            <v>LT</v>
          </cell>
          <cell r="K59">
            <v>1</v>
          </cell>
          <cell r="L59">
            <v>1</v>
          </cell>
          <cell r="M59">
            <v>0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0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0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 t="str">
            <v>LT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24</v>
          </cell>
          <cell r="AO59">
            <v>0</v>
          </cell>
          <cell r="AP59">
            <v>0</v>
          </cell>
          <cell r="AQ59">
            <v>2</v>
          </cell>
        </row>
        <row r="60">
          <cell r="B60" t="str">
            <v>KDX8</v>
          </cell>
          <cell r="C60" t="str">
            <v>Nguyeãn Ñình Höôùng</v>
          </cell>
          <cell r="D60" t="str">
            <v>Laùi xe</v>
          </cell>
          <cell r="E60">
            <v>1</v>
          </cell>
          <cell r="F60">
            <v>0</v>
          </cell>
          <cell r="G60">
            <v>1</v>
          </cell>
          <cell r="H60">
            <v>1</v>
          </cell>
          <cell r="I60">
            <v>1</v>
          </cell>
          <cell r="J60" t="str">
            <v>LT</v>
          </cell>
          <cell r="K60">
            <v>1</v>
          </cell>
          <cell r="L60">
            <v>1</v>
          </cell>
          <cell r="M60">
            <v>0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0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1</v>
          </cell>
          <cell r="AG60">
            <v>1</v>
          </cell>
          <cell r="AH60" t="str">
            <v>LT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24</v>
          </cell>
          <cell r="AO60">
            <v>0</v>
          </cell>
          <cell r="AP60">
            <v>0</v>
          </cell>
          <cell r="AQ60">
            <v>2</v>
          </cell>
        </row>
        <row r="61">
          <cell r="B61" t="str">
            <v>KDX9</v>
          </cell>
          <cell r="C61" t="str">
            <v>Chaâu Kim Löôïng</v>
          </cell>
          <cell r="D61" t="str">
            <v>Laùi xe</v>
          </cell>
          <cell r="E61">
            <v>1</v>
          </cell>
          <cell r="F61">
            <v>0</v>
          </cell>
          <cell r="G61">
            <v>1</v>
          </cell>
          <cell r="H61">
            <v>1</v>
          </cell>
          <cell r="I61">
            <v>1</v>
          </cell>
          <cell r="J61" t="str">
            <v>LT</v>
          </cell>
          <cell r="K61">
            <v>1</v>
          </cell>
          <cell r="L61">
            <v>1</v>
          </cell>
          <cell r="M61">
            <v>0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0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 t="str">
            <v>LT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24</v>
          </cell>
          <cell r="AO61">
            <v>0</v>
          </cell>
          <cell r="AP61">
            <v>0</v>
          </cell>
          <cell r="AQ61">
            <v>2</v>
          </cell>
        </row>
        <row r="62">
          <cell r="B62" t="str">
            <v>KDX10</v>
          </cell>
          <cell r="C62" t="str">
            <v>Huyønh Troïng Nghóa</v>
          </cell>
          <cell r="D62" t="str">
            <v>Laùi xe</v>
          </cell>
          <cell r="E62">
            <v>1</v>
          </cell>
          <cell r="F62">
            <v>0</v>
          </cell>
          <cell r="G62">
            <v>1</v>
          </cell>
          <cell r="H62">
            <v>1</v>
          </cell>
          <cell r="I62">
            <v>1</v>
          </cell>
          <cell r="J62" t="str">
            <v>LT</v>
          </cell>
          <cell r="K62">
            <v>1</v>
          </cell>
          <cell r="L62">
            <v>1</v>
          </cell>
          <cell r="M62">
            <v>0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0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 t="str">
            <v>LT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24</v>
          </cell>
          <cell r="AO62">
            <v>0</v>
          </cell>
          <cell r="AP62">
            <v>0</v>
          </cell>
          <cell r="AQ62">
            <v>2</v>
          </cell>
        </row>
        <row r="63">
          <cell r="B63" t="str">
            <v>KDX11</v>
          </cell>
          <cell r="C63" t="str">
            <v>Thaïch Ngoïc Kieàu</v>
          </cell>
          <cell r="D63" t="str">
            <v>Laùi xe</v>
          </cell>
          <cell r="E63">
            <v>1</v>
          </cell>
          <cell r="F63">
            <v>0</v>
          </cell>
          <cell r="G63">
            <v>1</v>
          </cell>
          <cell r="H63">
            <v>1</v>
          </cell>
          <cell r="I63">
            <v>1</v>
          </cell>
          <cell r="J63" t="str">
            <v>LT</v>
          </cell>
          <cell r="K63">
            <v>1</v>
          </cell>
          <cell r="L63">
            <v>1</v>
          </cell>
          <cell r="M63">
            <v>0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0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 t="str">
            <v>LT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24</v>
          </cell>
          <cell r="AO63">
            <v>0</v>
          </cell>
          <cell r="AP63">
            <v>0</v>
          </cell>
          <cell r="AQ63">
            <v>2</v>
          </cell>
        </row>
        <row r="64">
          <cell r="B64" t="str">
            <v>KDX12</v>
          </cell>
          <cell r="C64" t="str">
            <v>Ñoã Thanh Haøo</v>
          </cell>
          <cell r="D64" t="str">
            <v>Laùi xe buøn</v>
          </cell>
          <cell r="E64">
            <v>1</v>
          </cell>
          <cell r="F64">
            <v>0</v>
          </cell>
          <cell r="G64">
            <v>1</v>
          </cell>
          <cell r="H64">
            <v>1</v>
          </cell>
          <cell r="I64">
            <v>1</v>
          </cell>
          <cell r="J64" t="str">
            <v>LT</v>
          </cell>
          <cell r="K64">
            <v>1</v>
          </cell>
          <cell r="L64">
            <v>1</v>
          </cell>
          <cell r="M64">
            <v>0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0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 t="str">
            <v>LT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24</v>
          </cell>
          <cell r="AO64">
            <v>0</v>
          </cell>
          <cell r="AP64">
            <v>0</v>
          </cell>
          <cell r="AQ64">
            <v>2</v>
          </cell>
        </row>
        <row r="65">
          <cell r="B65" t="str">
            <v>KDX13</v>
          </cell>
          <cell r="C65" t="str">
            <v>Leâ Syõ Ninh</v>
          </cell>
          <cell r="D65" t="str">
            <v>Laùi xe - phuï</v>
          </cell>
          <cell r="E65">
            <v>1</v>
          </cell>
          <cell r="F65">
            <v>0</v>
          </cell>
          <cell r="G65">
            <v>1</v>
          </cell>
          <cell r="H65">
            <v>1</v>
          </cell>
          <cell r="I65">
            <v>1</v>
          </cell>
          <cell r="J65" t="str">
            <v>LT</v>
          </cell>
          <cell r="K65">
            <v>1</v>
          </cell>
          <cell r="L65">
            <v>1</v>
          </cell>
          <cell r="M65">
            <v>0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0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 t="str">
            <v>LT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24</v>
          </cell>
          <cell r="AO65">
            <v>0</v>
          </cell>
          <cell r="AP65">
            <v>0</v>
          </cell>
          <cell r="AQ65">
            <v>2</v>
          </cell>
        </row>
        <row r="66">
          <cell r="B66" t="str">
            <v>KDS1</v>
          </cell>
          <cell r="C66" t="str">
            <v>Nguyeãn Tuaán Anh</v>
          </cell>
          <cell r="D66" t="str">
            <v>NVKD</v>
          </cell>
          <cell r="E66">
            <v>1</v>
          </cell>
          <cell r="F66">
            <v>0</v>
          </cell>
          <cell r="G66">
            <v>1</v>
          </cell>
          <cell r="H66">
            <v>1</v>
          </cell>
          <cell r="I66">
            <v>1</v>
          </cell>
          <cell r="J66" t="str">
            <v>LT</v>
          </cell>
          <cell r="K66">
            <v>1</v>
          </cell>
          <cell r="L66">
            <v>1</v>
          </cell>
          <cell r="M66">
            <v>0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0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0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 t="str">
            <v>LT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24</v>
          </cell>
          <cell r="AO66">
            <v>0</v>
          </cell>
          <cell r="AP66">
            <v>0</v>
          </cell>
          <cell r="AQ66">
            <v>2</v>
          </cell>
        </row>
        <row r="67">
          <cell r="B67" t="str">
            <v>KDS2</v>
          </cell>
          <cell r="C67" t="str">
            <v>Phan Thanh Tuøng</v>
          </cell>
          <cell r="D67" t="str">
            <v>NVKD</v>
          </cell>
          <cell r="E67">
            <v>1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 t="str">
            <v>LT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0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0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 t="str">
            <v>LT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24</v>
          </cell>
          <cell r="AO67">
            <v>0</v>
          </cell>
          <cell r="AP67">
            <v>0</v>
          </cell>
          <cell r="AQ67">
            <v>2</v>
          </cell>
        </row>
        <row r="68">
          <cell r="B68" t="str">
            <v>KDS3</v>
          </cell>
          <cell r="C68" t="str">
            <v>Phaïm Thò Nhaãn</v>
          </cell>
          <cell r="D68" t="str">
            <v>NVKD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 t="str">
            <v>Nghi thai san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</row>
        <row r="69">
          <cell r="B69" t="str">
            <v>KDS4</v>
          </cell>
          <cell r="C69" t="str">
            <v>Trịnh Minh Hảo (Trưởng BP sale)</v>
          </cell>
          <cell r="D69" t="str">
            <v>NVKD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  <cell r="I69">
            <v>1</v>
          </cell>
          <cell r="J69" t="str">
            <v>LT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0</v>
          </cell>
          <cell r="U69" t="str">
            <v>P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 t="str">
            <v>LT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23</v>
          </cell>
          <cell r="AO69">
            <v>0</v>
          </cell>
          <cell r="AP69">
            <v>1</v>
          </cell>
          <cell r="AQ69">
            <v>2</v>
          </cell>
        </row>
        <row r="70">
          <cell r="B70" t="str">
            <v>KDS5</v>
          </cell>
          <cell r="C70" t="str">
            <v>Nguyeãn Thò Myõ Haïnh</v>
          </cell>
          <cell r="D70" t="str">
            <v>NVKD</v>
          </cell>
          <cell r="E70">
            <v>1</v>
          </cell>
          <cell r="F70">
            <v>0</v>
          </cell>
          <cell r="G70">
            <v>1</v>
          </cell>
          <cell r="H70">
            <v>1</v>
          </cell>
          <cell r="I70">
            <v>1</v>
          </cell>
          <cell r="J70" t="str">
            <v>LT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0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0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 t="str">
            <v>LT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24</v>
          </cell>
          <cell r="AO70">
            <v>0</v>
          </cell>
          <cell r="AP70">
            <v>0</v>
          </cell>
          <cell r="AQ70">
            <v>2</v>
          </cell>
        </row>
        <row r="71">
          <cell r="B71" t="str">
            <v>KDS6</v>
          </cell>
          <cell r="C71" t="str">
            <v>Leâ Nho Khaùnh</v>
          </cell>
          <cell r="D71" t="str">
            <v>NVKD tænh</v>
          </cell>
          <cell r="E71">
            <v>1</v>
          </cell>
          <cell r="F71">
            <v>0</v>
          </cell>
          <cell r="G71">
            <v>1</v>
          </cell>
          <cell r="H71">
            <v>1</v>
          </cell>
          <cell r="I71">
            <v>1</v>
          </cell>
          <cell r="J71" t="str">
            <v>LT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0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0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1</v>
          </cell>
          <cell r="AG71">
            <v>1</v>
          </cell>
          <cell r="AH71" t="str">
            <v>LT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24</v>
          </cell>
          <cell r="AO71">
            <v>0</v>
          </cell>
          <cell r="AP71">
            <v>0</v>
          </cell>
          <cell r="AQ71">
            <v>2</v>
          </cell>
        </row>
        <row r="72">
          <cell r="B72" t="str">
            <v>KDS7</v>
          </cell>
          <cell r="C72" t="str">
            <v>Ngoâ Quoác Taøi</v>
          </cell>
          <cell r="D72" t="str">
            <v>NVKD</v>
          </cell>
          <cell r="E72">
            <v>1</v>
          </cell>
          <cell r="F72">
            <v>0</v>
          </cell>
          <cell r="G72">
            <v>1</v>
          </cell>
          <cell r="H72">
            <v>1</v>
          </cell>
          <cell r="I72">
            <v>1</v>
          </cell>
          <cell r="J72" t="str">
            <v>LT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0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  <cell r="AH72" t="str">
            <v>LT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24</v>
          </cell>
          <cell r="AO72">
            <v>0</v>
          </cell>
          <cell r="AP72">
            <v>0</v>
          </cell>
          <cell r="AQ72">
            <v>2</v>
          </cell>
        </row>
        <row r="73">
          <cell r="B73" t="str">
            <v>KDS8</v>
          </cell>
          <cell r="C73" t="str">
            <v>Nguyeãn Ñöùc Trung</v>
          </cell>
          <cell r="D73" t="str">
            <v>NVKD</v>
          </cell>
          <cell r="E73">
            <v>1</v>
          </cell>
          <cell r="F73">
            <v>0</v>
          </cell>
          <cell r="G73">
            <v>1</v>
          </cell>
          <cell r="H73">
            <v>1</v>
          </cell>
          <cell r="I73">
            <v>1</v>
          </cell>
          <cell r="J73" t="str">
            <v>LT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0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 t="str">
            <v>LT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24</v>
          </cell>
          <cell r="AO73">
            <v>0</v>
          </cell>
          <cell r="AP73">
            <v>0</v>
          </cell>
          <cell r="AQ73">
            <v>2</v>
          </cell>
        </row>
        <row r="74">
          <cell r="B74" t="str">
            <v>KDS9</v>
          </cell>
          <cell r="C74" t="str">
            <v>Nguyeãn Minh Ñaïi</v>
          </cell>
          <cell r="D74" t="str">
            <v>NVKD</v>
          </cell>
          <cell r="E74">
            <v>1</v>
          </cell>
          <cell r="F74">
            <v>0</v>
          </cell>
          <cell r="G74">
            <v>1</v>
          </cell>
          <cell r="H74">
            <v>1</v>
          </cell>
          <cell r="I74">
            <v>1</v>
          </cell>
          <cell r="J74" t="str">
            <v>LT</v>
          </cell>
          <cell r="K74">
            <v>1</v>
          </cell>
          <cell r="L74">
            <v>1</v>
          </cell>
          <cell r="M74">
            <v>0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0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1</v>
          </cell>
          <cell r="AH74" t="str">
            <v>LT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24</v>
          </cell>
          <cell r="AO74">
            <v>0</v>
          </cell>
          <cell r="AP74">
            <v>0</v>
          </cell>
          <cell r="AQ74">
            <v>2</v>
          </cell>
        </row>
        <row r="75">
          <cell r="B75" t="str">
            <v>KDS10</v>
          </cell>
          <cell r="C75" t="str">
            <v>Traàn Ngoïc Thaïch</v>
          </cell>
          <cell r="D75" t="str">
            <v>NVKD tænh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0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0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 t="str">
            <v>LT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18</v>
          </cell>
          <cell r="AO75">
            <v>0</v>
          </cell>
          <cell r="AP75">
            <v>0</v>
          </cell>
          <cell r="AQ75">
            <v>1</v>
          </cell>
        </row>
        <row r="76">
          <cell r="B76" t="str">
            <v>KDG1</v>
          </cell>
          <cell r="C76" t="str">
            <v>Nguyeãn Hoàng Haûi (trưởng bộ phận)</v>
          </cell>
          <cell r="D76" t="str">
            <v>G.haøng</v>
          </cell>
          <cell r="E76">
            <v>1</v>
          </cell>
          <cell r="F76">
            <v>0</v>
          </cell>
          <cell r="G76">
            <v>1</v>
          </cell>
          <cell r="H76">
            <v>1</v>
          </cell>
          <cell r="I76">
            <v>1</v>
          </cell>
          <cell r="J76" t="str">
            <v>LT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0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 t="str">
            <v>LT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24</v>
          </cell>
          <cell r="AO76">
            <v>0</v>
          </cell>
          <cell r="AP76">
            <v>0</v>
          </cell>
          <cell r="AQ76">
            <v>2</v>
          </cell>
        </row>
        <row r="77">
          <cell r="B77" t="str">
            <v>KDG2</v>
          </cell>
          <cell r="C77" t="str">
            <v>Nguyeãn Thaønh Ngoan</v>
          </cell>
          <cell r="D77" t="str">
            <v>G.haøng</v>
          </cell>
          <cell r="E77">
            <v>1</v>
          </cell>
          <cell r="F77">
            <v>0</v>
          </cell>
          <cell r="G77">
            <v>1</v>
          </cell>
          <cell r="H77">
            <v>1</v>
          </cell>
          <cell r="I77">
            <v>1</v>
          </cell>
          <cell r="J77" t="str">
            <v>LT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0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 t="str">
            <v>LT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24</v>
          </cell>
          <cell r="AO77">
            <v>0</v>
          </cell>
          <cell r="AP77">
            <v>0</v>
          </cell>
          <cell r="AQ77">
            <v>2</v>
          </cell>
        </row>
        <row r="78">
          <cell r="B78" t="str">
            <v>KDG3</v>
          </cell>
          <cell r="C78" t="str">
            <v>Nguyeãn Thanh Cöôøng</v>
          </cell>
          <cell r="D78" t="str">
            <v>G.haøng</v>
          </cell>
          <cell r="E78">
            <v>1</v>
          </cell>
          <cell r="F78">
            <v>0</v>
          </cell>
          <cell r="G78">
            <v>1</v>
          </cell>
          <cell r="H78">
            <v>1</v>
          </cell>
          <cell r="I78">
            <v>1</v>
          </cell>
          <cell r="J78" t="str">
            <v>LT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0</v>
          </cell>
          <cell r="U78">
            <v>1</v>
          </cell>
          <cell r="V78" t="str">
            <v>P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1</v>
          </cell>
          <cell r="AC78" t="str">
            <v>P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 t="str">
            <v>LT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22</v>
          </cell>
          <cell r="AO78">
            <v>0</v>
          </cell>
          <cell r="AP78">
            <v>2</v>
          </cell>
          <cell r="AQ78">
            <v>2</v>
          </cell>
        </row>
        <row r="79">
          <cell r="B79" t="str">
            <v>KDG4</v>
          </cell>
          <cell r="C79" t="str">
            <v>Nguyeãn Ngoïc Hieáu</v>
          </cell>
          <cell r="D79" t="str">
            <v>G.haøng</v>
          </cell>
          <cell r="E79">
            <v>1</v>
          </cell>
          <cell r="F79">
            <v>0</v>
          </cell>
          <cell r="G79">
            <v>1</v>
          </cell>
          <cell r="H79">
            <v>1</v>
          </cell>
          <cell r="I79">
            <v>1</v>
          </cell>
          <cell r="J79" t="str">
            <v>LT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 t="str">
            <v>P</v>
          </cell>
          <cell r="S79">
            <v>1</v>
          </cell>
          <cell r="T79">
            <v>0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0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1</v>
          </cell>
          <cell r="AG79">
            <v>1</v>
          </cell>
          <cell r="AH79" t="str">
            <v>LT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23</v>
          </cell>
          <cell r="AO79">
            <v>0</v>
          </cell>
          <cell r="AP79">
            <v>1</v>
          </cell>
          <cell r="AQ79">
            <v>2</v>
          </cell>
        </row>
        <row r="80">
          <cell r="B80" t="str">
            <v>KDG5</v>
          </cell>
          <cell r="C80" t="str">
            <v>Khaâu Phöôùc Taøi</v>
          </cell>
          <cell r="D80" t="str">
            <v>G.haøng</v>
          </cell>
          <cell r="E80">
            <v>1</v>
          </cell>
          <cell r="F80">
            <v>0</v>
          </cell>
          <cell r="G80">
            <v>1</v>
          </cell>
          <cell r="H80">
            <v>1</v>
          </cell>
          <cell r="I80">
            <v>1</v>
          </cell>
          <cell r="J80" t="str">
            <v>LT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 t="str">
            <v>P</v>
          </cell>
          <cell r="Q80">
            <v>1</v>
          </cell>
          <cell r="R80">
            <v>1</v>
          </cell>
          <cell r="S80">
            <v>1</v>
          </cell>
          <cell r="T80">
            <v>0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 t="str">
            <v>LT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23</v>
          </cell>
          <cell r="AO80">
            <v>0</v>
          </cell>
          <cell r="AP80">
            <v>1</v>
          </cell>
          <cell r="AQ80">
            <v>2</v>
          </cell>
        </row>
        <row r="81">
          <cell r="B81" t="str">
            <v>KDG6</v>
          </cell>
          <cell r="C81" t="str">
            <v>Huyønh Quoác Huøng</v>
          </cell>
          <cell r="D81" t="str">
            <v>G.haøng</v>
          </cell>
          <cell r="E81">
            <v>1</v>
          </cell>
          <cell r="F81">
            <v>0</v>
          </cell>
          <cell r="G81">
            <v>1</v>
          </cell>
          <cell r="H81">
            <v>1</v>
          </cell>
          <cell r="I81">
            <v>1</v>
          </cell>
          <cell r="J81" t="str">
            <v>LT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0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 t="str">
            <v>LT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24</v>
          </cell>
          <cell r="AO81">
            <v>0</v>
          </cell>
          <cell r="AP81">
            <v>0</v>
          </cell>
          <cell r="AQ81">
            <v>2</v>
          </cell>
        </row>
        <row r="82">
          <cell r="B82" t="str">
            <v>KDG7</v>
          </cell>
          <cell r="C82" t="str">
            <v>Ngoâ Quoác Huy</v>
          </cell>
          <cell r="D82" t="str">
            <v>G.haøng</v>
          </cell>
          <cell r="E82">
            <v>1</v>
          </cell>
          <cell r="F82">
            <v>0</v>
          </cell>
          <cell r="G82">
            <v>1</v>
          </cell>
          <cell r="H82">
            <v>1</v>
          </cell>
          <cell r="I82">
            <v>1</v>
          </cell>
          <cell r="J82" t="str">
            <v>LT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0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0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 t="str">
            <v>LT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24</v>
          </cell>
          <cell r="AO82">
            <v>0</v>
          </cell>
          <cell r="AP82">
            <v>0</v>
          </cell>
          <cell r="AQ82">
            <v>2</v>
          </cell>
        </row>
        <row r="83">
          <cell r="B83" t="str">
            <v>KDG8</v>
          </cell>
          <cell r="C83" t="str">
            <v>Traàn Thanh Long</v>
          </cell>
          <cell r="D83" t="str">
            <v>G.haøng</v>
          </cell>
          <cell r="E83">
            <v>1</v>
          </cell>
          <cell r="F83">
            <v>0</v>
          </cell>
          <cell r="G83">
            <v>1</v>
          </cell>
          <cell r="H83">
            <v>1</v>
          </cell>
          <cell r="I83">
            <v>1</v>
          </cell>
          <cell r="J83" t="str">
            <v>LT</v>
          </cell>
          <cell r="K83">
            <v>1</v>
          </cell>
          <cell r="L83">
            <v>1</v>
          </cell>
          <cell r="M83">
            <v>0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0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0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 t="str">
            <v>LT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24</v>
          </cell>
          <cell r="AO83">
            <v>0</v>
          </cell>
          <cell r="AP83">
            <v>0</v>
          </cell>
          <cell r="AQ83">
            <v>2</v>
          </cell>
        </row>
        <row r="84">
          <cell r="B84" t="str">
            <v>KDG9</v>
          </cell>
          <cell r="C84" t="str">
            <v>Huyønh Minh Hoaøng</v>
          </cell>
          <cell r="D84" t="str">
            <v>G.haøng</v>
          </cell>
          <cell r="E84" t="str">
            <v>P</v>
          </cell>
          <cell r="F84">
            <v>0</v>
          </cell>
          <cell r="G84">
            <v>1</v>
          </cell>
          <cell r="H84">
            <v>1</v>
          </cell>
          <cell r="I84">
            <v>1</v>
          </cell>
          <cell r="J84" t="str">
            <v>LT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0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 t="str">
            <v>LT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23</v>
          </cell>
          <cell r="AO84">
            <v>0</v>
          </cell>
          <cell r="AP84">
            <v>1</v>
          </cell>
          <cell r="AQ84">
            <v>2</v>
          </cell>
        </row>
        <row r="85">
          <cell r="B85" t="str">
            <v>KDG10</v>
          </cell>
          <cell r="C85" t="str">
            <v>Haø Thaønh Ñaït</v>
          </cell>
          <cell r="D85" t="str">
            <v>G.haøng</v>
          </cell>
          <cell r="E85">
            <v>1</v>
          </cell>
          <cell r="F85">
            <v>0</v>
          </cell>
          <cell r="G85">
            <v>1</v>
          </cell>
          <cell r="H85">
            <v>1</v>
          </cell>
          <cell r="I85">
            <v>1</v>
          </cell>
          <cell r="J85" t="str">
            <v>LT</v>
          </cell>
          <cell r="K85">
            <v>1</v>
          </cell>
          <cell r="L85">
            <v>1</v>
          </cell>
          <cell r="M85">
            <v>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0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 t="str">
            <v>LT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24</v>
          </cell>
          <cell r="AO85">
            <v>0</v>
          </cell>
          <cell r="AP85">
            <v>0</v>
          </cell>
          <cell r="AQ85">
            <v>2</v>
          </cell>
        </row>
        <row r="86">
          <cell r="B86" t="str">
            <v>KDG11</v>
          </cell>
          <cell r="C86" t="str">
            <v>Döông Nguyeãn Vuõ Baûo</v>
          </cell>
          <cell r="D86" t="str">
            <v>G.haøng</v>
          </cell>
          <cell r="E86">
            <v>1</v>
          </cell>
          <cell r="F86">
            <v>0</v>
          </cell>
          <cell r="G86">
            <v>1</v>
          </cell>
          <cell r="H86">
            <v>1</v>
          </cell>
          <cell r="I86">
            <v>1</v>
          </cell>
          <cell r="J86" t="str">
            <v>LT</v>
          </cell>
          <cell r="K86">
            <v>1</v>
          </cell>
          <cell r="L86">
            <v>1</v>
          </cell>
          <cell r="M86">
            <v>0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0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 t="str">
            <v>LT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24</v>
          </cell>
          <cell r="AO86">
            <v>0</v>
          </cell>
          <cell r="AP86">
            <v>0</v>
          </cell>
          <cell r="AQ86">
            <v>2</v>
          </cell>
        </row>
        <row r="87">
          <cell r="B87" t="str">
            <v>KDPX2</v>
          </cell>
          <cell r="C87" t="str">
            <v>Leâ Hoaøng Phuùc</v>
          </cell>
          <cell r="D87" t="str">
            <v>Phuï xe</v>
          </cell>
          <cell r="E87">
            <v>1</v>
          </cell>
          <cell r="F87">
            <v>0</v>
          </cell>
          <cell r="G87">
            <v>1</v>
          </cell>
          <cell r="H87">
            <v>1</v>
          </cell>
          <cell r="I87">
            <v>1</v>
          </cell>
          <cell r="J87" t="str">
            <v>LT</v>
          </cell>
          <cell r="K87">
            <v>1</v>
          </cell>
          <cell r="L87">
            <v>1</v>
          </cell>
          <cell r="M87">
            <v>0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0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0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 t="str">
            <v>LT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</v>
          </cell>
          <cell r="AO87">
            <v>0</v>
          </cell>
          <cell r="AP87">
            <v>0</v>
          </cell>
          <cell r="AQ87">
            <v>2</v>
          </cell>
        </row>
        <row r="88">
          <cell r="B88" t="str">
            <v>KDPX3</v>
          </cell>
          <cell r="C88" t="str">
            <v>Traàn Minh Long</v>
          </cell>
          <cell r="D88" t="str">
            <v>Phuï xe</v>
          </cell>
          <cell r="E88">
            <v>1</v>
          </cell>
          <cell r="F88">
            <v>0</v>
          </cell>
          <cell r="G88">
            <v>1</v>
          </cell>
          <cell r="H88">
            <v>1</v>
          </cell>
          <cell r="I88">
            <v>1</v>
          </cell>
          <cell r="J88" t="str">
            <v>LT</v>
          </cell>
          <cell r="K88">
            <v>1</v>
          </cell>
          <cell r="L88">
            <v>1</v>
          </cell>
          <cell r="M88">
            <v>0</v>
          </cell>
          <cell r="N88">
            <v>1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7</v>
          </cell>
          <cell r="AO88">
            <v>0</v>
          </cell>
          <cell r="AP88">
            <v>0</v>
          </cell>
          <cell r="AQ88">
            <v>1</v>
          </cell>
        </row>
        <row r="89">
          <cell r="B89" t="str">
            <v>KDPX4</v>
          </cell>
          <cell r="C89" t="str">
            <v>Döông Tấn Ñaït</v>
          </cell>
          <cell r="D89" t="str">
            <v>Phuï xe</v>
          </cell>
          <cell r="E89">
            <v>1</v>
          </cell>
          <cell r="F89">
            <v>0</v>
          </cell>
          <cell r="G89">
            <v>1</v>
          </cell>
          <cell r="H89">
            <v>1</v>
          </cell>
          <cell r="I89">
            <v>1</v>
          </cell>
          <cell r="J89" t="str">
            <v>LT</v>
          </cell>
          <cell r="K89">
            <v>1</v>
          </cell>
          <cell r="L89">
            <v>1</v>
          </cell>
          <cell r="M89">
            <v>0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0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 t="str">
            <v>LT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24</v>
          </cell>
          <cell r="AO89">
            <v>0</v>
          </cell>
          <cell r="AP89">
            <v>0</v>
          </cell>
          <cell r="AQ89">
            <v>2</v>
          </cell>
        </row>
        <row r="90">
          <cell r="B90" t="str">
            <v>KDPX5</v>
          </cell>
          <cell r="C90" t="str">
            <v>Leâ Taán Duõng</v>
          </cell>
          <cell r="D90" t="str">
            <v>Phuï xe</v>
          </cell>
          <cell r="E90">
            <v>1</v>
          </cell>
          <cell r="F90">
            <v>0</v>
          </cell>
          <cell r="G90">
            <v>1</v>
          </cell>
          <cell r="H90">
            <v>1</v>
          </cell>
          <cell r="I90">
            <v>1</v>
          </cell>
          <cell r="J90" t="str">
            <v>LT</v>
          </cell>
          <cell r="K90">
            <v>1</v>
          </cell>
          <cell r="L90">
            <v>1</v>
          </cell>
          <cell r="M90">
            <v>0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0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0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 t="str">
            <v>LT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24</v>
          </cell>
          <cell r="AO90">
            <v>0</v>
          </cell>
          <cell r="AP90">
            <v>0</v>
          </cell>
          <cell r="AQ90">
            <v>2</v>
          </cell>
        </row>
        <row r="91">
          <cell r="B91" t="str">
            <v>KDPX6</v>
          </cell>
          <cell r="C91" t="str">
            <v>Ñaëng Quoác Coïp</v>
          </cell>
          <cell r="D91" t="str">
            <v>Phuï xe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  <cell r="I91">
            <v>1</v>
          </cell>
          <cell r="J91" t="str">
            <v>LT</v>
          </cell>
          <cell r="K91">
            <v>1</v>
          </cell>
          <cell r="L91">
            <v>1</v>
          </cell>
          <cell r="M91">
            <v>0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0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0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 t="str">
            <v>LT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24</v>
          </cell>
          <cell r="AO91">
            <v>0</v>
          </cell>
          <cell r="AP91">
            <v>0</v>
          </cell>
          <cell r="AQ91">
            <v>2</v>
          </cell>
        </row>
        <row r="92">
          <cell r="B92" t="str">
            <v>KDPX7</v>
          </cell>
          <cell r="C92" t="str">
            <v>Leâ Ñaéc Cöôøng</v>
          </cell>
          <cell r="D92" t="str">
            <v>Phuï xe</v>
          </cell>
          <cell r="E92">
            <v>1</v>
          </cell>
          <cell r="F92">
            <v>0</v>
          </cell>
          <cell r="G92">
            <v>1</v>
          </cell>
          <cell r="H92">
            <v>1</v>
          </cell>
          <cell r="I92">
            <v>1</v>
          </cell>
          <cell r="J92" t="str">
            <v>LT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6</v>
          </cell>
          <cell r="AO92">
            <v>0</v>
          </cell>
          <cell r="AP92">
            <v>0</v>
          </cell>
          <cell r="AQ92">
            <v>1</v>
          </cell>
        </row>
        <row r="93">
          <cell r="B93" t="str">
            <v>KDPX8</v>
          </cell>
          <cell r="C93" t="str">
            <v>Nguyeãn Vaên Meøo</v>
          </cell>
          <cell r="D93" t="str">
            <v>Phuï xe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 t="str">
            <v>LT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12</v>
          </cell>
          <cell r="AO93">
            <v>0</v>
          </cell>
          <cell r="AP93">
            <v>0</v>
          </cell>
          <cell r="AQ93">
            <v>1</v>
          </cell>
        </row>
        <row r="94">
          <cell r="B94" t="str">
            <v>KDPX9</v>
          </cell>
          <cell r="C94" t="str">
            <v>Danh Thöøa</v>
          </cell>
          <cell r="D94" t="str">
            <v>Phuï xe</v>
          </cell>
          <cell r="E94">
            <v>1</v>
          </cell>
          <cell r="F94">
            <v>0</v>
          </cell>
          <cell r="G94">
            <v>1</v>
          </cell>
          <cell r="H94">
            <v>1</v>
          </cell>
          <cell r="I94">
            <v>1</v>
          </cell>
          <cell r="J94" t="str">
            <v>LT</v>
          </cell>
          <cell r="K94">
            <v>1</v>
          </cell>
          <cell r="L94">
            <v>1</v>
          </cell>
          <cell r="M94">
            <v>0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0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0</v>
          </cell>
          <cell r="AG94">
            <v>0</v>
          </cell>
          <cell r="AH94" t="str">
            <v>LT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22</v>
          </cell>
          <cell r="AO94">
            <v>0</v>
          </cell>
          <cell r="AP94">
            <v>0</v>
          </cell>
          <cell r="AQ94">
            <v>2</v>
          </cell>
        </row>
        <row r="95">
          <cell r="B95" t="str">
            <v>KDPX10</v>
          </cell>
          <cell r="C95" t="str">
            <v>Danh Xaø Quaùch</v>
          </cell>
          <cell r="D95" t="str">
            <v>Phuï xe</v>
          </cell>
          <cell r="E95">
            <v>1</v>
          </cell>
          <cell r="F95">
            <v>0</v>
          </cell>
          <cell r="G95">
            <v>1</v>
          </cell>
          <cell r="H95">
            <v>1</v>
          </cell>
          <cell r="I95">
            <v>1</v>
          </cell>
          <cell r="J95" t="str">
            <v>LT</v>
          </cell>
          <cell r="K95">
            <v>1</v>
          </cell>
          <cell r="L95">
            <v>1</v>
          </cell>
          <cell r="M95">
            <v>0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0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1</v>
          </cell>
          <cell r="AC95">
            <v>1</v>
          </cell>
          <cell r="AD95">
            <v>1</v>
          </cell>
          <cell r="AE95">
            <v>0</v>
          </cell>
          <cell r="AF95">
            <v>1</v>
          </cell>
          <cell r="AG95">
            <v>1</v>
          </cell>
          <cell r="AH95" t="str">
            <v>LT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23</v>
          </cell>
          <cell r="AO95">
            <v>0</v>
          </cell>
          <cell r="AP95">
            <v>0</v>
          </cell>
          <cell r="AQ95">
            <v>2</v>
          </cell>
        </row>
        <row r="96">
          <cell r="B96" t="str">
            <v>KDPX11</v>
          </cell>
          <cell r="C96" t="str">
            <v>Döông Thaønh Taøi</v>
          </cell>
          <cell r="D96" t="str">
            <v>Phuï xe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</row>
        <row r="97">
          <cell r="B97" t="str">
            <v>KDPX12</v>
          </cell>
          <cell r="C97" t="str">
            <v>Traàn Vaên Huy</v>
          </cell>
          <cell r="D97" t="str">
            <v>Phuï xe</v>
          </cell>
          <cell r="E97">
            <v>1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 t="str">
            <v>LT</v>
          </cell>
          <cell r="K97">
            <v>0</v>
          </cell>
          <cell r="L97">
            <v>0</v>
          </cell>
          <cell r="M97">
            <v>0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0</v>
          </cell>
          <cell r="U97">
            <v>1</v>
          </cell>
          <cell r="V97">
            <v>1</v>
          </cell>
          <cell r="W97">
            <v>1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</v>
          </cell>
          <cell r="AO97">
            <v>0</v>
          </cell>
          <cell r="AP97">
            <v>0</v>
          </cell>
          <cell r="AQ97">
            <v>1</v>
          </cell>
        </row>
        <row r="98">
          <cell r="B98">
            <v>0</v>
          </cell>
          <cell r="C98" t="str">
            <v>Toång coäng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4">
          <cell r="B104" t="str">
            <v>LÑ01</v>
          </cell>
          <cell r="C104" t="str">
            <v>Ngoâ Pa Ri</v>
          </cell>
          <cell r="D104" t="str">
            <v>Chuû tòch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LÑ02</v>
          </cell>
          <cell r="C105" t="str">
            <v>Nguyeãn Vaên Thaûo</v>
          </cell>
          <cell r="D105" t="str">
            <v>Toång Gíam Ñoác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NS01</v>
          </cell>
          <cell r="C106" t="str">
            <v>Nguyeãn Ñoã Q. Phöông</v>
          </cell>
          <cell r="D106" t="str">
            <v>Q.GÑ HCNS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NS02</v>
          </cell>
          <cell r="C107" t="str">
            <v>Leâ Hoaøng Tuaán</v>
          </cell>
          <cell r="D107" t="str">
            <v>Baûo veä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NS03</v>
          </cell>
          <cell r="C108" t="str">
            <v>Traàn Thò Thanh Xuaân</v>
          </cell>
          <cell r="D108" t="str">
            <v>NV Haønh chính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NS04</v>
          </cell>
          <cell r="C109" t="str">
            <v>Leâ Xuaân Kim</v>
          </cell>
          <cell r="D109" t="str">
            <v>Taøi xeá cho CT.HÑTV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NS05</v>
          </cell>
          <cell r="C110" t="str">
            <v>Nguyeãn Chu Thy</v>
          </cell>
          <cell r="D110" t="str">
            <v>Chuyeân vieân IT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NS06</v>
          </cell>
          <cell r="C111" t="str">
            <v>Leâ Nguyeãn Trieàu Vöông</v>
          </cell>
          <cell r="D111" t="str">
            <v>NV IT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NS07</v>
          </cell>
          <cell r="C112" t="str">
            <v>Nguyeãn Thò Ngoïc Thieän</v>
          </cell>
          <cell r="D112" t="str">
            <v>NV Nhaân söï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NS08</v>
          </cell>
          <cell r="C113" t="str">
            <v>Ñoã Ngoïc Thieân Thanh</v>
          </cell>
          <cell r="D113" t="str">
            <v>NV Haønh chính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NB01</v>
          </cell>
          <cell r="C114" t="str">
            <v>Nguyeãn Thoï Ngoïc</v>
          </cell>
          <cell r="D114" t="str">
            <v>CV Ban KS Noäi boä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NB02</v>
          </cell>
          <cell r="C115" t="str">
            <v>Nguyeãn Trinh Nguyeân</v>
          </cell>
          <cell r="D115" t="str">
            <v>NV Phaùp lyù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B116" t="str">
            <v>ÑMCC01</v>
          </cell>
          <cell r="C116" t="str">
            <v>Hoaøng Giaùng Sinh</v>
          </cell>
          <cell r="D116" t="str">
            <v>Tröôûng ban ÑMCC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</row>
        <row r="117">
          <cell r="B117" t="str">
            <v>KT01</v>
          </cell>
          <cell r="C117" t="str">
            <v>Nguyeãn T. Hoàng Aùnh</v>
          </cell>
          <cell r="D117" t="str">
            <v>KTV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KT02</v>
          </cell>
          <cell r="C118" t="str">
            <v>Ninh Phöông Haïnh</v>
          </cell>
          <cell r="D118" t="str">
            <v>Thuû quyõ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KT03</v>
          </cell>
          <cell r="C119" t="str">
            <v xml:space="preserve">Nguyeãn Thaùi Ngaân </v>
          </cell>
          <cell r="D119" t="str">
            <v>KTV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B120" t="str">
            <v>KT04</v>
          </cell>
          <cell r="C120" t="str">
            <v>Nguyeãn Vaên Baûy</v>
          </cell>
          <cell r="D120" t="str">
            <v>Q.GÑ TC-KT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</row>
        <row r="121">
          <cell r="B121" t="str">
            <v>KT05</v>
          </cell>
          <cell r="C121" t="str">
            <v>Voõ Thò Hoàng Ñaøo</v>
          </cell>
          <cell r="D121" t="str">
            <v>KTV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</row>
        <row r="122">
          <cell r="B122" t="str">
            <v>KT06</v>
          </cell>
          <cell r="C122" t="str">
            <v>Töø Thò Hoaøng Oanh</v>
          </cell>
          <cell r="D122" t="str">
            <v>KTV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</row>
        <row r="123">
          <cell r="B123" t="str">
            <v>KT07</v>
          </cell>
          <cell r="C123" t="str">
            <v>Nguyeãn Thoáng Nhaát</v>
          </cell>
          <cell r="D123" t="str">
            <v>NV Vaät giaù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</row>
        <row r="124">
          <cell r="B124" t="str">
            <v>KT08</v>
          </cell>
          <cell r="C124" t="str">
            <v>Kieàu Thò Thuûy Tieân</v>
          </cell>
          <cell r="D124" t="str">
            <v>Keá toaùn thueá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</row>
        <row r="125">
          <cell r="B125" t="str">
            <v>KT09</v>
          </cell>
          <cell r="C125" t="str">
            <v>Huuyønh Ngoïc Giang</v>
          </cell>
          <cell r="D125" t="str">
            <v>Keá toaùn quaûn trò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</row>
        <row r="126">
          <cell r="B126" t="str">
            <v>XD01</v>
          </cell>
          <cell r="C126" t="str">
            <v>Leâ Thanh Huy</v>
          </cell>
          <cell r="D126" t="str">
            <v>Q.Tröôûng Ban KHVT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</row>
        <row r="127">
          <cell r="B127" t="str">
            <v>XD02</v>
          </cell>
          <cell r="C127" t="str">
            <v>Chaâu Phöôùc Thuaàn</v>
          </cell>
          <cell r="D127" t="str">
            <v>Giaùm saùt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1.5</v>
          </cell>
          <cell r="J127">
            <v>9</v>
          </cell>
          <cell r="K127">
            <v>0</v>
          </cell>
          <cell r="L127">
            <v>2</v>
          </cell>
          <cell r="M127">
            <v>9</v>
          </cell>
          <cell r="N127">
            <v>2.5</v>
          </cell>
          <cell r="O127">
            <v>3.5</v>
          </cell>
          <cell r="P127">
            <v>2.5</v>
          </cell>
          <cell r="Q127">
            <v>0</v>
          </cell>
          <cell r="R127">
            <v>0</v>
          </cell>
          <cell r="S127">
            <v>3</v>
          </cell>
          <cell r="T127">
            <v>0</v>
          </cell>
          <cell r="U127">
            <v>0</v>
          </cell>
          <cell r="V127">
            <v>2.5</v>
          </cell>
          <cell r="W127">
            <v>0</v>
          </cell>
          <cell r="X127">
            <v>0</v>
          </cell>
          <cell r="Y127">
            <v>0</v>
          </cell>
          <cell r="Z127">
            <v>5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2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33.5</v>
          </cell>
          <cell r="AO127">
            <v>9</v>
          </cell>
        </row>
        <row r="128">
          <cell r="B128" t="str">
            <v>XD03</v>
          </cell>
          <cell r="C128" t="str">
            <v>Nguyeãn Duy Long</v>
          </cell>
          <cell r="D128" t="str">
            <v>Giaùm saùt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1.5</v>
          </cell>
          <cell r="J128">
            <v>0</v>
          </cell>
          <cell r="K128">
            <v>1</v>
          </cell>
          <cell r="L128">
            <v>2</v>
          </cell>
          <cell r="M128">
            <v>7.5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2.5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8</v>
          </cell>
          <cell r="AO128">
            <v>7.5</v>
          </cell>
        </row>
        <row r="129">
          <cell r="B129" t="str">
            <v>XD04</v>
          </cell>
          <cell r="C129" t="str">
            <v>Nguyeãn Traàn Duy Anh</v>
          </cell>
          <cell r="D129" t="str">
            <v>Qlyù Thieát keá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XD05</v>
          </cell>
          <cell r="C130" t="str">
            <v>Ñaøo Ngoïc Long</v>
          </cell>
          <cell r="D130" t="str">
            <v>NVVT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9</v>
          </cell>
          <cell r="K130">
            <v>3</v>
          </cell>
          <cell r="L130">
            <v>3</v>
          </cell>
          <cell r="M130">
            <v>7</v>
          </cell>
          <cell r="N130">
            <v>0</v>
          </cell>
          <cell r="O130">
            <v>0</v>
          </cell>
          <cell r="P130">
            <v>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7.5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16</v>
          </cell>
          <cell r="AO130">
            <v>14.5</v>
          </cell>
        </row>
        <row r="131">
          <cell r="B131" t="str">
            <v>XD06</v>
          </cell>
          <cell r="C131" t="str">
            <v>Nguyeãn Ngoïc Ñoâng</v>
          </cell>
          <cell r="D131" t="str">
            <v>NV Traéc ñaïc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6</v>
          </cell>
          <cell r="K131">
            <v>0</v>
          </cell>
          <cell r="L131">
            <v>2</v>
          </cell>
          <cell r="M131">
            <v>7.5</v>
          </cell>
          <cell r="N131">
            <v>4</v>
          </cell>
          <cell r="O131">
            <v>3.5</v>
          </cell>
          <cell r="P131">
            <v>5.3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6.5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20.799999999999997</v>
          </cell>
          <cell r="AO131">
            <v>14</v>
          </cell>
        </row>
        <row r="132">
          <cell r="B132" t="str">
            <v>VT01</v>
          </cell>
          <cell r="C132" t="str">
            <v>Traàn Vaên Vò Toaøn</v>
          </cell>
          <cell r="D132" t="str">
            <v>NVVT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</row>
        <row r="133">
          <cell r="B133" t="str">
            <v>VT02</v>
          </cell>
          <cell r="C133" t="str">
            <v>Voõ Thò Haèøng</v>
          </cell>
          <cell r="D133" t="str">
            <v>NVVT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VT03</v>
          </cell>
          <cell r="C134" t="str">
            <v>Nguyeãn Vaên Thoâng</v>
          </cell>
          <cell r="D134" t="str">
            <v>CN thu mua muïn döøa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VT04</v>
          </cell>
          <cell r="C135" t="str">
            <v>Nguyeãn Phan Höng</v>
          </cell>
          <cell r="D135" t="str">
            <v>NVVT MMTB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VT05</v>
          </cell>
          <cell r="C136" t="str">
            <v>Ñoaøn Phan Quoác Anh</v>
          </cell>
          <cell r="D136" t="str">
            <v>NV ñieàu phoái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VT06</v>
          </cell>
          <cell r="C137" t="str">
            <v>Laâm Hieáu Thuaän</v>
          </cell>
          <cell r="D137" t="str">
            <v>NV ñieàu phoái - XD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DA01</v>
          </cell>
          <cell r="C138" t="str">
            <v>Huyønh Thanh Lieâm</v>
          </cell>
          <cell r="D138" t="str">
            <v>Q. Tröôûng Ban DA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DA02</v>
          </cell>
          <cell r="C139" t="str">
            <v>Leâ Coâng Nhaát Trung</v>
          </cell>
          <cell r="D139" t="str">
            <v>NV Ban DA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DA04</v>
          </cell>
          <cell r="C140" t="str">
            <v>Nguyeãn Thò Giang</v>
          </cell>
          <cell r="D140" t="str">
            <v>NV Ban DA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DA05</v>
          </cell>
          <cell r="C141" t="str">
            <v>Cao Xuaân Vuõ</v>
          </cell>
          <cell r="D141" t="str">
            <v>NV Ban DA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TT01</v>
          </cell>
          <cell r="C142" t="str">
            <v>Nguyeãn Nguyeân Nguyeân</v>
          </cell>
          <cell r="D142" t="str">
            <v>Q.GÑ Trung taâm NC KHCN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TT02</v>
          </cell>
          <cell r="C143" t="str">
            <v>Ñoã Thanh Tuù</v>
          </cell>
          <cell r="D143" t="str">
            <v>Chuyeân vieân TTNC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TT03</v>
          </cell>
          <cell r="C144" t="str">
            <v>Nguyeãn Thò Thuùy Dieãm</v>
          </cell>
          <cell r="D144" t="str">
            <v>NV NC SP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TT04</v>
          </cell>
          <cell r="C145" t="str">
            <v>Vuõ Thò Loan</v>
          </cell>
          <cell r="D145" t="str">
            <v>NV NC SP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TT05</v>
          </cell>
          <cell r="C146" t="str">
            <v>Traàn Thò Minh Thöông</v>
          </cell>
          <cell r="D146" t="str">
            <v>Chuyeân vieân TTNC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TT06</v>
          </cell>
          <cell r="C147" t="str">
            <v>Traàn Vaên Haø</v>
          </cell>
          <cell r="D147" t="str">
            <v>NV Moâi tröôøng - TTNC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KDV2</v>
          </cell>
          <cell r="C149" t="str">
            <v>Thaïch Minh Chaâu</v>
          </cell>
          <cell r="D149" t="str">
            <v>NVVP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KDV3</v>
          </cell>
          <cell r="C150" t="str">
            <v>Leâ Thò Anh Thö</v>
          </cell>
          <cell r="D150" t="str">
            <v>GÑKD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KDX1</v>
          </cell>
          <cell r="C151" t="str">
            <v>Ngoâ Maïnh Linh trưởng bộ phận</v>
          </cell>
          <cell r="D151" t="str">
            <v>Laùi xe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8</v>
          </cell>
        </row>
        <row r="152">
          <cell r="B152" t="str">
            <v>KDX2</v>
          </cell>
          <cell r="C152" t="str">
            <v xml:space="preserve">Nguyeãn Cöôøng </v>
          </cell>
          <cell r="D152" t="str">
            <v>Laùi xe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8</v>
          </cell>
        </row>
        <row r="153">
          <cell r="B153" t="str">
            <v>KDX3</v>
          </cell>
          <cell r="C153" t="str">
            <v>Nguyeãn Vaên Chung</v>
          </cell>
          <cell r="D153" t="str">
            <v>Laùi xe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8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8</v>
          </cell>
        </row>
        <row r="154">
          <cell r="B154" t="str">
            <v>KDX4</v>
          </cell>
          <cell r="C154" t="str">
            <v>Leâ Ñöùc Bình</v>
          </cell>
          <cell r="D154" t="str">
            <v>Laùi xe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KDX5</v>
          </cell>
          <cell r="C155" t="str">
            <v>Nguyeãn Vaên Tuaán</v>
          </cell>
          <cell r="D155" t="str">
            <v>Laùi xe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8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8</v>
          </cell>
        </row>
        <row r="156">
          <cell r="B156" t="str">
            <v>KDX6</v>
          </cell>
          <cell r="C156" t="str">
            <v>Nguyeãn Hoaøi Thanh</v>
          </cell>
          <cell r="D156" t="str">
            <v>Laùi xe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KDX8</v>
          </cell>
          <cell r="C157" t="str">
            <v>Nguyeãn Ñình Höôùng</v>
          </cell>
          <cell r="D157" t="str">
            <v>Laùi xe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KDX9</v>
          </cell>
          <cell r="C158" t="str">
            <v>Chaâu Kim Löôïng</v>
          </cell>
          <cell r="D158" t="str">
            <v>Laùi xe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8</v>
          </cell>
        </row>
        <row r="159">
          <cell r="B159" t="str">
            <v>KDX10</v>
          </cell>
          <cell r="C159" t="str">
            <v>Huyønh Troïng Nghóa</v>
          </cell>
          <cell r="D159" t="str">
            <v>Laùi xe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8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8</v>
          </cell>
        </row>
        <row r="160">
          <cell r="B160" t="str">
            <v>KDX11</v>
          </cell>
          <cell r="C160" t="str">
            <v>Thaïch Ngoïc Kieàu</v>
          </cell>
          <cell r="D160" t="str">
            <v>Laùi xe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KDX12</v>
          </cell>
          <cell r="C161" t="str">
            <v>Ñoã Thanh Haøo</v>
          </cell>
          <cell r="D161" t="str">
            <v>Laùi xe buøn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KDX13</v>
          </cell>
          <cell r="C162" t="str">
            <v>Leâ Syõ Ninh</v>
          </cell>
          <cell r="D162" t="str">
            <v>Laùi xe - phuï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8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8</v>
          </cell>
        </row>
        <row r="163">
          <cell r="B163" t="str">
            <v>KDS1</v>
          </cell>
          <cell r="C163" t="str">
            <v>Nguyeãn Tuaán Anh</v>
          </cell>
          <cell r="D163" t="str">
            <v>NVKD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KDS2</v>
          </cell>
          <cell r="C164" t="str">
            <v>Phan Thanh Tuøng</v>
          </cell>
          <cell r="D164" t="str">
            <v>NVKD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KDS3</v>
          </cell>
          <cell r="C165" t="str">
            <v>Phaïm Thò Nhaãn</v>
          </cell>
          <cell r="D165" t="str">
            <v>NVKD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KDS4</v>
          </cell>
          <cell r="C166" t="str">
            <v>Trịnh Minh Hảo (Trưởng BP sale)</v>
          </cell>
          <cell r="D166" t="str">
            <v>NVKD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KDS5</v>
          </cell>
          <cell r="C167" t="str">
            <v>Nguyeãn Thò Myõ Haïnh</v>
          </cell>
          <cell r="D167" t="str">
            <v>NVKD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KDS6</v>
          </cell>
          <cell r="C168" t="str">
            <v>Leâ Nho Khaùnh</v>
          </cell>
          <cell r="D168" t="str">
            <v>NVKD tænh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8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8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</v>
          </cell>
        </row>
        <row r="169">
          <cell r="B169" t="str">
            <v>KDS7</v>
          </cell>
          <cell r="C169" t="str">
            <v>Ngoâ Quoác Taøi</v>
          </cell>
          <cell r="D169" t="str">
            <v>NVKD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</row>
        <row r="170">
          <cell r="B170" t="str">
            <v>KDS8</v>
          </cell>
          <cell r="C170" t="str">
            <v>Nguyeãn Ñöùc Trung</v>
          </cell>
          <cell r="D170" t="str">
            <v>NVKD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KDS9</v>
          </cell>
          <cell r="C171" t="str">
            <v>Nguyeãn Minh Ñaïi</v>
          </cell>
          <cell r="D171" t="str">
            <v>NVKD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KDS10</v>
          </cell>
          <cell r="C172" t="str">
            <v>Traàn Ngoïc Thaïch</v>
          </cell>
          <cell r="D172" t="str">
            <v>NVKD tænh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KDG1</v>
          </cell>
          <cell r="C173" t="str">
            <v>Nguyeãn Hoàng Haûi (trưởng bộ phận)</v>
          </cell>
          <cell r="D173" t="str">
            <v>G.haøng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8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8</v>
          </cell>
        </row>
        <row r="174">
          <cell r="B174" t="str">
            <v>KDG2</v>
          </cell>
          <cell r="C174" t="str">
            <v>Nguyeãn Thaønh Ngoan</v>
          </cell>
          <cell r="D174" t="str">
            <v>G.haøng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KDG3</v>
          </cell>
          <cell r="C175" t="str">
            <v>Nguyeãn Thanh Cöôøng</v>
          </cell>
          <cell r="D175" t="str">
            <v>G.haøng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KDG4</v>
          </cell>
          <cell r="C176" t="str">
            <v>Nguyeãn Ngoïc Hieáu</v>
          </cell>
          <cell r="D176" t="str">
            <v>G.haøng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KDG5</v>
          </cell>
          <cell r="C177" t="str">
            <v>Khaâu Phöôùc Taøi</v>
          </cell>
          <cell r="D177" t="str">
            <v>G.haøng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KDG6</v>
          </cell>
          <cell r="C178" t="str">
            <v>Huyønh Quoác Huøng</v>
          </cell>
          <cell r="D178" t="str">
            <v>G.haøng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8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8</v>
          </cell>
        </row>
        <row r="179">
          <cell r="B179" t="str">
            <v>KDG7</v>
          </cell>
          <cell r="C179" t="str">
            <v>Ngoâ Quoác Huy</v>
          </cell>
          <cell r="D179" t="str">
            <v>G.haøng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KDG8</v>
          </cell>
          <cell r="C180" t="str">
            <v>Traàn Thanh Long</v>
          </cell>
          <cell r="D180" t="str">
            <v>G.haøng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8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8</v>
          </cell>
        </row>
        <row r="181">
          <cell r="B181" t="str">
            <v>KDG9</v>
          </cell>
          <cell r="C181" t="str">
            <v>Huyønh Minh Hoaøng</v>
          </cell>
          <cell r="D181" t="str">
            <v>G.haøng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8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8</v>
          </cell>
        </row>
        <row r="182">
          <cell r="B182" t="str">
            <v>KDG10</v>
          </cell>
          <cell r="C182" t="str">
            <v>Haø Thaønh Ñaït</v>
          </cell>
          <cell r="D182" t="str">
            <v>G.haøng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KDG11</v>
          </cell>
          <cell r="C183" t="str">
            <v>Döông Nguyeãn Vuõ Baûo</v>
          </cell>
          <cell r="D183" t="str">
            <v>G.haøng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8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8</v>
          </cell>
        </row>
        <row r="184">
          <cell r="B184" t="str">
            <v>KDPX2</v>
          </cell>
          <cell r="C184" t="str">
            <v>Leâ Hoaøng Phuùc</v>
          </cell>
          <cell r="D184" t="str">
            <v>Phuï xe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KDPX3</v>
          </cell>
          <cell r="C185" t="str">
            <v>Traàn Minh Long</v>
          </cell>
          <cell r="D185" t="str">
            <v>Phuï xe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KDPX4</v>
          </cell>
          <cell r="C186" t="str">
            <v>Döông Tấn Ñaït</v>
          </cell>
          <cell r="D186" t="str">
            <v>Phuï xe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8</v>
          </cell>
        </row>
        <row r="187">
          <cell r="B187" t="str">
            <v>KDPX5</v>
          </cell>
          <cell r="C187" t="str">
            <v>Leâ Taán Duõng</v>
          </cell>
          <cell r="D187" t="str">
            <v>Phuï xe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KDPX6</v>
          </cell>
          <cell r="C188" t="str">
            <v>Ñaëng Quoác Coïp</v>
          </cell>
          <cell r="D188" t="str">
            <v>Phuï xe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8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8</v>
          </cell>
        </row>
        <row r="189">
          <cell r="B189" t="str">
            <v>KDPX7</v>
          </cell>
          <cell r="C189" t="str">
            <v>Leâ Ñaéc Cöôøng</v>
          </cell>
          <cell r="D189" t="str">
            <v>Phuï xe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KDPX8</v>
          </cell>
          <cell r="C190" t="str">
            <v>Nguyeãn Vaên Meøo</v>
          </cell>
          <cell r="D190" t="str">
            <v>Phuï xe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KDPX9</v>
          </cell>
          <cell r="C191" t="str">
            <v>Danh Thöøa</v>
          </cell>
          <cell r="D191" t="str">
            <v>Phuï xe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8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8</v>
          </cell>
        </row>
        <row r="192">
          <cell r="B192" t="str">
            <v>KDPX10</v>
          </cell>
          <cell r="C192" t="str">
            <v>Danh Xaø Quaùch</v>
          </cell>
          <cell r="D192" t="str">
            <v>Phuï xe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KDPX11</v>
          </cell>
          <cell r="C193" t="str">
            <v>Döông Thaønh Taøi</v>
          </cell>
          <cell r="D193" t="str">
            <v>Phuï xe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KDPX12</v>
          </cell>
          <cell r="C194" t="str">
            <v>Traàn Vaên Huy</v>
          </cell>
          <cell r="D194" t="str">
            <v>Phuï xe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>
            <v>0</v>
          </cell>
          <cell r="C195" t="str">
            <v>Toång coäng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</row>
        <row r="196">
          <cell r="AN196">
            <v>0</v>
          </cell>
          <cell r="AO196">
            <v>0</v>
          </cell>
        </row>
        <row r="201">
          <cell r="B201" t="str">
            <v>LÑ01</v>
          </cell>
          <cell r="C201" t="str">
            <v>Ngoâ Pa Ri</v>
          </cell>
          <cell r="D201" t="str">
            <v>Chuû tòch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</row>
        <row r="202">
          <cell r="B202" t="str">
            <v>LÑ02</v>
          </cell>
          <cell r="C202" t="str">
            <v>Nguyeãn Vaên Thaûo</v>
          </cell>
          <cell r="D202" t="str">
            <v>Toång Gíam Ñoác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</row>
        <row r="203">
          <cell r="B203" t="str">
            <v>NS01</v>
          </cell>
          <cell r="C203" t="str">
            <v>Nguyeãn Ñoã Q. Phöông</v>
          </cell>
          <cell r="D203" t="str">
            <v>Q.GÑ HCNS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</row>
        <row r="204">
          <cell r="B204" t="str">
            <v>NS02</v>
          </cell>
          <cell r="C204" t="str">
            <v>Leâ Hoaøng Tuaán</v>
          </cell>
          <cell r="D204" t="str">
            <v>Baûo veä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</row>
        <row r="205">
          <cell r="B205" t="str">
            <v>NS03</v>
          </cell>
          <cell r="C205" t="str">
            <v>Traàn Thò Thanh Xuaân</v>
          </cell>
          <cell r="D205" t="str">
            <v>NV Haønh chính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</row>
        <row r="206">
          <cell r="B206" t="str">
            <v>NS04</v>
          </cell>
          <cell r="C206" t="str">
            <v>Leâ Xuaân Kim</v>
          </cell>
          <cell r="D206" t="str">
            <v>Taøi xeá cho CT.HÑTV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</row>
        <row r="207">
          <cell r="B207" t="str">
            <v>NS05</v>
          </cell>
          <cell r="C207" t="str">
            <v>Nguyeãn Chu Thy</v>
          </cell>
          <cell r="D207" t="str">
            <v>Chuyeân vieân IT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</row>
        <row r="208">
          <cell r="B208" t="str">
            <v>NS06</v>
          </cell>
          <cell r="C208" t="str">
            <v>Leâ Nguyeãn Trieàu Vöông</v>
          </cell>
          <cell r="D208" t="str">
            <v>NV IT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</row>
        <row r="209">
          <cell r="B209" t="str">
            <v>NS07</v>
          </cell>
          <cell r="C209" t="str">
            <v>Nguyeãn Thò Ngoïc Thieän</v>
          </cell>
          <cell r="D209" t="str">
            <v>NV Nhaân söï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</row>
        <row r="210">
          <cell r="B210" t="str">
            <v>NS08</v>
          </cell>
          <cell r="C210" t="str">
            <v>Ñoã Ngoïc Thieân Thanh</v>
          </cell>
          <cell r="D210" t="str">
            <v>NV Haønh chính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</row>
        <row r="211">
          <cell r="B211" t="str">
            <v>NB01</v>
          </cell>
          <cell r="C211" t="str">
            <v>Nguyeãn Thoï Ngoïc</v>
          </cell>
          <cell r="D211" t="str">
            <v>CV Ban KS Noäi boä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</row>
        <row r="212">
          <cell r="B212" t="str">
            <v>NB02</v>
          </cell>
          <cell r="C212" t="str">
            <v>Nguyeãn Trinh Nguyeân</v>
          </cell>
          <cell r="D212" t="str">
            <v>NV Phaùp lyù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</row>
        <row r="213">
          <cell r="B213" t="str">
            <v>ÑMCC01</v>
          </cell>
          <cell r="C213" t="str">
            <v>Hoaøng Giaùng Sinh</v>
          </cell>
          <cell r="D213" t="str">
            <v>Tröôûng ban ÑMCC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</row>
        <row r="214">
          <cell r="B214" t="str">
            <v>KT01</v>
          </cell>
          <cell r="C214" t="str">
            <v>Nguyeãn T. Hoàng Aùnh</v>
          </cell>
          <cell r="D214" t="str">
            <v>KTV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</row>
        <row r="215">
          <cell r="B215" t="str">
            <v>KT02</v>
          </cell>
          <cell r="C215" t="str">
            <v>Ninh Phöông Haïnh</v>
          </cell>
          <cell r="D215" t="str">
            <v>Thuû quyõ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</row>
        <row r="216">
          <cell r="B216" t="str">
            <v>KT03</v>
          </cell>
          <cell r="C216" t="str">
            <v xml:space="preserve">Nguyeãn Thaùi Ngaân </v>
          </cell>
          <cell r="D216" t="str">
            <v>KTV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</row>
        <row r="217">
          <cell r="B217" t="str">
            <v>KT04</v>
          </cell>
          <cell r="C217" t="str">
            <v>Nguyeãn Vaên Baûy</v>
          </cell>
          <cell r="D217" t="str">
            <v>Q.GÑ TC-KT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</row>
        <row r="218">
          <cell r="B218" t="str">
            <v>KT05</v>
          </cell>
          <cell r="C218" t="str">
            <v>Voõ Thò Hoàng Ñaøo</v>
          </cell>
          <cell r="D218" t="str">
            <v>KTV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</row>
        <row r="219">
          <cell r="B219" t="str">
            <v>KT06</v>
          </cell>
          <cell r="C219" t="str">
            <v>Töø Thò Hoaøng Oanh</v>
          </cell>
          <cell r="D219" t="str">
            <v>KTV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</row>
        <row r="220">
          <cell r="B220" t="str">
            <v>KT07</v>
          </cell>
          <cell r="C220" t="str">
            <v>Nguyeãn Thoáng Nhaát</v>
          </cell>
          <cell r="D220" t="str">
            <v>NV Vaät giaù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</row>
        <row r="221">
          <cell r="B221" t="str">
            <v>KT08</v>
          </cell>
          <cell r="C221" t="str">
            <v>Kieàu Thò Thuûy Tieân</v>
          </cell>
          <cell r="D221" t="str">
            <v>Keá toaùn thueá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</row>
        <row r="222">
          <cell r="B222" t="str">
            <v>KT09</v>
          </cell>
          <cell r="C222" t="str">
            <v>Huuyønh Ngoïc Giang</v>
          </cell>
          <cell r="D222" t="str">
            <v>Keá toaùn quaûn trò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</row>
        <row r="223">
          <cell r="B223" t="str">
            <v>XD01</v>
          </cell>
          <cell r="C223" t="str">
            <v>Leâ Thanh Huy</v>
          </cell>
          <cell r="D223" t="str">
            <v>Q.Tröôûng Ban KHVT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</row>
        <row r="224">
          <cell r="B224" t="str">
            <v>XD02</v>
          </cell>
          <cell r="C224" t="str">
            <v>Chaâu Phöôùc Thuaàn</v>
          </cell>
          <cell r="D224" t="str">
            <v>Giaùm saùt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</row>
        <row r="225">
          <cell r="B225" t="str">
            <v>XD03</v>
          </cell>
          <cell r="C225" t="str">
            <v>Nguyeãn Duy Long</v>
          </cell>
          <cell r="D225" t="str">
            <v>Giaùm saùt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</row>
        <row r="226">
          <cell r="B226" t="str">
            <v>XD04</v>
          </cell>
          <cell r="C226" t="str">
            <v>Nguyeãn Traàn Duy Anh</v>
          </cell>
          <cell r="D226" t="str">
            <v>Qlyù Thieát keá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</row>
        <row r="227">
          <cell r="B227" t="str">
            <v>XD05</v>
          </cell>
          <cell r="C227" t="str">
            <v>Ñaøo Ngoïc Long</v>
          </cell>
          <cell r="D227" t="str">
            <v>NVVT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</row>
        <row r="228">
          <cell r="B228" t="str">
            <v>XD06</v>
          </cell>
          <cell r="C228" t="str">
            <v>Nguyeãn Ngoïc Ñoâng</v>
          </cell>
          <cell r="D228" t="str">
            <v>NV Traéc ñaïc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</row>
        <row r="229">
          <cell r="B229" t="str">
            <v>VT01</v>
          </cell>
          <cell r="C229" t="str">
            <v>Traàn Vaên Vò Toaøn</v>
          </cell>
          <cell r="D229" t="str">
            <v>NVVT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</row>
        <row r="230">
          <cell r="B230" t="str">
            <v>VT02</v>
          </cell>
          <cell r="C230" t="str">
            <v>Voõ Thò Haèøng</v>
          </cell>
          <cell r="D230" t="str">
            <v>NVVT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</row>
        <row r="231">
          <cell r="B231" t="str">
            <v>VT03</v>
          </cell>
          <cell r="C231" t="str">
            <v>Nguyeãn Vaên Thoâng</v>
          </cell>
          <cell r="D231" t="str">
            <v>CN thu mua muïn döøa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</row>
        <row r="232">
          <cell r="B232" t="str">
            <v>VT04</v>
          </cell>
          <cell r="C232" t="str">
            <v>Nguyeãn Phan Höng</v>
          </cell>
          <cell r="D232" t="str">
            <v>NVVT MMTB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</row>
        <row r="233">
          <cell r="B233" t="str">
            <v>VT05</v>
          </cell>
          <cell r="C233" t="str">
            <v>Ñoaøn Phan Quoác Anh</v>
          </cell>
          <cell r="D233" t="str">
            <v>NV ñieàu phoái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</row>
        <row r="234">
          <cell r="B234" t="str">
            <v>VT06</v>
          </cell>
          <cell r="C234" t="str">
            <v>Laâm Hieáu Thuaän</v>
          </cell>
          <cell r="D234" t="str">
            <v>NV ñieàu phoái - XD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</row>
        <row r="235">
          <cell r="B235" t="str">
            <v>DA01</v>
          </cell>
          <cell r="C235" t="str">
            <v>Huyønh Thanh Lieâm</v>
          </cell>
          <cell r="D235" t="str">
            <v>Q. Tröôûng Ban DA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</row>
        <row r="236">
          <cell r="B236" t="str">
            <v>DA02</v>
          </cell>
          <cell r="C236" t="str">
            <v>Leâ Coâng Nhaát Trung</v>
          </cell>
          <cell r="D236" t="str">
            <v>NV Ban DA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</row>
        <row r="237">
          <cell r="B237" t="str">
            <v>DA04</v>
          </cell>
          <cell r="C237" t="str">
            <v>Nguyeãn Thò Giang</v>
          </cell>
          <cell r="D237" t="str">
            <v>NV Ban DA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</row>
        <row r="238">
          <cell r="B238" t="str">
            <v>DA05</v>
          </cell>
          <cell r="C238" t="str">
            <v>Cao Xuaân Vuõ</v>
          </cell>
          <cell r="D238" t="str">
            <v>NV Ban DA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</row>
        <row r="239">
          <cell r="B239" t="str">
            <v>TT01</v>
          </cell>
          <cell r="C239" t="str">
            <v>Nguyeãn Nguyeân Nguyeân</v>
          </cell>
          <cell r="D239" t="str">
            <v>Q.GÑ Trung taâm NC KHCN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</row>
        <row r="240">
          <cell r="B240" t="str">
            <v>TT02</v>
          </cell>
          <cell r="C240" t="str">
            <v>Ñoã Thanh Tuù</v>
          </cell>
          <cell r="D240" t="str">
            <v>Chuyeân vieân TTNC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</row>
        <row r="241">
          <cell r="B241" t="str">
            <v>TT03</v>
          </cell>
          <cell r="C241" t="str">
            <v>Nguyeãn Thò Thuùy Dieãm</v>
          </cell>
          <cell r="D241" t="str">
            <v>NV NC SP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</row>
        <row r="242">
          <cell r="B242" t="str">
            <v>TT04</v>
          </cell>
          <cell r="C242" t="str">
            <v>Vuõ Thò Loan</v>
          </cell>
          <cell r="D242" t="str">
            <v>NV NC SP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</row>
        <row r="243">
          <cell r="B243" t="str">
            <v>TT05</v>
          </cell>
          <cell r="C243" t="str">
            <v>Traàn Thò Minh Thöông</v>
          </cell>
          <cell r="D243" t="str">
            <v>Chuyeân vieân TTNC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</row>
        <row r="244">
          <cell r="B244" t="str">
            <v>TT06</v>
          </cell>
          <cell r="C244" t="str">
            <v>Traàn Vaên Haø</v>
          </cell>
          <cell r="D244" t="str">
            <v>NV Moâi tröôøng - TTNC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</row>
        <row r="246">
          <cell r="B246" t="str">
            <v>KDV2</v>
          </cell>
          <cell r="C246" t="str">
            <v>Thaïch Minh Chaâu</v>
          </cell>
          <cell r="D246" t="str">
            <v>NVVP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</row>
        <row r="247">
          <cell r="B247" t="str">
            <v>KDV3</v>
          </cell>
          <cell r="C247" t="str">
            <v>Leâ Thò Anh Thö</v>
          </cell>
          <cell r="D247" t="str">
            <v>GÑKD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</row>
        <row r="248">
          <cell r="B248" t="str">
            <v>KDX1</v>
          </cell>
          <cell r="C248" t="str">
            <v>Ngoâ Maïnh Linh trưởng bộ phận</v>
          </cell>
          <cell r="D248" t="str">
            <v>Laùi xe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</row>
        <row r="249">
          <cell r="B249" t="str">
            <v>KDX2</v>
          </cell>
          <cell r="C249" t="str">
            <v xml:space="preserve">Nguyeãn Cöôøng </v>
          </cell>
          <cell r="D249" t="str">
            <v>Laùi xe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 t="str">
            <v>BH</v>
          </cell>
          <cell r="Y249" t="str">
            <v>BH</v>
          </cell>
          <cell r="Z249">
            <v>0</v>
          </cell>
          <cell r="AA249">
            <v>0</v>
          </cell>
          <cell r="AB249" t="str">
            <v>BH</v>
          </cell>
          <cell r="AC249">
            <v>0</v>
          </cell>
          <cell r="AD249">
            <v>0</v>
          </cell>
          <cell r="AE249" t="str">
            <v>PT</v>
          </cell>
          <cell r="AF249">
            <v>0</v>
          </cell>
          <cell r="AG249" t="str">
            <v>BH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4</v>
          </cell>
          <cell r="AO249">
            <v>1</v>
          </cell>
          <cell r="AP249">
            <v>0</v>
          </cell>
        </row>
        <row r="250">
          <cell r="B250" t="str">
            <v>KDX3</v>
          </cell>
          <cell r="C250" t="str">
            <v>Nguyeãn Vaên Chung</v>
          </cell>
          <cell r="D250" t="str">
            <v>Laùi xe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 t="str">
            <v>BH</v>
          </cell>
          <cell r="J250">
            <v>0</v>
          </cell>
          <cell r="K250">
            <v>0</v>
          </cell>
          <cell r="L250" t="str">
            <v>BD</v>
          </cell>
          <cell r="M250">
            <v>0</v>
          </cell>
          <cell r="N250" t="str">
            <v>BD</v>
          </cell>
          <cell r="O250" t="str">
            <v>BD</v>
          </cell>
          <cell r="P250">
            <v>0</v>
          </cell>
          <cell r="Q250" t="str">
            <v>BD</v>
          </cell>
          <cell r="R250">
            <v>0</v>
          </cell>
          <cell r="S250">
            <v>0</v>
          </cell>
          <cell r="T250" t="str">
            <v>BH</v>
          </cell>
          <cell r="U250">
            <v>0</v>
          </cell>
          <cell r="V250" t="str">
            <v>BD</v>
          </cell>
          <cell r="W250" t="str">
            <v>BH</v>
          </cell>
          <cell r="X250" t="str">
            <v>BH</v>
          </cell>
          <cell r="Y250">
            <v>0</v>
          </cell>
          <cell r="Z250">
            <v>0</v>
          </cell>
          <cell r="AA250">
            <v>0</v>
          </cell>
          <cell r="AB250" t="str">
            <v>BH</v>
          </cell>
          <cell r="AC250">
            <v>0</v>
          </cell>
          <cell r="AD250">
            <v>0</v>
          </cell>
          <cell r="AE250">
            <v>0</v>
          </cell>
          <cell r="AF250" t="str">
            <v>BH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11</v>
          </cell>
          <cell r="AO250">
            <v>0</v>
          </cell>
          <cell r="AP250">
            <v>0</v>
          </cell>
        </row>
        <row r="251">
          <cell r="B251" t="str">
            <v>KDX4</v>
          </cell>
          <cell r="C251" t="str">
            <v>Leâ Ñöùc Bình</v>
          </cell>
          <cell r="D251" t="str">
            <v>Laùi xe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</row>
        <row r="252">
          <cell r="B252" t="str">
            <v>KDX5</v>
          </cell>
          <cell r="C252" t="str">
            <v>Nguyeãn Vaên Tuaán</v>
          </cell>
          <cell r="D252" t="str">
            <v>Laùi xe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</row>
        <row r="253">
          <cell r="B253" t="str">
            <v>KDX6</v>
          </cell>
          <cell r="C253" t="str">
            <v>Nguyeãn Hoaøi Thanh</v>
          </cell>
          <cell r="D253" t="str">
            <v>Laùi xe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</row>
        <row r="254">
          <cell r="B254" t="str">
            <v>KDX8</v>
          </cell>
          <cell r="C254" t="str">
            <v>Nguyeãn Ñình Höôùng</v>
          </cell>
          <cell r="D254" t="str">
            <v>Laùi xe</v>
          </cell>
          <cell r="E254" t="str">
            <v>VT</v>
          </cell>
          <cell r="F254">
            <v>0</v>
          </cell>
          <cell r="G254" t="str">
            <v>VT</v>
          </cell>
          <cell r="H254" t="str">
            <v>VT</v>
          </cell>
          <cell r="I254" t="str">
            <v>VT</v>
          </cell>
          <cell r="J254" t="str">
            <v>VT</v>
          </cell>
          <cell r="K254" t="str">
            <v>VT</v>
          </cell>
          <cell r="L254" t="str">
            <v>VT</v>
          </cell>
          <cell r="M254">
            <v>0</v>
          </cell>
          <cell r="N254" t="str">
            <v>VT</v>
          </cell>
          <cell r="O254" t="str">
            <v>VT</v>
          </cell>
          <cell r="P254" t="str">
            <v>VT</v>
          </cell>
          <cell r="Q254" t="str">
            <v>VT</v>
          </cell>
          <cell r="R254" t="str">
            <v>VT</v>
          </cell>
          <cell r="S254" t="str">
            <v>VT</v>
          </cell>
          <cell r="T254">
            <v>0</v>
          </cell>
          <cell r="U254" t="str">
            <v>VT</v>
          </cell>
          <cell r="V254" t="str">
            <v>VT</v>
          </cell>
          <cell r="W254" t="str">
            <v>VT</v>
          </cell>
          <cell r="X254" t="str">
            <v>VT</v>
          </cell>
          <cell r="Y254" t="str">
            <v>VT</v>
          </cell>
          <cell r="Z254" t="str">
            <v>VT</v>
          </cell>
          <cell r="AA254">
            <v>0</v>
          </cell>
          <cell r="AB254" t="str">
            <v>VT</v>
          </cell>
          <cell r="AC254" t="str">
            <v>VT</v>
          </cell>
          <cell r="AD254" t="str">
            <v>VT</v>
          </cell>
          <cell r="AE254" t="str">
            <v>VT</v>
          </cell>
          <cell r="AF254" t="str">
            <v>VT</v>
          </cell>
          <cell r="AG254" t="str">
            <v>VT</v>
          </cell>
          <cell r="AH254" t="str">
            <v>VT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26</v>
          </cell>
          <cell r="AO254">
            <v>0</v>
          </cell>
          <cell r="AP254">
            <v>0</v>
          </cell>
        </row>
        <row r="255">
          <cell r="B255" t="str">
            <v>KDX9</v>
          </cell>
          <cell r="C255" t="str">
            <v>Chaâu Kim Löôïng</v>
          </cell>
          <cell r="D255" t="str">
            <v>Laùi xe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 t="str">
            <v>LA</v>
          </cell>
          <cell r="L255">
            <v>0</v>
          </cell>
          <cell r="M255">
            <v>0</v>
          </cell>
          <cell r="N255">
            <v>0</v>
          </cell>
          <cell r="O255" t="str">
            <v>BD</v>
          </cell>
          <cell r="P255">
            <v>0</v>
          </cell>
          <cell r="Q255" t="str">
            <v>BH</v>
          </cell>
          <cell r="R255">
            <v>0</v>
          </cell>
          <cell r="S255">
            <v>0</v>
          </cell>
          <cell r="T255" t="str">
            <v>BH</v>
          </cell>
          <cell r="U255">
            <v>0</v>
          </cell>
          <cell r="V255" t="str">
            <v>BH</v>
          </cell>
          <cell r="W255" t="str">
            <v>BD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6</v>
          </cell>
          <cell r="AO255">
            <v>0</v>
          </cell>
          <cell r="AP255">
            <v>0</v>
          </cell>
        </row>
        <row r="256">
          <cell r="B256" t="str">
            <v>KDX10</v>
          </cell>
          <cell r="C256" t="str">
            <v>Huyønh Troïng Nghóa</v>
          </cell>
          <cell r="D256" t="str">
            <v>Laùi xe</v>
          </cell>
          <cell r="E256" t="str">
            <v>TG</v>
          </cell>
          <cell r="F256">
            <v>0</v>
          </cell>
          <cell r="G256" t="str">
            <v>TG</v>
          </cell>
          <cell r="H256" t="str">
            <v>TG</v>
          </cell>
          <cell r="I256" t="str">
            <v>TG</v>
          </cell>
          <cell r="J256" t="str">
            <v>TG</v>
          </cell>
          <cell r="K256" t="str">
            <v>TG</v>
          </cell>
          <cell r="L256" t="str">
            <v>TG</v>
          </cell>
          <cell r="M256">
            <v>0</v>
          </cell>
          <cell r="N256" t="str">
            <v>BH</v>
          </cell>
          <cell r="O256" t="str">
            <v>BD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BD</v>
          </cell>
          <cell r="W256">
            <v>0</v>
          </cell>
          <cell r="X256" t="str">
            <v>BD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BH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5</v>
          </cell>
          <cell r="AO256">
            <v>0</v>
          </cell>
          <cell r="AP256">
            <v>0</v>
          </cell>
        </row>
        <row r="257">
          <cell r="B257" t="str">
            <v>KDX11</v>
          </cell>
          <cell r="C257" t="str">
            <v>Thaïch Ngoïc Kieàu</v>
          </cell>
          <cell r="D257" t="str">
            <v>Laùi xe</v>
          </cell>
          <cell r="E257" t="str">
            <v>VT</v>
          </cell>
          <cell r="F257">
            <v>0</v>
          </cell>
          <cell r="G257" t="str">
            <v>VT</v>
          </cell>
          <cell r="H257" t="str">
            <v>VT</v>
          </cell>
          <cell r="I257" t="str">
            <v>VT</v>
          </cell>
          <cell r="J257" t="str">
            <v>VT</v>
          </cell>
          <cell r="K257" t="str">
            <v>VT</v>
          </cell>
          <cell r="L257" t="str">
            <v>VT</v>
          </cell>
          <cell r="M257">
            <v>0</v>
          </cell>
          <cell r="N257" t="str">
            <v>VT</v>
          </cell>
          <cell r="O257" t="str">
            <v>VT</v>
          </cell>
          <cell r="P257" t="str">
            <v>VT</v>
          </cell>
          <cell r="Q257" t="str">
            <v>VT</v>
          </cell>
          <cell r="R257" t="str">
            <v>VT</v>
          </cell>
          <cell r="S257" t="str">
            <v>VT</v>
          </cell>
          <cell r="T257">
            <v>0</v>
          </cell>
          <cell r="U257" t="str">
            <v>VT</v>
          </cell>
          <cell r="V257" t="str">
            <v>VT</v>
          </cell>
          <cell r="W257" t="str">
            <v>VT</v>
          </cell>
          <cell r="X257" t="str">
            <v>VT</v>
          </cell>
          <cell r="Y257" t="str">
            <v>VT</v>
          </cell>
          <cell r="Z257" t="str">
            <v>VT</v>
          </cell>
          <cell r="AA257">
            <v>0</v>
          </cell>
          <cell r="AB257" t="str">
            <v>VT</v>
          </cell>
          <cell r="AC257" t="str">
            <v>VT</v>
          </cell>
          <cell r="AD257" t="str">
            <v>VT</v>
          </cell>
          <cell r="AE257" t="str">
            <v>VT</v>
          </cell>
          <cell r="AF257" t="str">
            <v>VT</v>
          </cell>
          <cell r="AG257" t="str">
            <v>VT</v>
          </cell>
          <cell r="AH257" t="str">
            <v>VT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26</v>
          </cell>
          <cell r="AO257">
            <v>0</v>
          </cell>
          <cell r="AP257">
            <v>0</v>
          </cell>
        </row>
        <row r="258">
          <cell r="B258" t="str">
            <v>KDX12</v>
          </cell>
          <cell r="C258" t="str">
            <v>Ñoã Thanh Haøo</v>
          </cell>
          <cell r="D258" t="str">
            <v>Laùi xe buøn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</row>
        <row r="259">
          <cell r="B259" t="str">
            <v>KDX13</v>
          </cell>
          <cell r="C259" t="str">
            <v>Leâ Syõ Ninh</v>
          </cell>
          <cell r="D259" t="str">
            <v>Laùi xe - phuï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</row>
        <row r="260">
          <cell r="B260" t="str">
            <v>KDS1</v>
          </cell>
          <cell r="C260" t="str">
            <v>Nguyeãn Tuaán Anh</v>
          </cell>
          <cell r="D260" t="str">
            <v>NVKD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</row>
        <row r="261">
          <cell r="B261" t="str">
            <v>KDS2</v>
          </cell>
          <cell r="C261" t="str">
            <v>Phan Thanh Tuøng</v>
          </cell>
          <cell r="D261" t="str">
            <v>NVKD</v>
          </cell>
          <cell r="E261">
            <v>0</v>
          </cell>
          <cell r="F261">
            <v>0</v>
          </cell>
          <cell r="G261">
            <v>0</v>
          </cell>
          <cell r="H261" t="str">
            <v>BD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 t="str">
            <v>BD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 t="str">
            <v>BD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 t="str">
            <v>BD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4</v>
          </cell>
          <cell r="AO261">
            <v>0</v>
          </cell>
          <cell r="AP261">
            <v>0</v>
          </cell>
        </row>
        <row r="262">
          <cell r="B262" t="str">
            <v>KDS3</v>
          </cell>
          <cell r="C262" t="str">
            <v>Phaïm Thò Nhaãn</v>
          </cell>
          <cell r="D262" t="str">
            <v>NVKD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</row>
        <row r="263">
          <cell r="B263" t="str">
            <v>KDS4</v>
          </cell>
          <cell r="C263" t="str">
            <v>Trịnh Minh Hảo (Trưởng BP sale)</v>
          </cell>
          <cell r="D263" t="str">
            <v>NVKD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</row>
        <row r="264">
          <cell r="B264" t="str">
            <v>KDS5</v>
          </cell>
          <cell r="C264" t="str">
            <v>Nguyeãn Thò Myõ Haïnh</v>
          </cell>
          <cell r="D264" t="str">
            <v>NVKD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</row>
        <row r="265">
          <cell r="B265" t="str">
            <v>KDS6</v>
          </cell>
          <cell r="C265" t="str">
            <v>Leâ Nho Khaùnh</v>
          </cell>
          <cell r="D265" t="str">
            <v>NVKD tænh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</row>
        <row r="266">
          <cell r="B266" t="str">
            <v>KDS7</v>
          </cell>
          <cell r="C266" t="str">
            <v>Ngoâ Quoác Taøi</v>
          </cell>
          <cell r="D266" t="str">
            <v>NVKD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</row>
        <row r="267">
          <cell r="B267" t="str">
            <v>KDS8</v>
          </cell>
          <cell r="C267" t="str">
            <v>Nguyeãn Ñöùc Trung</v>
          </cell>
          <cell r="D267" t="str">
            <v>NVKD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 t="str">
            <v>ÑN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 t="str">
            <v>ÑN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ÑN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 t="str">
            <v>ÑN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</v>
          </cell>
          <cell r="AO267">
            <v>0</v>
          </cell>
          <cell r="AP267">
            <v>0</v>
          </cell>
        </row>
        <row r="268">
          <cell r="B268" t="str">
            <v>KDS9</v>
          </cell>
          <cell r="C268" t="str">
            <v>Nguyeãn Minh Ñaïi</v>
          </cell>
          <cell r="D268" t="str">
            <v>NVKD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</row>
        <row r="269">
          <cell r="B269" t="str">
            <v>KDS10</v>
          </cell>
          <cell r="C269" t="str">
            <v>Traàn Ngoïc Thaïch</v>
          </cell>
          <cell r="D269" t="str">
            <v>NVKD tænh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</row>
        <row r="270">
          <cell r="B270" t="str">
            <v>KDG1</v>
          </cell>
          <cell r="C270" t="str">
            <v>Nguyeãn Hoàng Haûi (trưởng bộ phận)</v>
          </cell>
          <cell r="D270" t="str">
            <v>G.haøng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</row>
        <row r="271">
          <cell r="B271" t="str">
            <v>KDG2</v>
          </cell>
          <cell r="C271" t="str">
            <v>Nguyeãn Thaønh Ngoan</v>
          </cell>
          <cell r="D271" t="str">
            <v>G.haøng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 t="str">
            <v>ÑN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 t="str">
            <v>CC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</v>
          </cell>
          <cell r="AO271">
            <v>0</v>
          </cell>
          <cell r="AP271">
            <v>0</v>
          </cell>
        </row>
        <row r="272">
          <cell r="B272" t="str">
            <v>KDG3</v>
          </cell>
          <cell r="C272" t="str">
            <v>Nguyeãn Thanh Cöôøng</v>
          </cell>
          <cell r="D272" t="str">
            <v>G.haøng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 t="str">
            <v>BH</v>
          </cell>
          <cell r="J272">
            <v>0</v>
          </cell>
          <cell r="K272">
            <v>0</v>
          </cell>
          <cell r="L272" t="str">
            <v>BH</v>
          </cell>
          <cell r="M272">
            <v>0</v>
          </cell>
          <cell r="N272" t="str">
            <v>BD</v>
          </cell>
          <cell r="O272">
            <v>0</v>
          </cell>
          <cell r="P272" t="str">
            <v>BH</v>
          </cell>
          <cell r="Q272" t="str">
            <v>BH</v>
          </cell>
          <cell r="R272">
            <v>0</v>
          </cell>
          <cell r="S272" t="str">
            <v>PT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 t="str">
            <v>BH</v>
          </cell>
          <cell r="Y272">
            <v>0</v>
          </cell>
          <cell r="Z272" t="str">
            <v>BH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 t="str">
            <v>BH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8</v>
          </cell>
          <cell r="AO272">
            <v>1</v>
          </cell>
          <cell r="AP272">
            <v>0</v>
          </cell>
        </row>
        <row r="273">
          <cell r="B273" t="str">
            <v>KDG4</v>
          </cell>
          <cell r="C273" t="str">
            <v>Nguyeãn Ngoïc Hieáu</v>
          </cell>
          <cell r="D273" t="str">
            <v>G.haøng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 t="str">
            <v>BH</v>
          </cell>
          <cell r="L273" t="str">
            <v>ÑN</v>
          </cell>
          <cell r="M273">
            <v>0</v>
          </cell>
          <cell r="N273" t="str">
            <v>BD</v>
          </cell>
          <cell r="O273">
            <v>0</v>
          </cell>
          <cell r="P273">
            <v>0</v>
          </cell>
          <cell r="Q273" t="str">
            <v>BH</v>
          </cell>
          <cell r="R273" t="str">
            <v>PT</v>
          </cell>
          <cell r="S273">
            <v>0</v>
          </cell>
          <cell r="T273">
            <v>0</v>
          </cell>
          <cell r="U273">
            <v>0</v>
          </cell>
          <cell r="V273" t="str">
            <v>BD</v>
          </cell>
          <cell r="W273" t="str">
            <v>BD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 t="str">
            <v>BH</v>
          </cell>
          <cell r="AE273" t="str">
            <v>PT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7</v>
          </cell>
          <cell r="AO273">
            <v>2</v>
          </cell>
          <cell r="AP273">
            <v>0</v>
          </cell>
        </row>
        <row r="274">
          <cell r="B274" t="str">
            <v>KDG5</v>
          </cell>
          <cell r="C274" t="str">
            <v>Khaâu Phöôùc Taøi</v>
          </cell>
          <cell r="D274" t="str">
            <v>G.haøng</v>
          </cell>
          <cell r="E274" t="str">
            <v>BH</v>
          </cell>
          <cell r="F274">
            <v>0</v>
          </cell>
          <cell r="G274">
            <v>0</v>
          </cell>
          <cell r="H274" t="str">
            <v>BD</v>
          </cell>
          <cell r="I274" t="str">
            <v>BH</v>
          </cell>
          <cell r="J274">
            <v>0</v>
          </cell>
          <cell r="K274">
            <v>0</v>
          </cell>
          <cell r="L274" t="str">
            <v>BD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 t="str">
            <v>BD</v>
          </cell>
          <cell r="Y274">
            <v>0</v>
          </cell>
          <cell r="Z274">
            <v>0</v>
          </cell>
          <cell r="AA274">
            <v>0</v>
          </cell>
          <cell r="AB274" t="str">
            <v>BH</v>
          </cell>
          <cell r="AC274" t="str">
            <v>BD</v>
          </cell>
          <cell r="AD274" t="str">
            <v>PT</v>
          </cell>
          <cell r="AE274">
            <v>0</v>
          </cell>
          <cell r="AF274" t="str">
            <v>BH</v>
          </cell>
          <cell r="AG274" t="str">
            <v>BH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9</v>
          </cell>
          <cell r="AO274">
            <v>1</v>
          </cell>
          <cell r="AP274">
            <v>0</v>
          </cell>
        </row>
        <row r="275">
          <cell r="B275" t="str">
            <v>KDG6</v>
          </cell>
          <cell r="C275" t="str">
            <v>Huyønh Quoác Huøng</v>
          </cell>
          <cell r="D275" t="str">
            <v>G.haøng</v>
          </cell>
          <cell r="E275">
            <v>0</v>
          </cell>
          <cell r="F275">
            <v>0</v>
          </cell>
          <cell r="G275">
            <v>0</v>
          </cell>
          <cell r="H275" t="str">
            <v>BD</v>
          </cell>
          <cell r="I275" t="str">
            <v>BH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 t="str">
            <v>BD</v>
          </cell>
          <cell r="P275">
            <v>0</v>
          </cell>
          <cell r="Q275" t="str">
            <v>PT</v>
          </cell>
          <cell r="R275" t="str">
            <v>CC</v>
          </cell>
          <cell r="S275">
            <v>0</v>
          </cell>
          <cell r="T275" t="str">
            <v>BH</v>
          </cell>
          <cell r="U275">
            <v>0</v>
          </cell>
          <cell r="V275" t="str">
            <v>LA</v>
          </cell>
          <cell r="W275" t="str">
            <v>BD</v>
          </cell>
          <cell r="X275">
            <v>0</v>
          </cell>
          <cell r="Y275">
            <v>0</v>
          </cell>
          <cell r="Z275" t="str">
            <v>PT</v>
          </cell>
          <cell r="AA275">
            <v>0</v>
          </cell>
          <cell r="AB275">
            <v>0</v>
          </cell>
          <cell r="AC275">
            <v>0</v>
          </cell>
          <cell r="AD275" t="str">
            <v>CC</v>
          </cell>
          <cell r="AE275" t="str">
            <v>BH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9</v>
          </cell>
          <cell r="AO275">
            <v>2</v>
          </cell>
          <cell r="AP275">
            <v>0</v>
          </cell>
        </row>
        <row r="276">
          <cell r="B276" t="str">
            <v>KDG7</v>
          </cell>
          <cell r="C276" t="str">
            <v>Ngoâ Quoác Huy</v>
          </cell>
          <cell r="D276" t="str">
            <v>G.haøng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LA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</v>
          </cell>
          <cell r="AO276">
            <v>0</v>
          </cell>
          <cell r="AP276">
            <v>0</v>
          </cell>
        </row>
        <row r="277">
          <cell r="B277" t="str">
            <v>KDG8</v>
          </cell>
          <cell r="C277" t="str">
            <v>Traàn Thanh Long</v>
          </cell>
          <cell r="D277" t="str">
            <v>G.haøng</v>
          </cell>
          <cell r="E277">
            <v>0</v>
          </cell>
          <cell r="F277">
            <v>0</v>
          </cell>
          <cell r="G277">
            <v>0</v>
          </cell>
          <cell r="H277" t="str">
            <v>CC</v>
          </cell>
          <cell r="I277" t="str">
            <v>BD</v>
          </cell>
          <cell r="J277">
            <v>0</v>
          </cell>
          <cell r="K277" t="str">
            <v>LA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 t="str">
            <v>BD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 t="str">
            <v>BD</v>
          </cell>
          <cell r="W277" t="str">
            <v>BD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 t="str">
            <v>BH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7</v>
          </cell>
          <cell r="AO277">
            <v>0</v>
          </cell>
          <cell r="AP277">
            <v>0</v>
          </cell>
        </row>
        <row r="278">
          <cell r="B278" t="str">
            <v>KDG9</v>
          </cell>
          <cell r="C278" t="str">
            <v>Huyønh Minh Hoaøng</v>
          </cell>
          <cell r="D278" t="str">
            <v>G.haøng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 t="str">
            <v>BH</v>
          </cell>
          <cell r="O278" t="str">
            <v>BD</v>
          </cell>
          <cell r="P278">
            <v>0</v>
          </cell>
          <cell r="Q278" t="str">
            <v>BH</v>
          </cell>
          <cell r="R278" t="str">
            <v>BD</v>
          </cell>
          <cell r="S278">
            <v>0</v>
          </cell>
          <cell r="T278" t="str">
            <v>BH</v>
          </cell>
          <cell r="U278">
            <v>0</v>
          </cell>
          <cell r="V278" t="str">
            <v>BH</v>
          </cell>
          <cell r="W278" t="str">
            <v>BD</v>
          </cell>
          <cell r="X278" t="str">
            <v>BH</v>
          </cell>
          <cell r="Y278" t="str">
            <v>BD</v>
          </cell>
          <cell r="Z278">
            <v>0</v>
          </cell>
          <cell r="AA278">
            <v>0</v>
          </cell>
          <cell r="AB278" t="str">
            <v>BH</v>
          </cell>
          <cell r="AC278">
            <v>0</v>
          </cell>
          <cell r="AD278">
            <v>0</v>
          </cell>
          <cell r="AE278" t="str">
            <v>BH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11</v>
          </cell>
          <cell r="AO278">
            <v>0</v>
          </cell>
          <cell r="AP278">
            <v>0</v>
          </cell>
        </row>
        <row r="279">
          <cell r="B279" t="str">
            <v>KDG10</v>
          </cell>
          <cell r="C279" t="str">
            <v>Haø Thaønh Ñaït</v>
          </cell>
          <cell r="D279" t="str">
            <v>G.haøng</v>
          </cell>
          <cell r="E279">
            <v>0</v>
          </cell>
          <cell r="F279">
            <v>0</v>
          </cell>
          <cell r="G279">
            <v>0</v>
          </cell>
          <cell r="H279" t="str">
            <v>CC</v>
          </cell>
          <cell r="I279" t="str">
            <v>BD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 t="str">
            <v>BH</v>
          </cell>
          <cell r="O279" t="str">
            <v>BD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 t="str">
            <v>BH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 t="str">
            <v>BH</v>
          </cell>
          <cell r="AC279">
            <v>0</v>
          </cell>
          <cell r="AD279">
            <v>0</v>
          </cell>
          <cell r="AE279" t="str">
            <v>BH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7</v>
          </cell>
          <cell r="AO279">
            <v>0</v>
          </cell>
          <cell r="AP279">
            <v>0</v>
          </cell>
        </row>
        <row r="280">
          <cell r="B280" t="str">
            <v>KDG11</v>
          </cell>
          <cell r="C280" t="str">
            <v>Döông Nguyeãn Vuõ Baûo</v>
          </cell>
          <cell r="D280" t="str">
            <v>G.haøng</v>
          </cell>
          <cell r="E280">
            <v>0</v>
          </cell>
          <cell r="F280">
            <v>0</v>
          </cell>
          <cell r="G280">
            <v>0</v>
          </cell>
          <cell r="H280" t="str">
            <v>CC</v>
          </cell>
          <cell r="I280">
            <v>0</v>
          </cell>
          <cell r="J280">
            <v>0</v>
          </cell>
          <cell r="K280" t="str">
            <v>BH</v>
          </cell>
          <cell r="L280" t="str">
            <v>BH</v>
          </cell>
          <cell r="M280">
            <v>0</v>
          </cell>
          <cell r="N280" t="str">
            <v>BD</v>
          </cell>
          <cell r="O280">
            <v>0</v>
          </cell>
          <cell r="P280">
            <v>0</v>
          </cell>
          <cell r="Q280">
            <v>0</v>
          </cell>
          <cell r="R280" t="str">
            <v>CC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5</v>
          </cell>
          <cell r="AO280">
            <v>0</v>
          </cell>
          <cell r="AP280">
            <v>0</v>
          </cell>
        </row>
        <row r="281">
          <cell r="B281" t="str">
            <v>KDPX2</v>
          </cell>
          <cell r="C281" t="str">
            <v>Leâ Hoaøng Phuùc</v>
          </cell>
          <cell r="D281" t="str">
            <v>Phuï xe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 t="str">
            <v>BH</v>
          </cell>
          <cell r="O281" t="str">
            <v>BD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 t="str">
            <v>BD</v>
          </cell>
          <cell r="W281">
            <v>0</v>
          </cell>
          <cell r="X281" t="str">
            <v>BD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 t="str">
            <v>BH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5</v>
          </cell>
          <cell r="AO281">
            <v>0</v>
          </cell>
          <cell r="AP281">
            <v>0</v>
          </cell>
        </row>
        <row r="282">
          <cell r="B282" t="str">
            <v>KDPX3</v>
          </cell>
          <cell r="C282" t="str">
            <v>Traàn Minh Long</v>
          </cell>
          <cell r="D282" t="str">
            <v>Phuï xe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</row>
        <row r="283">
          <cell r="B283" t="str">
            <v>KDPX4</v>
          </cell>
          <cell r="C283" t="str">
            <v>Döông Tấn Ñaït</v>
          </cell>
          <cell r="D283" t="str">
            <v>Phuï xe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</row>
        <row r="284">
          <cell r="B284" t="str">
            <v>KDPX5</v>
          </cell>
          <cell r="C284" t="str">
            <v>Leâ Taán Duõng</v>
          </cell>
          <cell r="D284" t="str">
            <v>Phuï xe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 t="str">
            <v>BD</v>
          </cell>
          <cell r="M284">
            <v>0</v>
          </cell>
          <cell r="N284" t="str">
            <v>BD</v>
          </cell>
          <cell r="O284" t="str">
            <v>BD</v>
          </cell>
          <cell r="P284">
            <v>0</v>
          </cell>
          <cell r="Q284" t="str">
            <v>BD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 t="str">
            <v>BD</v>
          </cell>
          <cell r="W284" t="str">
            <v>BH</v>
          </cell>
          <cell r="X284" t="str">
            <v>BH</v>
          </cell>
          <cell r="Y284">
            <v>0</v>
          </cell>
          <cell r="Z284">
            <v>0</v>
          </cell>
          <cell r="AA284">
            <v>0</v>
          </cell>
          <cell r="AB284" t="str">
            <v>BH</v>
          </cell>
          <cell r="AC284">
            <v>0</v>
          </cell>
          <cell r="AD284">
            <v>0</v>
          </cell>
          <cell r="AE284">
            <v>0</v>
          </cell>
          <cell r="AF284" t="str">
            <v>BH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9</v>
          </cell>
          <cell r="AO284">
            <v>0</v>
          </cell>
          <cell r="AP284">
            <v>0</v>
          </cell>
        </row>
        <row r="285">
          <cell r="B285" t="str">
            <v>KDPX6</v>
          </cell>
          <cell r="C285" t="str">
            <v>Ñaëng Quoác Coïp</v>
          </cell>
          <cell r="D285" t="str">
            <v>Phuï xe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 t="str">
            <v>LA</v>
          </cell>
          <cell r="L285">
            <v>0</v>
          </cell>
          <cell r="M285">
            <v>0</v>
          </cell>
          <cell r="N285">
            <v>0</v>
          </cell>
          <cell r="O285" t="str">
            <v>BD</v>
          </cell>
          <cell r="P285">
            <v>0</v>
          </cell>
          <cell r="Q285" t="str">
            <v>BH</v>
          </cell>
          <cell r="R285">
            <v>0</v>
          </cell>
          <cell r="S285">
            <v>0</v>
          </cell>
          <cell r="T285" t="str">
            <v>BH</v>
          </cell>
          <cell r="U285">
            <v>0</v>
          </cell>
          <cell r="V285" t="str">
            <v>BH</v>
          </cell>
          <cell r="W285" t="str">
            <v>BD</v>
          </cell>
          <cell r="X285" t="str">
            <v>BH</v>
          </cell>
          <cell r="Y285" t="str">
            <v>BH</v>
          </cell>
          <cell r="Z285">
            <v>0</v>
          </cell>
          <cell r="AA285">
            <v>0</v>
          </cell>
          <cell r="AB285" t="str">
            <v>BH</v>
          </cell>
          <cell r="AC285">
            <v>0</v>
          </cell>
          <cell r="AD285">
            <v>0</v>
          </cell>
          <cell r="AE285" t="str">
            <v>PT</v>
          </cell>
          <cell r="AF285">
            <v>0</v>
          </cell>
          <cell r="AG285" t="str">
            <v>BH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</v>
          </cell>
          <cell r="AO285">
            <v>1</v>
          </cell>
          <cell r="AP285">
            <v>0</v>
          </cell>
        </row>
        <row r="286">
          <cell r="B286" t="str">
            <v>KDPX7</v>
          </cell>
          <cell r="C286" t="str">
            <v>Leâ Ñaéc Cöôøng</v>
          </cell>
          <cell r="D286" t="str">
            <v>Phuï xe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</row>
        <row r="287">
          <cell r="B287" t="str">
            <v>KDPX8</v>
          </cell>
          <cell r="C287" t="str">
            <v>Nguyeãn Vaên Meøo</v>
          </cell>
          <cell r="D287" t="str">
            <v>Phuï xe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BD</v>
          </cell>
          <cell r="X287" t="str">
            <v>BH</v>
          </cell>
          <cell r="Y287" t="str">
            <v>BH</v>
          </cell>
          <cell r="Z287">
            <v>0</v>
          </cell>
          <cell r="AA287">
            <v>0</v>
          </cell>
          <cell r="AB287" t="str">
            <v>BH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 t="str">
            <v>BH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</v>
          </cell>
          <cell r="AO287">
            <v>0</v>
          </cell>
          <cell r="AP287">
            <v>0</v>
          </cell>
        </row>
        <row r="288">
          <cell r="B288" t="str">
            <v>KDPX9</v>
          </cell>
          <cell r="C288" t="str">
            <v>Danh Thöøa</v>
          </cell>
          <cell r="D288" t="str">
            <v>Phuï xe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 t="str">
            <v>BH</v>
          </cell>
          <cell r="J288">
            <v>0</v>
          </cell>
          <cell r="K288">
            <v>0</v>
          </cell>
          <cell r="L288" t="str">
            <v>BD</v>
          </cell>
          <cell r="M288">
            <v>0</v>
          </cell>
          <cell r="N288" t="str">
            <v>BD</v>
          </cell>
          <cell r="O288" t="str">
            <v>BD</v>
          </cell>
          <cell r="P288">
            <v>0</v>
          </cell>
          <cell r="Q288" t="str">
            <v>BD</v>
          </cell>
          <cell r="R288">
            <v>0</v>
          </cell>
          <cell r="S288">
            <v>0</v>
          </cell>
          <cell r="T288" t="str">
            <v>BH</v>
          </cell>
          <cell r="U288">
            <v>0</v>
          </cell>
          <cell r="V288" t="str">
            <v>BD</v>
          </cell>
          <cell r="W288">
            <v>0</v>
          </cell>
          <cell r="X288" t="str">
            <v>BH</v>
          </cell>
          <cell r="Y288">
            <v>0</v>
          </cell>
          <cell r="Z288">
            <v>0</v>
          </cell>
          <cell r="AA288">
            <v>0</v>
          </cell>
          <cell r="AB288" t="str">
            <v>BH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9</v>
          </cell>
          <cell r="AO288">
            <v>0</v>
          </cell>
          <cell r="AP288">
            <v>0</v>
          </cell>
        </row>
        <row r="289">
          <cell r="B289" t="str">
            <v>KDPX10</v>
          </cell>
          <cell r="C289" t="str">
            <v>Danh Xaø Quaùch</v>
          </cell>
          <cell r="D289" t="str">
            <v>Phuï xe</v>
          </cell>
          <cell r="E289" t="str">
            <v>VT</v>
          </cell>
          <cell r="F289">
            <v>0</v>
          </cell>
          <cell r="G289" t="str">
            <v>VT</v>
          </cell>
          <cell r="H289" t="str">
            <v>VT</v>
          </cell>
          <cell r="I289" t="str">
            <v>VT</v>
          </cell>
          <cell r="J289" t="str">
            <v>VT</v>
          </cell>
          <cell r="K289" t="str">
            <v>VT</v>
          </cell>
          <cell r="L289" t="str">
            <v>VT</v>
          </cell>
          <cell r="M289">
            <v>0</v>
          </cell>
          <cell r="N289" t="str">
            <v>VT</v>
          </cell>
          <cell r="O289" t="str">
            <v>VT</v>
          </cell>
          <cell r="P289" t="str">
            <v>VT</v>
          </cell>
          <cell r="Q289" t="str">
            <v>VT</v>
          </cell>
          <cell r="R289" t="str">
            <v>VT</v>
          </cell>
          <cell r="S289" t="str">
            <v>VT</v>
          </cell>
          <cell r="T289">
            <v>0</v>
          </cell>
          <cell r="U289" t="str">
            <v>VT</v>
          </cell>
          <cell r="V289" t="str">
            <v>VT</v>
          </cell>
          <cell r="W289" t="str">
            <v>VT</v>
          </cell>
          <cell r="X289" t="str">
            <v>VT</v>
          </cell>
          <cell r="Y289" t="str">
            <v>VT</v>
          </cell>
          <cell r="Z289" t="str">
            <v>VT</v>
          </cell>
          <cell r="AA289">
            <v>0</v>
          </cell>
          <cell r="AB289" t="str">
            <v>VT</v>
          </cell>
          <cell r="AC289" t="str">
            <v>VT</v>
          </cell>
          <cell r="AD289" t="str">
            <v>VT</v>
          </cell>
          <cell r="AE289" t="str">
            <v>VT</v>
          </cell>
          <cell r="AF289" t="str">
            <v>VT</v>
          </cell>
          <cell r="AG289" t="str">
            <v>VT</v>
          </cell>
          <cell r="AH289" t="str">
            <v>VT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26</v>
          </cell>
          <cell r="AO289">
            <v>0</v>
          </cell>
          <cell r="AP289">
            <v>0</v>
          </cell>
        </row>
        <row r="290">
          <cell r="B290" t="str">
            <v>KDPX11</v>
          </cell>
          <cell r="C290" t="str">
            <v>Döông Thaønh Taøi</v>
          </cell>
          <cell r="D290" t="str">
            <v>Phuï xe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</row>
        <row r="291">
          <cell r="B291" t="str">
            <v>KDPX12</v>
          </cell>
          <cell r="C291" t="str">
            <v>Traàn Vaên Huy</v>
          </cell>
          <cell r="D291" t="str">
            <v>Phuï xe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</row>
        <row r="292">
          <cell r="B292">
            <v>0</v>
          </cell>
          <cell r="C292" t="str">
            <v>Toång coäng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workbookViewId="0">
      <selection activeCell="P6" sqref="P6"/>
    </sheetView>
  </sheetViews>
  <sheetFormatPr defaultRowHeight="15" x14ac:dyDescent="0.25"/>
  <cols>
    <col min="1" max="1" width="4.5703125" customWidth="1"/>
    <col min="14" max="14" width="9.7109375" customWidth="1"/>
    <col min="15" max="15" width="13.5703125" customWidth="1"/>
    <col min="16" max="16" width="12.140625" bestFit="1" customWidth="1"/>
  </cols>
  <sheetData>
    <row r="2" spans="1:16" ht="41.25" customHeight="1" x14ac:dyDescent="0.25">
      <c r="A2" s="3" t="s">
        <v>44</v>
      </c>
      <c r="B2" s="3" t="s">
        <v>45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46</v>
      </c>
      <c r="O2" s="7" t="s">
        <v>47</v>
      </c>
    </row>
    <row r="3" spans="1:16" s="11" customFormat="1" x14ac:dyDescent="0.25">
      <c r="A3" s="8"/>
      <c r="B3" s="9" t="s">
        <v>48</v>
      </c>
      <c r="C3" s="10">
        <v>4638340</v>
      </c>
      <c r="D3" s="10">
        <v>8819260</v>
      </c>
      <c r="E3" s="10">
        <v>3268770</v>
      </c>
      <c r="F3" s="10">
        <v>5372660</v>
      </c>
      <c r="G3" s="10">
        <v>3834180</v>
      </c>
      <c r="H3" s="10">
        <v>3242890</v>
      </c>
      <c r="I3" s="10">
        <v>2439880</v>
      </c>
      <c r="J3" s="10">
        <v>2444090</v>
      </c>
      <c r="K3" s="10">
        <v>2487280</v>
      </c>
      <c r="L3" s="10">
        <v>2878160</v>
      </c>
      <c r="M3" s="10">
        <v>2703070</v>
      </c>
      <c r="N3" s="10">
        <v>2481090</v>
      </c>
      <c r="O3" s="10">
        <f>SUM(C3:N3)</f>
        <v>44609670</v>
      </c>
      <c r="P3" s="4">
        <v>44620000</v>
      </c>
    </row>
    <row r="4" spans="1:16" s="11" customFormat="1" x14ac:dyDescent="0.25">
      <c r="A4" s="5"/>
      <c r="B4" s="12" t="s">
        <v>50</v>
      </c>
      <c r="C4" s="10">
        <v>6474380</v>
      </c>
      <c r="D4" s="10">
        <v>6744500</v>
      </c>
      <c r="E4" s="10">
        <v>4158790</v>
      </c>
      <c r="F4" s="10">
        <v>5662050</v>
      </c>
      <c r="G4" s="10">
        <v>5282720</v>
      </c>
      <c r="H4" s="10">
        <v>4269640</v>
      </c>
      <c r="I4" s="10">
        <v>3662790</v>
      </c>
      <c r="J4" s="10">
        <v>3272380</v>
      </c>
      <c r="K4" s="10">
        <v>2846680</v>
      </c>
      <c r="L4" s="10">
        <v>3397670</v>
      </c>
      <c r="M4" s="10">
        <v>3785500</v>
      </c>
      <c r="N4" s="10">
        <v>4379300</v>
      </c>
      <c r="O4" s="10">
        <f t="shared" ref="O4:O5" si="0">SUM(C4:N4)</f>
        <v>53936400</v>
      </c>
      <c r="P4" s="4">
        <v>53950000</v>
      </c>
    </row>
    <row r="5" spans="1:16" s="11" customFormat="1" x14ac:dyDescent="0.25">
      <c r="A5" s="5"/>
      <c r="B5" s="12" t="s">
        <v>49</v>
      </c>
      <c r="C5" s="10">
        <v>3571720</v>
      </c>
      <c r="D5" s="10">
        <v>4520000</v>
      </c>
      <c r="E5" s="10">
        <v>3136160</v>
      </c>
      <c r="F5" s="10">
        <v>3811920</v>
      </c>
      <c r="G5" s="10">
        <v>2932890</v>
      </c>
      <c r="H5" s="10">
        <v>2874800</v>
      </c>
      <c r="I5" s="10">
        <v>2872220</v>
      </c>
      <c r="J5" s="10">
        <v>2901260</v>
      </c>
      <c r="K5" s="10">
        <v>2914720</v>
      </c>
      <c r="L5" s="10">
        <v>2930300</v>
      </c>
      <c r="M5" s="10">
        <v>2930300</v>
      </c>
      <c r="N5" s="10">
        <v>3357230</v>
      </c>
      <c r="O5" s="10">
        <f t="shared" si="0"/>
        <v>38753520</v>
      </c>
      <c r="P5" s="4">
        <v>38760000</v>
      </c>
    </row>
    <row r="6" spans="1:16" s="11" customFormat="1" x14ac:dyDescent="0.25">
      <c r="A6" s="15" t="s">
        <v>51</v>
      </c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>
        <f>SUM(O3:O5)</f>
        <v>137299590</v>
      </c>
      <c r="P6" s="16">
        <f>SUM(P3:P5)</f>
        <v>137330000</v>
      </c>
    </row>
    <row r="8" spans="1:16" x14ac:dyDescent="0.25">
      <c r="L8" s="2" t="s">
        <v>39</v>
      </c>
      <c r="M8" s="1"/>
      <c r="O8" s="17">
        <f>P6</f>
        <v>137330000</v>
      </c>
    </row>
    <row r="9" spans="1:16" x14ac:dyDescent="0.25">
      <c r="L9" s="2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Normal="100" workbookViewId="0">
      <pane xSplit="4" ySplit="4" topLeftCell="K14" activePane="bottomRight" state="frozen"/>
      <selection pane="topRight" activeCell="E1" sqref="E1"/>
      <selection pane="bottomLeft" activeCell="A5" sqref="A5"/>
      <selection pane="bottomRight" sqref="A1:XFD1048576"/>
    </sheetView>
  </sheetViews>
  <sheetFormatPr defaultColWidth="36.42578125" defaultRowHeight="12.75" x14ac:dyDescent="0.2"/>
  <cols>
    <col min="1" max="1" width="5.7109375" style="24" customWidth="1"/>
    <col min="2" max="2" width="33.5703125" style="24" customWidth="1"/>
    <col min="3" max="3" width="14.28515625" style="100" customWidth="1"/>
    <col min="4" max="4" width="14.85546875" style="24" customWidth="1"/>
    <col min="5" max="8" width="12" style="24" customWidth="1"/>
    <col min="9" max="9" width="13.42578125" style="24" customWidth="1"/>
    <col min="10" max="10" width="11.42578125" style="24" customWidth="1"/>
    <col min="11" max="11" width="13" style="24" customWidth="1"/>
    <col min="12" max="12" width="10.7109375" style="24" customWidth="1"/>
    <col min="13" max="13" width="12.28515625" style="24" customWidth="1"/>
    <col min="14" max="14" width="12.7109375" style="24" customWidth="1"/>
    <col min="15" max="15" width="12.42578125" style="24" customWidth="1"/>
    <col min="16" max="16" width="16.28515625" style="24" customWidth="1"/>
    <col min="17" max="17" width="11.7109375" style="24" customWidth="1"/>
    <col min="18" max="18" width="12.140625" style="24" customWidth="1"/>
    <col min="19" max="16384" width="36.42578125" style="24"/>
  </cols>
  <sheetData>
    <row r="1" spans="1:18" x14ac:dyDescent="0.2">
      <c r="B1" s="20"/>
      <c r="C1" s="21"/>
      <c r="D1" s="20"/>
      <c r="E1" s="20"/>
      <c r="F1" s="20"/>
      <c r="G1" s="20"/>
      <c r="H1" s="22">
        <f>SUM(E2:G2)</f>
        <v>0.105</v>
      </c>
      <c r="I1" s="23"/>
      <c r="J1" s="23"/>
      <c r="K1" s="20" t="s">
        <v>21</v>
      </c>
      <c r="L1" s="22">
        <f>SUM(I2:L2)</f>
        <v>0.21500000000000002</v>
      </c>
      <c r="M1" s="20"/>
      <c r="N1" s="20"/>
      <c r="O1" s="20"/>
      <c r="P1" s="20"/>
    </row>
    <row r="2" spans="1:18" x14ac:dyDescent="0.2">
      <c r="B2" s="20"/>
      <c r="C2" s="21"/>
      <c r="D2" s="20"/>
      <c r="E2" s="47">
        <v>0.08</v>
      </c>
      <c r="F2" s="48">
        <v>1.4999999999999999E-2</v>
      </c>
      <c r="G2" s="47">
        <v>0.01</v>
      </c>
      <c r="H2" s="49"/>
      <c r="I2" s="50">
        <v>0.17</v>
      </c>
      <c r="J2" s="50">
        <v>5.0000000000000001E-3</v>
      </c>
      <c r="K2" s="51">
        <v>0.03</v>
      </c>
      <c r="L2" s="51">
        <v>0.01</v>
      </c>
      <c r="M2" s="26">
        <v>0.02</v>
      </c>
      <c r="N2" s="20">
        <f>SUM(I2:M2)</f>
        <v>0.23500000000000001</v>
      </c>
      <c r="O2" s="20"/>
      <c r="P2" s="20"/>
    </row>
    <row r="3" spans="1:18" x14ac:dyDescent="0.2">
      <c r="B3" s="27" t="s">
        <v>64</v>
      </c>
      <c r="C3" s="28" t="s">
        <v>17</v>
      </c>
      <c r="D3" s="29" t="s">
        <v>8</v>
      </c>
      <c r="E3" s="29" t="s">
        <v>9</v>
      </c>
      <c r="F3" s="29" t="s">
        <v>10</v>
      </c>
      <c r="G3" s="29" t="s">
        <v>11</v>
      </c>
      <c r="H3" s="29" t="s">
        <v>16</v>
      </c>
      <c r="I3" s="29" t="s">
        <v>12</v>
      </c>
      <c r="J3" s="29" t="s">
        <v>40</v>
      </c>
      <c r="K3" s="29" t="s">
        <v>13</v>
      </c>
      <c r="L3" s="29" t="s">
        <v>14</v>
      </c>
      <c r="M3" s="29" t="s">
        <v>15</v>
      </c>
      <c r="N3" s="29" t="s">
        <v>26</v>
      </c>
      <c r="O3" s="29" t="s">
        <v>0</v>
      </c>
      <c r="P3" s="29" t="s">
        <v>18</v>
      </c>
    </row>
    <row r="4" spans="1:18" s="32" customFormat="1" x14ac:dyDescent="0.2">
      <c r="B4" s="30" t="s">
        <v>1</v>
      </c>
      <c r="C4" s="31">
        <f>C5+C6+C11+C12+C13+C14+C15+C16+C17+C18+C19</f>
        <v>1062178413.1410257</v>
      </c>
      <c r="D4" s="31">
        <f>D5+D6+D11+D12+D13+D14+D15+D16+D17+D18+D19</f>
        <v>231931000</v>
      </c>
      <c r="E4" s="31">
        <f t="shared" ref="E4:O4" si="0">E5+E6+E11+E12+E13+E14+E15+E16+E17+E18+E19</f>
        <v>17890480</v>
      </c>
      <c r="F4" s="31">
        <f t="shared" si="0"/>
        <v>3354465</v>
      </c>
      <c r="G4" s="31">
        <f t="shared" si="0"/>
        <v>2236310</v>
      </c>
      <c r="H4" s="31">
        <f t="shared" si="0"/>
        <v>23481255</v>
      </c>
      <c r="I4" s="31">
        <f t="shared" si="0"/>
        <v>38017270</v>
      </c>
      <c r="J4" s="31">
        <f t="shared" si="0"/>
        <v>1159655</v>
      </c>
      <c r="K4" s="31">
        <f t="shared" si="0"/>
        <v>6708930</v>
      </c>
      <c r="L4" s="31">
        <f t="shared" si="0"/>
        <v>2236310</v>
      </c>
      <c r="M4" s="31">
        <f t="shared" si="0"/>
        <v>4472620</v>
      </c>
      <c r="N4" s="31">
        <f t="shared" si="0"/>
        <v>52594785</v>
      </c>
      <c r="O4" s="31">
        <f t="shared" si="0"/>
        <v>60500000</v>
      </c>
      <c r="P4" s="31">
        <f>P5+P6+P11+P12+P13+P14+P15+P16+P17+P18+P19</f>
        <v>978197158.14102566</v>
      </c>
      <c r="Q4" s="62"/>
      <c r="R4" s="62"/>
    </row>
    <row r="5" spans="1:18" ht="14.25" x14ac:dyDescent="0.2">
      <c r="A5" s="100" t="s">
        <v>118</v>
      </c>
      <c r="B5" s="33" t="s">
        <v>5</v>
      </c>
      <c r="C5" s="52">
        <v>269280000</v>
      </c>
      <c r="D5" s="34">
        <v>11900000</v>
      </c>
      <c r="E5" s="35">
        <f>D5*$E$2</f>
        <v>952000</v>
      </c>
      <c r="F5" s="35">
        <f>D5*$F$2</f>
        <v>178500</v>
      </c>
      <c r="G5" s="35">
        <f>D5*$G$2</f>
        <v>119000</v>
      </c>
      <c r="H5" s="35">
        <f>SUM(E5:G5)</f>
        <v>1249500</v>
      </c>
      <c r="I5" s="35">
        <f>D5*$I$2</f>
        <v>2023000.0000000002</v>
      </c>
      <c r="J5" s="35">
        <f>D5*$J$2</f>
        <v>59500</v>
      </c>
      <c r="K5" s="35">
        <f>D5*$K$2</f>
        <v>357000</v>
      </c>
      <c r="L5" s="35">
        <f>D5*$L$2</f>
        <v>119000</v>
      </c>
      <c r="M5" s="35">
        <f>D5*$M$2</f>
        <v>238000</v>
      </c>
      <c r="N5" s="35">
        <f>SUM(I5:M5)</f>
        <v>2796500</v>
      </c>
      <c r="O5" s="34">
        <v>0</v>
      </c>
      <c r="P5" s="36">
        <f>C5-H5-O5</f>
        <v>268030500</v>
      </c>
      <c r="Q5" s="61"/>
      <c r="R5" s="59"/>
    </row>
    <row r="6" spans="1:18" s="69" customFormat="1" ht="15.75" x14ac:dyDescent="0.2">
      <c r="A6" s="101"/>
      <c r="B6" s="33" t="s">
        <v>65</v>
      </c>
      <c r="C6" s="66">
        <f>SUM(C7:C10)</f>
        <v>159945403.84615383</v>
      </c>
      <c r="D6" s="66">
        <f>SUM(D7:D10)</f>
        <v>51677000</v>
      </c>
      <c r="E6" s="66">
        <f t="shared" ref="E6:P6" si="1">SUM(E7:E10)</f>
        <v>4134160</v>
      </c>
      <c r="F6" s="66">
        <f t="shared" si="1"/>
        <v>775155</v>
      </c>
      <c r="G6" s="66">
        <f t="shared" si="1"/>
        <v>516770</v>
      </c>
      <c r="H6" s="66">
        <f t="shared" si="1"/>
        <v>5426085</v>
      </c>
      <c r="I6" s="66">
        <f t="shared" si="1"/>
        <v>8785090.0000000019</v>
      </c>
      <c r="J6" s="66">
        <f t="shared" si="1"/>
        <v>258385</v>
      </c>
      <c r="K6" s="66">
        <f t="shared" si="1"/>
        <v>1550310</v>
      </c>
      <c r="L6" s="66">
        <f t="shared" si="1"/>
        <v>516770</v>
      </c>
      <c r="M6" s="66">
        <f t="shared" si="1"/>
        <v>1033540</v>
      </c>
      <c r="N6" s="66">
        <f t="shared" si="1"/>
        <v>12144095</v>
      </c>
      <c r="O6" s="66">
        <f t="shared" si="1"/>
        <v>11000000</v>
      </c>
      <c r="P6" s="75">
        <f t="shared" si="1"/>
        <v>143519318.84615383</v>
      </c>
      <c r="Q6" s="67"/>
      <c r="R6" s="68"/>
    </row>
    <row r="7" spans="1:18" ht="14.25" x14ac:dyDescent="0.2">
      <c r="A7" s="100" t="s">
        <v>119</v>
      </c>
      <c r="B7" s="65" t="s">
        <v>66</v>
      </c>
      <c r="C7" s="45">
        <v>58710276.92307692</v>
      </c>
      <c r="D7" s="45">
        <f>27277000-4577000</f>
        <v>22700000</v>
      </c>
      <c r="E7" s="35">
        <f t="shared" ref="E7:E10" si="2">D7*$E$2</f>
        <v>1816000</v>
      </c>
      <c r="F7" s="35">
        <f t="shared" ref="F7:F19" si="3">D7*$F$2</f>
        <v>340500</v>
      </c>
      <c r="G7" s="35">
        <f t="shared" ref="G7:G19" si="4">D7*$G$2</f>
        <v>227000</v>
      </c>
      <c r="H7" s="35">
        <f t="shared" ref="H7" si="5">SUM(E7:G7)</f>
        <v>2383500</v>
      </c>
      <c r="I7" s="35">
        <f t="shared" ref="I7:I19" si="6">D7*$I$2</f>
        <v>3859000.0000000005</v>
      </c>
      <c r="J7" s="35">
        <f t="shared" ref="J7:J36" si="7">D7*$J$2</f>
        <v>113500</v>
      </c>
      <c r="K7" s="35">
        <f t="shared" ref="K7:K36" si="8">D7*$K$2</f>
        <v>681000</v>
      </c>
      <c r="L7" s="35">
        <f t="shared" ref="L7:L19" si="9">D7*$L$2</f>
        <v>227000</v>
      </c>
      <c r="M7" s="35">
        <f t="shared" ref="M7:M36" si="10">D7*$M$2</f>
        <v>454000</v>
      </c>
      <c r="N7" s="35">
        <f t="shared" ref="N7:N10" si="11">SUM(I7:M7)</f>
        <v>5334500</v>
      </c>
      <c r="O7" s="58">
        <v>0</v>
      </c>
      <c r="P7" s="36">
        <f t="shared" ref="P7:P10" si="12">C7-H7-O7</f>
        <v>56326776.92307692</v>
      </c>
      <c r="Q7" s="61"/>
      <c r="R7" s="59"/>
    </row>
    <row r="8" spans="1:18" ht="14.25" x14ac:dyDescent="0.2">
      <c r="A8" s="100" t="s">
        <v>120</v>
      </c>
      <c r="B8" s="65" t="s">
        <v>68</v>
      </c>
      <c r="C8" s="45">
        <v>39624230.769230768</v>
      </c>
      <c r="D8" s="34">
        <v>10000000</v>
      </c>
      <c r="E8" s="35">
        <f t="shared" si="2"/>
        <v>800000</v>
      </c>
      <c r="F8" s="35">
        <f t="shared" si="3"/>
        <v>150000</v>
      </c>
      <c r="G8" s="35">
        <f t="shared" si="4"/>
        <v>100000</v>
      </c>
      <c r="H8" s="35">
        <f t="shared" ref="H8:H10" si="13">SUM(E8:G8)</f>
        <v>1050000</v>
      </c>
      <c r="I8" s="35">
        <f t="shared" si="6"/>
        <v>1700000.0000000002</v>
      </c>
      <c r="J8" s="35">
        <f t="shared" si="7"/>
        <v>50000</v>
      </c>
      <c r="K8" s="35">
        <f t="shared" si="8"/>
        <v>300000</v>
      </c>
      <c r="L8" s="35">
        <f t="shared" si="9"/>
        <v>100000</v>
      </c>
      <c r="M8" s="35">
        <f t="shared" si="10"/>
        <v>200000</v>
      </c>
      <c r="N8" s="35">
        <f t="shared" si="11"/>
        <v>2350000</v>
      </c>
      <c r="O8" s="58">
        <v>0</v>
      </c>
      <c r="P8" s="36">
        <f t="shared" si="12"/>
        <v>38574230.769230768</v>
      </c>
      <c r="Q8" s="61"/>
      <c r="R8" s="59"/>
    </row>
    <row r="9" spans="1:18" ht="14.25" x14ac:dyDescent="0.2">
      <c r="A9" s="100" t="s">
        <v>121</v>
      </c>
      <c r="B9" s="65" t="s">
        <v>104</v>
      </c>
      <c r="C9" s="45">
        <v>24347050</v>
      </c>
      <c r="D9" s="34">
        <f>4800000+4577000</f>
        <v>9377000</v>
      </c>
      <c r="E9" s="35">
        <f t="shared" si="2"/>
        <v>750160</v>
      </c>
      <c r="F9" s="35">
        <f t="shared" si="3"/>
        <v>140655</v>
      </c>
      <c r="G9" s="35">
        <f t="shared" si="4"/>
        <v>93770</v>
      </c>
      <c r="H9" s="35">
        <f t="shared" si="13"/>
        <v>984585</v>
      </c>
      <c r="I9" s="35">
        <f t="shared" si="6"/>
        <v>1594090</v>
      </c>
      <c r="J9" s="35">
        <f t="shared" si="7"/>
        <v>46885</v>
      </c>
      <c r="K9" s="35">
        <f t="shared" si="8"/>
        <v>281310</v>
      </c>
      <c r="L9" s="35">
        <f t="shared" si="9"/>
        <v>93770</v>
      </c>
      <c r="M9" s="35">
        <f t="shared" si="10"/>
        <v>187540</v>
      </c>
      <c r="N9" s="35">
        <f t="shared" si="11"/>
        <v>2203595</v>
      </c>
      <c r="O9" s="58">
        <v>7000000</v>
      </c>
      <c r="P9" s="36">
        <f t="shared" si="12"/>
        <v>16362465</v>
      </c>
      <c r="Q9" s="61"/>
      <c r="R9" s="59"/>
    </row>
    <row r="10" spans="1:18" ht="14.25" x14ac:dyDescent="0.2">
      <c r="A10" s="100" t="s">
        <v>122</v>
      </c>
      <c r="B10" s="65" t="s">
        <v>67</v>
      </c>
      <c r="C10" s="45">
        <v>37263846.153846152</v>
      </c>
      <c r="D10" s="34">
        <v>9600000</v>
      </c>
      <c r="E10" s="35">
        <f t="shared" si="2"/>
        <v>768000</v>
      </c>
      <c r="F10" s="35">
        <f t="shared" si="3"/>
        <v>144000</v>
      </c>
      <c r="G10" s="35">
        <f t="shared" si="4"/>
        <v>96000</v>
      </c>
      <c r="H10" s="35">
        <f t="shared" si="13"/>
        <v>1008000</v>
      </c>
      <c r="I10" s="35">
        <f t="shared" si="6"/>
        <v>1632000.0000000002</v>
      </c>
      <c r="J10" s="35">
        <f t="shared" si="7"/>
        <v>48000</v>
      </c>
      <c r="K10" s="35">
        <f t="shared" si="8"/>
        <v>288000</v>
      </c>
      <c r="L10" s="35">
        <f t="shared" si="9"/>
        <v>96000</v>
      </c>
      <c r="M10" s="35">
        <f t="shared" si="10"/>
        <v>192000</v>
      </c>
      <c r="N10" s="35">
        <f t="shared" si="11"/>
        <v>2256000</v>
      </c>
      <c r="O10" s="58">
        <v>4000000</v>
      </c>
      <c r="P10" s="36">
        <f t="shared" si="12"/>
        <v>32255846.153846152</v>
      </c>
      <c r="Q10" s="61"/>
      <c r="R10" s="59"/>
    </row>
    <row r="11" spans="1:18" ht="14.25" x14ac:dyDescent="0.2">
      <c r="A11" s="100" t="s">
        <v>123</v>
      </c>
      <c r="B11" s="33" t="s">
        <v>25</v>
      </c>
      <c r="C11" s="45">
        <v>158705005.76923078</v>
      </c>
      <c r="D11" s="34">
        <f>38000000-D12+5100000+4800000+4800000+5000000</f>
        <v>49400000</v>
      </c>
      <c r="E11" s="35">
        <f>D11*$E$2</f>
        <v>3952000</v>
      </c>
      <c r="F11" s="35">
        <f t="shared" si="3"/>
        <v>741000</v>
      </c>
      <c r="G11" s="35">
        <f t="shared" si="4"/>
        <v>494000</v>
      </c>
      <c r="H11" s="35">
        <f t="shared" ref="H11:H18" si="14">SUM(E11:G11)</f>
        <v>5187000</v>
      </c>
      <c r="I11" s="35">
        <f t="shared" si="6"/>
        <v>8398000</v>
      </c>
      <c r="J11" s="35">
        <f t="shared" si="7"/>
        <v>247000</v>
      </c>
      <c r="K11" s="35">
        <f t="shared" si="8"/>
        <v>1482000</v>
      </c>
      <c r="L11" s="35">
        <f t="shared" si="9"/>
        <v>494000</v>
      </c>
      <c r="M11" s="35">
        <f t="shared" si="10"/>
        <v>988000</v>
      </c>
      <c r="N11" s="35">
        <f t="shared" ref="N11:N30" si="15">SUM(I11:M11)</f>
        <v>11609000</v>
      </c>
      <c r="O11" s="58">
        <v>5500000</v>
      </c>
      <c r="P11" s="36">
        <f>C11-H11-O11</f>
        <v>148018005.76923078</v>
      </c>
      <c r="Q11" s="61"/>
      <c r="R11" s="59"/>
    </row>
    <row r="12" spans="1:18" ht="14.25" x14ac:dyDescent="0.2">
      <c r="A12" s="100" t="s">
        <v>123</v>
      </c>
      <c r="B12" s="33" t="s">
        <v>25</v>
      </c>
      <c r="C12" s="45">
        <v>0</v>
      </c>
      <c r="D12" s="46">
        <v>8300000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f t="shared" si="7"/>
        <v>41500</v>
      </c>
      <c r="K12" s="35">
        <v>0</v>
      </c>
      <c r="L12" s="35">
        <v>0</v>
      </c>
      <c r="M12" s="35">
        <v>0</v>
      </c>
      <c r="N12" s="35">
        <f t="shared" si="15"/>
        <v>41500</v>
      </c>
      <c r="O12" s="55">
        <v>0</v>
      </c>
      <c r="P12" s="35">
        <v>0</v>
      </c>
      <c r="Q12" s="61"/>
      <c r="R12" s="59"/>
    </row>
    <row r="13" spans="1:18" ht="14.25" x14ac:dyDescent="0.2">
      <c r="A13" s="100" t="s">
        <v>124</v>
      </c>
      <c r="B13" s="33" t="s">
        <v>7</v>
      </c>
      <c r="C13" s="45">
        <v>55255976.92307692</v>
      </c>
      <c r="D13" s="34">
        <v>22700000</v>
      </c>
      <c r="E13" s="35">
        <f t="shared" ref="E13:E19" si="16">D13*$E$2</f>
        <v>1816000</v>
      </c>
      <c r="F13" s="35">
        <f t="shared" si="3"/>
        <v>340500</v>
      </c>
      <c r="G13" s="35">
        <f t="shared" si="4"/>
        <v>227000</v>
      </c>
      <c r="H13" s="35">
        <f t="shared" si="14"/>
        <v>2383500</v>
      </c>
      <c r="I13" s="35">
        <f t="shared" si="6"/>
        <v>3859000.0000000005</v>
      </c>
      <c r="J13" s="35">
        <f t="shared" si="7"/>
        <v>113500</v>
      </c>
      <c r="K13" s="35">
        <f t="shared" si="8"/>
        <v>681000</v>
      </c>
      <c r="L13" s="35">
        <f t="shared" si="9"/>
        <v>227000</v>
      </c>
      <c r="M13" s="35">
        <f t="shared" si="10"/>
        <v>454000</v>
      </c>
      <c r="N13" s="35">
        <f t="shared" si="15"/>
        <v>5334500</v>
      </c>
      <c r="O13" s="58">
        <v>0</v>
      </c>
      <c r="P13" s="36">
        <f t="shared" ref="P13:P19" si="17">C13-H13-O13</f>
        <v>52872476.92307692</v>
      </c>
      <c r="Q13" s="61"/>
      <c r="R13" s="59"/>
    </row>
    <row r="14" spans="1:18" ht="14.25" x14ac:dyDescent="0.2">
      <c r="A14" s="100" t="s">
        <v>125</v>
      </c>
      <c r="B14" s="33" t="s">
        <v>19</v>
      </c>
      <c r="C14" s="45">
        <v>108809569.23076923</v>
      </c>
      <c r="D14" s="34">
        <v>23300000</v>
      </c>
      <c r="E14" s="35">
        <f t="shared" si="16"/>
        <v>1864000</v>
      </c>
      <c r="F14" s="35">
        <f t="shared" si="3"/>
        <v>349500</v>
      </c>
      <c r="G14" s="35">
        <f t="shared" si="4"/>
        <v>233000</v>
      </c>
      <c r="H14" s="35">
        <f t="shared" si="14"/>
        <v>2446500</v>
      </c>
      <c r="I14" s="35">
        <f t="shared" si="6"/>
        <v>3961000.0000000005</v>
      </c>
      <c r="J14" s="35">
        <f t="shared" si="7"/>
        <v>116500</v>
      </c>
      <c r="K14" s="35">
        <f t="shared" si="8"/>
        <v>699000</v>
      </c>
      <c r="L14" s="35">
        <f t="shared" si="9"/>
        <v>233000</v>
      </c>
      <c r="M14" s="35">
        <f t="shared" si="10"/>
        <v>466000</v>
      </c>
      <c r="N14" s="35">
        <f t="shared" si="15"/>
        <v>5475500</v>
      </c>
      <c r="O14" s="58">
        <v>0</v>
      </c>
      <c r="P14" s="36">
        <f t="shared" si="17"/>
        <v>106363069.23076923</v>
      </c>
      <c r="Q14" s="61"/>
      <c r="R14" s="59"/>
    </row>
    <row r="15" spans="1:18" ht="14.25" x14ac:dyDescent="0.2">
      <c r="A15" s="100" t="s">
        <v>126</v>
      </c>
      <c r="B15" s="33" t="s">
        <v>20</v>
      </c>
      <c r="C15" s="45">
        <v>85647628.846153855</v>
      </c>
      <c r="D15" s="34">
        <v>25800000</v>
      </c>
      <c r="E15" s="35">
        <f t="shared" si="16"/>
        <v>2064000</v>
      </c>
      <c r="F15" s="35">
        <f t="shared" si="3"/>
        <v>387000</v>
      </c>
      <c r="G15" s="35">
        <f t="shared" si="4"/>
        <v>258000</v>
      </c>
      <c r="H15" s="35">
        <f t="shared" si="14"/>
        <v>2709000</v>
      </c>
      <c r="I15" s="35">
        <f t="shared" si="6"/>
        <v>4386000</v>
      </c>
      <c r="J15" s="35">
        <f t="shared" si="7"/>
        <v>129000</v>
      </c>
      <c r="K15" s="35">
        <f t="shared" si="8"/>
        <v>774000</v>
      </c>
      <c r="L15" s="35">
        <f t="shared" si="9"/>
        <v>258000</v>
      </c>
      <c r="M15" s="35">
        <f t="shared" si="10"/>
        <v>516000</v>
      </c>
      <c r="N15" s="35">
        <f t="shared" si="15"/>
        <v>6063000</v>
      </c>
      <c r="O15" s="58">
        <v>24000000</v>
      </c>
      <c r="P15" s="36">
        <f t="shared" si="17"/>
        <v>58938628.846153855</v>
      </c>
      <c r="Q15" s="61"/>
      <c r="R15" s="59"/>
    </row>
    <row r="16" spans="1:18" ht="14.25" x14ac:dyDescent="0.2">
      <c r="A16" s="100" t="s">
        <v>127</v>
      </c>
      <c r="B16" s="33" t="s">
        <v>6</v>
      </c>
      <c r="C16" s="45">
        <v>11859711.53846154</v>
      </c>
      <c r="D16" s="34">
        <v>5000000</v>
      </c>
      <c r="E16" s="35">
        <f t="shared" si="16"/>
        <v>400000</v>
      </c>
      <c r="F16" s="35">
        <f t="shared" si="3"/>
        <v>75000</v>
      </c>
      <c r="G16" s="35">
        <f t="shared" si="4"/>
        <v>50000</v>
      </c>
      <c r="H16" s="35">
        <f t="shared" si="14"/>
        <v>525000</v>
      </c>
      <c r="I16" s="35">
        <f t="shared" si="6"/>
        <v>850000.00000000012</v>
      </c>
      <c r="J16" s="35">
        <f t="shared" si="7"/>
        <v>25000</v>
      </c>
      <c r="K16" s="35">
        <f t="shared" si="8"/>
        <v>150000</v>
      </c>
      <c r="L16" s="35">
        <f t="shared" si="9"/>
        <v>50000</v>
      </c>
      <c r="M16" s="35">
        <f t="shared" si="10"/>
        <v>100000</v>
      </c>
      <c r="N16" s="35">
        <f t="shared" si="15"/>
        <v>1175000</v>
      </c>
      <c r="O16" s="58">
        <v>0</v>
      </c>
      <c r="P16" s="36">
        <f t="shared" si="17"/>
        <v>11334711.53846154</v>
      </c>
      <c r="Q16" s="61"/>
      <c r="R16" s="59"/>
    </row>
    <row r="17" spans="1:18" ht="14.25" x14ac:dyDescent="0.2">
      <c r="A17" s="100" t="s">
        <v>128</v>
      </c>
      <c r="B17" s="56" t="s">
        <v>103</v>
      </c>
      <c r="C17" s="45">
        <v>62521000</v>
      </c>
      <c r="D17" s="34">
        <v>0</v>
      </c>
      <c r="E17" s="35">
        <f t="shared" si="16"/>
        <v>0</v>
      </c>
      <c r="F17" s="35">
        <f t="shared" si="3"/>
        <v>0</v>
      </c>
      <c r="G17" s="35">
        <f t="shared" si="4"/>
        <v>0</v>
      </c>
      <c r="H17" s="35">
        <f t="shared" ref="H17" si="18">SUM(E17:G17)</f>
        <v>0</v>
      </c>
      <c r="I17" s="35">
        <f t="shared" si="6"/>
        <v>0</v>
      </c>
      <c r="J17" s="35">
        <f t="shared" si="7"/>
        <v>0</v>
      </c>
      <c r="K17" s="35">
        <f t="shared" si="8"/>
        <v>0</v>
      </c>
      <c r="L17" s="35">
        <f t="shared" si="9"/>
        <v>0</v>
      </c>
      <c r="M17" s="35">
        <f t="shared" si="10"/>
        <v>0</v>
      </c>
      <c r="N17" s="35">
        <f t="shared" si="15"/>
        <v>0</v>
      </c>
      <c r="O17" s="34">
        <v>0</v>
      </c>
      <c r="P17" s="36">
        <f t="shared" si="17"/>
        <v>62521000</v>
      </c>
      <c r="Q17" s="61"/>
      <c r="R17" s="59"/>
    </row>
    <row r="18" spans="1:18" ht="14.25" x14ac:dyDescent="0.2">
      <c r="A18" s="100" t="s">
        <v>129</v>
      </c>
      <c r="B18" s="33" t="s">
        <v>70</v>
      </c>
      <c r="C18" s="45">
        <v>69493302.884615391</v>
      </c>
      <c r="D18" s="34">
        <v>14154000</v>
      </c>
      <c r="E18" s="35">
        <f>D18*$E$2</f>
        <v>1132320</v>
      </c>
      <c r="F18" s="35">
        <f t="shared" si="3"/>
        <v>212310</v>
      </c>
      <c r="G18" s="35">
        <f t="shared" si="4"/>
        <v>141540</v>
      </c>
      <c r="H18" s="35">
        <f t="shared" si="14"/>
        <v>1486170</v>
      </c>
      <c r="I18" s="35">
        <f t="shared" si="6"/>
        <v>2406180</v>
      </c>
      <c r="J18" s="35">
        <f t="shared" si="7"/>
        <v>70770</v>
      </c>
      <c r="K18" s="35">
        <f t="shared" si="8"/>
        <v>424620</v>
      </c>
      <c r="L18" s="35">
        <f t="shared" si="9"/>
        <v>141540</v>
      </c>
      <c r="M18" s="35">
        <f t="shared" si="10"/>
        <v>283080</v>
      </c>
      <c r="N18" s="35">
        <f t="shared" si="15"/>
        <v>3326190</v>
      </c>
      <c r="O18" s="34">
        <v>15000000</v>
      </c>
      <c r="P18" s="36">
        <f t="shared" si="17"/>
        <v>53007132.884615391</v>
      </c>
      <c r="Q18" s="61"/>
      <c r="R18" s="59"/>
    </row>
    <row r="19" spans="1:18" s="25" customFormat="1" ht="14.25" x14ac:dyDescent="0.2">
      <c r="A19" s="102" t="s">
        <v>130</v>
      </c>
      <c r="B19" s="33" t="s">
        <v>71</v>
      </c>
      <c r="C19" s="63">
        <v>80660814.102564096</v>
      </c>
      <c r="D19" s="57">
        <v>19700000</v>
      </c>
      <c r="E19" s="35">
        <f t="shared" si="16"/>
        <v>1576000</v>
      </c>
      <c r="F19" s="35">
        <f t="shared" si="3"/>
        <v>295500</v>
      </c>
      <c r="G19" s="35">
        <f t="shared" si="4"/>
        <v>197000</v>
      </c>
      <c r="H19" s="35">
        <f t="shared" ref="H19" si="19">SUM(E19:G19)</f>
        <v>2068500</v>
      </c>
      <c r="I19" s="35">
        <f t="shared" si="6"/>
        <v>3349000.0000000005</v>
      </c>
      <c r="J19" s="35">
        <f t="shared" si="7"/>
        <v>98500</v>
      </c>
      <c r="K19" s="35">
        <f t="shared" si="8"/>
        <v>591000</v>
      </c>
      <c r="L19" s="35">
        <f t="shared" si="9"/>
        <v>197000</v>
      </c>
      <c r="M19" s="35">
        <f t="shared" si="10"/>
        <v>394000</v>
      </c>
      <c r="N19" s="35">
        <f t="shared" si="15"/>
        <v>4629500</v>
      </c>
      <c r="O19" s="57">
        <v>5000000</v>
      </c>
      <c r="P19" s="36">
        <f t="shared" si="17"/>
        <v>73592314.102564096</v>
      </c>
      <c r="Q19" s="60"/>
      <c r="R19" s="60"/>
    </row>
    <row r="20" spans="1:18" s="32" customFormat="1" x14ac:dyDescent="0.2">
      <c r="A20" s="103"/>
      <c r="B20" s="30" t="s">
        <v>2</v>
      </c>
      <c r="C20" s="31">
        <f>SUM(C21:C32)</f>
        <v>668769528.69230771</v>
      </c>
      <c r="D20" s="31">
        <f>SUM(D21:D32)</f>
        <v>189001000</v>
      </c>
      <c r="E20" s="31">
        <f t="shared" ref="E20:I20" si="20">SUM(E21:E32)</f>
        <v>15120080</v>
      </c>
      <c r="F20" s="31">
        <f t="shared" si="20"/>
        <v>2835015</v>
      </c>
      <c r="G20" s="31">
        <f t="shared" si="20"/>
        <v>1890010</v>
      </c>
      <c r="H20" s="31">
        <f t="shared" si="20"/>
        <v>19845105</v>
      </c>
      <c r="I20" s="31">
        <f t="shared" si="20"/>
        <v>32130170</v>
      </c>
      <c r="J20" s="31">
        <f>SUM(J21:J32)</f>
        <v>945005</v>
      </c>
      <c r="K20" s="31">
        <f t="shared" ref="K20:O20" si="21">SUM(K21:K32)</f>
        <v>5670030</v>
      </c>
      <c r="L20" s="31">
        <f t="shared" si="21"/>
        <v>1890010</v>
      </c>
      <c r="M20" s="31">
        <f t="shared" si="21"/>
        <v>3780020</v>
      </c>
      <c r="N20" s="31">
        <f t="shared" si="21"/>
        <v>44415235</v>
      </c>
      <c r="O20" s="31">
        <f t="shared" si="21"/>
        <v>132560000</v>
      </c>
      <c r="P20" s="31">
        <f>SUM(P21:P32)</f>
        <v>516364423.69230777</v>
      </c>
      <c r="Q20" s="62"/>
      <c r="R20" s="62"/>
    </row>
    <row r="21" spans="1:18" ht="14.25" x14ac:dyDescent="0.2">
      <c r="A21" s="100" t="s">
        <v>131</v>
      </c>
      <c r="B21" s="76" t="s">
        <v>105</v>
      </c>
      <c r="C21" s="37">
        <v>75516153.846153855</v>
      </c>
      <c r="D21" s="38">
        <f>8300000+4800000</f>
        <v>13100000</v>
      </c>
      <c r="E21" s="35">
        <f>D21*$E$2</f>
        <v>1048000</v>
      </c>
      <c r="F21" s="35">
        <f>D21*$F$2</f>
        <v>196500</v>
      </c>
      <c r="G21" s="35">
        <f>D21*$G$2</f>
        <v>131000</v>
      </c>
      <c r="H21" s="35">
        <f>SUM(E21:G21)</f>
        <v>1375500</v>
      </c>
      <c r="I21" s="35">
        <f>D21*$I$2</f>
        <v>2227000</v>
      </c>
      <c r="J21" s="35">
        <f t="shared" si="7"/>
        <v>65500</v>
      </c>
      <c r="K21" s="35">
        <f t="shared" si="8"/>
        <v>393000</v>
      </c>
      <c r="L21" s="35">
        <f>D21*$L$2</f>
        <v>131000</v>
      </c>
      <c r="M21" s="35">
        <f t="shared" si="10"/>
        <v>262000</v>
      </c>
      <c r="N21" s="35">
        <f t="shared" si="15"/>
        <v>3078500</v>
      </c>
      <c r="O21" s="38">
        <v>0</v>
      </c>
      <c r="P21" s="35">
        <f>C21-H21-O21</f>
        <v>74140653.846153855</v>
      </c>
      <c r="Q21" s="59"/>
      <c r="R21" s="59"/>
    </row>
    <row r="22" spans="1:18" ht="14.25" x14ac:dyDescent="0.2">
      <c r="A22" s="100" t="s">
        <v>132</v>
      </c>
      <c r="B22" s="65" t="s">
        <v>58</v>
      </c>
      <c r="C22" s="37">
        <v>51148469.230769224</v>
      </c>
      <c r="D22" s="38">
        <f>4800000*3</f>
        <v>14400000</v>
      </c>
      <c r="E22" s="35">
        <f>D22*$E$2</f>
        <v>1152000</v>
      </c>
      <c r="F22" s="35">
        <f>D22*$F$2</f>
        <v>216000</v>
      </c>
      <c r="G22" s="35">
        <f>D22*$G$2</f>
        <v>144000</v>
      </c>
      <c r="H22" s="35">
        <f>SUM(E22:G22)</f>
        <v>1512000</v>
      </c>
      <c r="I22" s="35">
        <f>D22*$I$2</f>
        <v>2448000</v>
      </c>
      <c r="J22" s="35">
        <f t="shared" si="7"/>
        <v>72000</v>
      </c>
      <c r="K22" s="35">
        <f t="shared" si="8"/>
        <v>432000</v>
      </c>
      <c r="L22" s="35">
        <f>D22*$L$2</f>
        <v>144000</v>
      </c>
      <c r="M22" s="35">
        <f t="shared" si="10"/>
        <v>288000</v>
      </c>
      <c r="N22" s="35">
        <f t="shared" si="15"/>
        <v>3384000</v>
      </c>
      <c r="O22" s="38">
        <v>0</v>
      </c>
      <c r="P22" s="35">
        <f>C22-H22-O22</f>
        <v>49636469.230769224</v>
      </c>
      <c r="Q22" s="61"/>
      <c r="R22" s="59"/>
    </row>
    <row r="23" spans="1:18" ht="14.25" x14ac:dyDescent="0.2">
      <c r="A23" s="100" t="s">
        <v>133</v>
      </c>
      <c r="B23" s="65" t="s">
        <v>62</v>
      </c>
      <c r="C23" s="37">
        <v>85797761.538461551</v>
      </c>
      <c r="D23" s="38">
        <f>5100000+4800000*2</f>
        <v>14700000</v>
      </c>
      <c r="E23" s="35">
        <f t="shared" ref="E23:E31" si="22">D23*$E$2</f>
        <v>1176000</v>
      </c>
      <c r="F23" s="35">
        <f t="shared" ref="F23:F31" si="23">D23*$F$2</f>
        <v>220500</v>
      </c>
      <c r="G23" s="35">
        <f t="shared" ref="G23:G31" si="24">D23*$G$2</f>
        <v>147000</v>
      </c>
      <c r="H23" s="35">
        <f t="shared" ref="H23:H26" si="25">SUM(E23:G23)</f>
        <v>1543500</v>
      </c>
      <c r="I23" s="35">
        <f t="shared" ref="I23:I31" si="26">D23*$I$2</f>
        <v>2499000</v>
      </c>
      <c r="J23" s="35">
        <f t="shared" si="7"/>
        <v>73500</v>
      </c>
      <c r="K23" s="35">
        <f t="shared" si="8"/>
        <v>441000</v>
      </c>
      <c r="L23" s="35">
        <f t="shared" ref="L23:L31" si="27">D23*$L$2</f>
        <v>147000</v>
      </c>
      <c r="M23" s="35">
        <f t="shared" si="10"/>
        <v>294000</v>
      </c>
      <c r="N23" s="35">
        <f t="shared" si="15"/>
        <v>3454500</v>
      </c>
      <c r="O23" s="38">
        <v>0</v>
      </c>
      <c r="P23" s="35">
        <f>C23-H23-O23</f>
        <v>84254261.538461551</v>
      </c>
      <c r="Q23" s="61"/>
      <c r="R23" s="59"/>
    </row>
    <row r="24" spans="1:18" ht="14.25" x14ac:dyDescent="0.2">
      <c r="A24" s="100" t="s">
        <v>134</v>
      </c>
      <c r="B24" s="65" t="s">
        <v>59</v>
      </c>
      <c r="C24" s="37">
        <v>59080000</v>
      </c>
      <c r="D24" s="38">
        <f>4800000*4</f>
        <v>19200000</v>
      </c>
      <c r="E24" s="35">
        <f t="shared" si="22"/>
        <v>1536000</v>
      </c>
      <c r="F24" s="35">
        <f t="shared" si="23"/>
        <v>288000</v>
      </c>
      <c r="G24" s="35">
        <f t="shared" si="24"/>
        <v>192000</v>
      </c>
      <c r="H24" s="35">
        <f t="shared" si="25"/>
        <v>2016000</v>
      </c>
      <c r="I24" s="35">
        <f t="shared" si="26"/>
        <v>3264000.0000000005</v>
      </c>
      <c r="J24" s="35">
        <f t="shared" si="7"/>
        <v>96000</v>
      </c>
      <c r="K24" s="35">
        <f t="shared" si="8"/>
        <v>576000</v>
      </c>
      <c r="L24" s="35">
        <f t="shared" si="27"/>
        <v>192000</v>
      </c>
      <c r="M24" s="35">
        <f t="shared" si="10"/>
        <v>384000</v>
      </c>
      <c r="N24" s="35">
        <f t="shared" si="15"/>
        <v>4512000</v>
      </c>
      <c r="O24" s="38">
        <v>0</v>
      </c>
      <c r="P24" s="35">
        <f t="shared" ref="P24:P31" si="28">C24-H24-O24</f>
        <v>57064000</v>
      </c>
      <c r="Q24" s="59"/>
      <c r="R24" s="59"/>
    </row>
    <row r="25" spans="1:18" ht="14.25" x14ac:dyDescent="0.2">
      <c r="A25" s="100" t="s">
        <v>135</v>
      </c>
      <c r="B25" s="65" t="s">
        <v>60</v>
      </c>
      <c r="C25" s="92">
        <v>23798000</v>
      </c>
      <c r="D25" s="38">
        <v>0</v>
      </c>
      <c r="E25" s="35">
        <f t="shared" si="22"/>
        <v>0</v>
      </c>
      <c r="F25" s="35">
        <f t="shared" si="23"/>
        <v>0</v>
      </c>
      <c r="G25" s="35">
        <f t="shared" si="24"/>
        <v>0</v>
      </c>
      <c r="H25" s="35">
        <f t="shared" si="25"/>
        <v>0</v>
      </c>
      <c r="I25" s="35">
        <f t="shared" si="26"/>
        <v>0</v>
      </c>
      <c r="J25" s="35">
        <f t="shared" si="7"/>
        <v>0</v>
      </c>
      <c r="K25" s="35">
        <f t="shared" si="8"/>
        <v>0</v>
      </c>
      <c r="L25" s="35">
        <f t="shared" si="27"/>
        <v>0</v>
      </c>
      <c r="M25" s="35">
        <f t="shared" si="10"/>
        <v>0</v>
      </c>
      <c r="N25" s="35">
        <f t="shared" si="15"/>
        <v>0</v>
      </c>
      <c r="O25" s="38">
        <v>0</v>
      </c>
      <c r="P25" s="35">
        <f t="shared" si="28"/>
        <v>23798000</v>
      </c>
      <c r="Q25" s="59"/>
      <c r="R25" s="59"/>
    </row>
    <row r="26" spans="1:18" ht="14.25" x14ac:dyDescent="0.2">
      <c r="A26" s="100" t="s">
        <v>136</v>
      </c>
      <c r="B26" s="65" t="s">
        <v>61</v>
      </c>
      <c r="C26" s="37">
        <v>52282000</v>
      </c>
      <c r="D26" s="38">
        <v>14700000</v>
      </c>
      <c r="E26" s="35">
        <f t="shared" si="22"/>
        <v>1176000</v>
      </c>
      <c r="F26" s="35">
        <f t="shared" si="23"/>
        <v>220500</v>
      </c>
      <c r="G26" s="35">
        <f t="shared" si="24"/>
        <v>147000</v>
      </c>
      <c r="H26" s="35">
        <f t="shared" si="25"/>
        <v>1543500</v>
      </c>
      <c r="I26" s="35">
        <f t="shared" si="26"/>
        <v>2499000</v>
      </c>
      <c r="J26" s="35">
        <f t="shared" si="7"/>
        <v>73500</v>
      </c>
      <c r="K26" s="35">
        <f t="shared" si="8"/>
        <v>441000</v>
      </c>
      <c r="L26" s="35">
        <f t="shared" si="27"/>
        <v>147000</v>
      </c>
      <c r="M26" s="35">
        <f t="shared" si="10"/>
        <v>294000</v>
      </c>
      <c r="N26" s="35">
        <f t="shared" si="15"/>
        <v>3454500</v>
      </c>
      <c r="O26" s="38">
        <v>0</v>
      </c>
      <c r="P26" s="35">
        <f t="shared" si="28"/>
        <v>50738500</v>
      </c>
      <c r="Q26" s="59"/>
      <c r="R26" s="59"/>
    </row>
    <row r="27" spans="1:18" ht="14.25" x14ac:dyDescent="0.2">
      <c r="A27" s="100" t="s">
        <v>137</v>
      </c>
      <c r="B27" s="76" t="s">
        <v>106</v>
      </c>
      <c r="C27" s="37">
        <v>47898153.076923072</v>
      </c>
      <c r="D27" s="38">
        <v>15000000</v>
      </c>
      <c r="E27" s="35">
        <f t="shared" si="22"/>
        <v>1200000</v>
      </c>
      <c r="F27" s="35">
        <f t="shared" si="23"/>
        <v>225000</v>
      </c>
      <c r="G27" s="35">
        <f t="shared" si="24"/>
        <v>150000</v>
      </c>
      <c r="H27" s="35">
        <f t="shared" ref="H27:H31" si="29">SUM(E27:G27)</f>
        <v>1575000</v>
      </c>
      <c r="I27" s="35">
        <f t="shared" si="26"/>
        <v>2550000</v>
      </c>
      <c r="J27" s="35">
        <f t="shared" si="7"/>
        <v>75000</v>
      </c>
      <c r="K27" s="35">
        <f t="shared" si="8"/>
        <v>450000</v>
      </c>
      <c r="L27" s="35">
        <f t="shared" si="27"/>
        <v>150000</v>
      </c>
      <c r="M27" s="35">
        <f t="shared" si="10"/>
        <v>300000</v>
      </c>
      <c r="N27" s="35">
        <f t="shared" ref="N27" si="30">SUM(I27:M27)</f>
        <v>3525000</v>
      </c>
      <c r="O27" s="38">
        <v>23500000</v>
      </c>
      <c r="P27" s="35">
        <f t="shared" si="28"/>
        <v>22823153.076923072</v>
      </c>
      <c r="Q27" s="59"/>
      <c r="R27" s="59"/>
    </row>
    <row r="28" spans="1:18" ht="14.25" x14ac:dyDescent="0.2">
      <c r="A28" s="100" t="s">
        <v>138</v>
      </c>
      <c r="B28" s="65" t="s">
        <v>22</v>
      </c>
      <c r="C28" s="37">
        <v>81908676.153846174</v>
      </c>
      <c r="D28" s="38">
        <v>28800000</v>
      </c>
      <c r="E28" s="35">
        <f t="shared" si="22"/>
        <v>2304000</v>
      </c>
      <c r="F28" s="35">
        <f t="shared" si="23"/>
        <v>432000</v>
      </c>
      <c r="G28" s="35">
        <f t="shared" si="24"/>
        <v>288000</v>
      </c>
      <c r="H28" s="35">
        <f t="shared" si="29"/>
        <v>3024000</v>
      </c>
      <c r="I28" s="35">
        <f t="shared" si="26"/>
        <v>4896000</v>
      </c>
      <c r="J28" s="35">
        <f t="shared" si="7"/>
        <v>144000</v>
      </c>
      <c r="K28" s="35">
        <f t="shared" si="8"/>
        <v>864000</v>
      </c>
      <c r="L28" s="35">
        <f t="shared" si="27"/>
        <v>288000</v>
      </c>
      <c r="M28" s="35">
        <f t="shared" si="10"/>
        <v>576000</v>
      </c>
      <c r="N28" s="35">
        <f t="shared" si="15"/>
        <v>6768000</v>
      </c>
      <c r="O28" s="38">
        <v>30000000</v>
      </c>
      <c r="P28" s="35">
        <f t="shared" si="28"/>
        <v>48884676.153846174</v>
      </c>
      <c r="Q28" s="61"/>
      <c r="R28" s="59"/>
    </row>
    <row r="29" spans="1:18" ht="14.25" x14ac:dyDescent="0.2">
      <c r="A29" s="100" t="s">
        <v>139</v>
      </c>
      <c r="B29" s="76" t="s">
        <v>107</v>
      </c>
      <c r="C29" s="37">
        <v>23872841.538461536</v>
      </c>
      <c r="D29" s="38">
        <v>9600000</v>
      </c>
      <c r="E29" s="35">
        <f t="shared" si="22"/>
        <v>768000</v>
      </c>
      <c r="F29" s="35">
        <f t="shared" si="23"/>
        <v>144000</v>
      </c>
      <c r="G29" s="35">
        <f t="shared" si="24"/>
        <v>96000</v>
      </c>
      <c r="H29" s="35">
        <f t="shared" si="29"/>
        <v>1008000</v>
      </c>
      <c r="I29" s="35">
        <f t="shared" si="26"/>
        <v>1632000.0000000002</v>
      </c>
      <c r="J29" s="35">
        <f t="shared" si="7"/>
        <v>48000</v>
      </c>
      <c r="K29" s="35">
        <f t="shared" si="8"/>
        <v>288000</v>
      </c>
      <c r="L29" s="35">
        <f t="shared" si="27"/>
        <v>96000</v>
      </c>
      <c r="M29" s="35">
        <f t="shared" si="10"/>
        <v>192000</v>
      </c>
      <c r="N29" s="35">
        <f t="shared" ref="N29" si="31">SUM(I29:M29)</f>
        <v>2256000</v>
      </c>
      <c r="O29" s="38">
        <v>9060000</v>
      </c>
      <c r="P29" s="35">
        <f t="shared" si="28"/>
        <v>13804841.538461536</v>
      </c>
      <c r="Q29" s="61"/>
      <c r="R29" s="59"/>
    </row>
    <row r="30" spans="1:18" ht="14.25" x14ac:dyDescent="0.2">
      <c r="A30" s="100" t="s">
        <v>140</v>
      </c>
      <c r="B30" s="65" t="s">
        <v>23</v>
      </c>
      <c r="C30" s="37">
        <v>101913370.38461539</v>
      </c>
      <c r="D30" s="38">
        <v>32039000</v>
      </c>
      <c r="E30" s="35">
        <f t="shared" si="22"/>
        <v>2563120</v>
      </c>
      <c r="F30" s="35">
        <f t="shared" si="23"/>
        <v>480585</v>
      </c>
      <c r="G30" s="35">
        <f t="shared" si="24"/>
        <v>320390</v>
      </c>
      <c r="H30" s="35">
        <f t="shared" si="29"/>
        <v>3364095</v>
      </c>
      <c r="I30" s="35">
        <f t="shared" si="26"/>
        <v>5446630</v>
      </c>
      <c r="J30" s="35">
        <f t="shared" si="7"/>
        <v>160195</v>
      </c>
      <c r="K30" s="35">
        <f t="shared" si="8"/>
        <v>961170</v>
      </c>
      <c r="L30" s="35">
        <f t="shared" si="27"/>
        <v>320390</v>
      </c>
      <c r="M30" s="35">
        <f t="shared" si="10"/>
        <v>640780</v>
      </c>
      <c r="N30" s="35">
        <f t="shared" si="15"/>
        <v>7529165</v>
      </c>
      <c r="O30" s="38">
        <v>46000000</v>
      </c>
      <c r="P30" s="35">
        <f t="shared" si="28"/>
        <v>52549275.384615391</v>
      </c>
      <c r="Q30" s="61"/>
      <c r="R30" s="59"/>
    </row>
    <row r="31" spans="1:18" ht="14.25" x14ac:dyDescent="0.2">
      <c r="A31" s="100" t="s">
        <v>141</v>
      </c>
      <c r="B31" s="76" t="s">
        <v>108</v>
      </c>
      <c r="C31" s="37">
        <v>14662984</v>
      </c>
      <c r="D31" s="38">
        <v>0</v>
      </c>
      <c r="E31" s="35">
        <f t="shared" si="22"/>
        <v>0</v>
      </c>
      <c r="F31" s="35">
        <f t="shared" si="23"/>
        <v>0</v>
      </c>
      <c r="G31" s="35">
        <f t="shared" si="24"/>
        <v>0</v>
      </c>
      <c r="H31" s="35">
        <f t="shared" si="29"/>
        <v>0</v>
      </c>
      <c r="I31" s="35">
        <f t="shared" si="26"/>
        <v>0</v>
      </c>
      <c r="J31" s="35">
        <f t="shared" si="7"/>
        <v>0</v>
      </c>
      <c r="K31" s="35">
        <f t="shared" si="8"/>
        <v>0</v>
      </c>
      <c r="L31" s="35">
        <f t="shared" si="27"/>
        <v>0</v>
      </c>
      <c r="M31" s="35">
        <f t="shared" si="10"/>
        <v>0</v>
      </c>
      <c r="N31" s="35">
        <f t="shared" ref="N31" si="32">SUM(I31:M31)</f>
        <v>0</v>
      </c>
      <c r="O31" s="38">
        <v>6000000</v>
      </c>
      <c r="P31" s="35">
        <f t="shared" si="28"/>
        <v>8662984</v>
      </c>
      <c r="Q31" s="61"/>
      <c r="R31" s="59"/>
    </row>
    <row r="32" spans="1:18" ht="14.25" x14ac:dyDescent="0.2">
      <c r="A32" s="100" t="s">
        <v>142</v>
      </c>
      <c r="B32" s="65" t="s">
        <v>3</v>
      </c>
      <c r="C32" s="37">
        <v>50891118.92307692</v>
      </c>
      <c r="D32" s="38">
        <v>27462000</v>
      </c>
      <c r="E32" s="35">
        <f>D32*$E$2</f>
        <v>2196960</v>
      </c>
      <c r="F32" s="35">
        <f>D32*$F$2</f>
        <v>411930</v>
      </c>
      <c r="G32" s="35">
        <f>D32*$G$2</f>
        <v>274620</v>
      </c>
      <c r="H32" s="35">
        <f>SUM(E32:G32)</f>
        <v>2883510</v>
      </c>
      <c r="I32" s="35">
        <f>D32*$I$2</f>
        <v>4668540</v>
      </c>
      <c r="J32" s="35">
        <f>D32*$J$2</f>
        <v>137310</v>
      </c>
      <c r="K32" s="35">
        <f>D32*$K$2</f>
        <v>823860</v>
      </c>
      <c r="L32" s="35">
        <f>D32*$L$2</f>
        <v>274620</v>
      </c>
      <c r="M32" s="35">
        <f>D32*$M$2</f>
        <v>549240</v>
      </c>
      <c r="N32" s="35">
        <f>SUM(I32:M32)</f>
        <v>6453570</v>
      </c>
      <c r="O32" s="38">
        <v>18000000</v>
      </c>
      <c r="P32" s="35">
        <f>C32-H32-O32</f>
        <v>30007608.92307692</v>
      </c>
      <c r="Q32" s="61"/>
      <c r="R32" s="59"/>
    </row>
    <row r="33" spans="1:18" s="32" customFormat="1" x14ac:dyDescent="0.2">
      <c r="A33" s="103"/>
      <c r="B33" s="30" t="s">
        <v>24</v>
      </c>
      <c r="C33" s="31">
        <f>SUM(C34:C36)</f>
        <v>1117742045.1230683</v>
      </c>
      <c r="D33" s="31">
        <f t="shared" ref="D33:O33" si="33">SUM(D34:D36)</f>
        <v>447943000</v>
      </c>
      <c r="E33" s="31">
        <f t="shared" si="33"/>
        <v>35835440</v>
      </c>
      <c r="F33" s="31">
        <f t="shared" si="33"/>
        <v>6719145</v>
      </c>
      <c r="G33" s="31">
        <f t="shared" si="33"/>
        <v>4479430</v>
      </c>
      <c r="H33" s="31">
        <f t="shared" si="33"/>
        <v>47034015</v>
      </c>
      <c r="I33" s="31">
        <f t="shared" si="33"/>
        <v>76150310</v>
      </c>
      <c r="J33" s="31">
        <f>SUM(J34:J36)</f>
        <v>2239715</v>
      </c>
      <c r="K33" s="31">
        <f t="shared" si="33"/>
        <v>13438290</v>
      </c>
      <c r="L33" s="31">
        <f t="shared" si="33"/>
        <v>4479430</v>
      </c>
      <c r="M33" s="31">
        <f t="shared" si="33"/>
        <v>8958860</v>
      </c>
      <c r="N33" s="31">
        <f t="shared" si="33"/>
        <v>105266605</v>
      </c>
      <c r="O33" s="31">
        <f t="shared" si="33"/>
        <v>347500000</v>
      </c>
      <c r="P33" s="31">
        <f>SUM(P34:P36)</f>
        <v>723208030.12306833</v>
      </c>
      <c r="Q33" s="62"/>
      <c r="R33" s="62"/>
    </row>
    <row r="34" spans="1:18" ht="64.5" x14ac:dyDescent="0.25">
      <c r="A34" s="100" t="s">
        <v>143</v>
      </c>
      <c r="B34" s="40" t="s">
        <v>43</v>
      </c>
      <c r="C34" s="41">
        <v>744616367.32011211</v>
      </c>
      <c r="D34" s="42">
        <f>296379000-4577000</f>
        <v>291802000</v>
      </c>
      <c r="E34" s="35">
        <f>D34*$E$2</f>
        <v>23344160</v>
      </c>
      <c r="F34" s="35">
        <f>D34*$F$2</f>
        <v>4377030</v>
      </c>
      <c r="G34" s="35">
        <f>D34*$G$2</f>
        <v>2918020</v>
      </c>
      <c r="H34" s="35">
        <f>SUM(E34:G34)</f>
        <v>30639210</v>
      </c>
      <c r="I34" s="35">
        <f>D34*$I$2</f>
        <v>49606340</v>
      </c>
      <c r="J34" s="35">
        <f t="shared" si="7"/>
        <v>1459010</v>
      </c>
      <c r="K34" s="35">
        <f t="shared" si="8"/>
        <v>8754060</v>
      </c>
      <c r="L34" s="35">
        <f>D34*$L$2</f>
        <v>2918020</v>
      </c>
      <c r="M34" s="35">
        <f t="shared" si="10"/>
        <v>5836040</v>
      </c>
      <c r="N34" s="35">
        <f>SUM(I34:M34)</f>
        <v>68573470</v>
      </c>
      <c r="O34" s="42">
        <v>200500000</v>
      </c>
      <c r="P34" s="36">
        <f>C34-H34-O34</f>
        <v>513477157.32011211</v>
      </c>
      <c r="Q34" s="60"/>
      <c r="R34" s="61"/>
    </row>
    <row r="35" spans="1:18" ht="14.25" x14ac:dyDescent="0.25">
      <c r="A35" s="100" t="s">
        <v>144</v>
      </c>
      <c r="B35" s="33" t="s">
        <v>41</v>
      </c>
      <c r="C35" s="43">
        <v>202104684.20720297</v>
      </c>
      <c r="D35" s="42">
        <v>68655000</v>
      </c>
      <c r="E35" s="35">
        <f>D35*$E$2</f>
        <v>5492400</v>
      </c>
      <c r="F35" s="35">
        <f>D35*$F$2</f>
        <v>1029825</v>
      </c>
      <c r="G35" s="35">
        <f>D35*$G$2</f>
        <v>686550</v>
      </c>
      <c r="H35" s="35">
        <f>SUM(E35:G35)</f>
        <v>7208775</v>
      </c>
      <c r="I35" s="35">
        <f>D35*$I$2</f>
        <v>11671350</v>
      </c>
      <c r="J35" s="35">
        <f>D35*$J$2</f>
        <v>343275</v>
      </c>
      <c r="K35" s="35">
        <f>D35*$K$2</f>
        <v>2059650</v>
      </c>
      <c r="L35" s="35">
        <f>D35*$L$2</f>
        <v>686550</v>
      </c>
      <c r="M35" s="35">
        <f t="shared" si="10"/>
        <v>1373100</v>
      </c>
      <c r="N35" s="35">
        <f>SUM(I35:M35)</f>
        <v>16133925</v>
      </c>
      <c r="O35" s="42">
        <v>82000000</v>
      </c>
      <c r="P35" s="36">
        <f>C35-H35-O35</f>
        <v>112895909.20720297</v>
      </c>
      <c r="Q35" s="60"/>
      <c r="R35" s="61"/>
    </row>
    <row r="36" spans="1:18" ht="14.25" x14ac:dyDescent="0.25">
      <c r="A36" s="100" t="s">
        <v>145</v>
      </c>
      <c r="B36" s="33" t="s">
        <v>42</v>
      </c>
      <c r="C36" s="41">
        <v>171020993.59575319</v>
      </c>
      <c r="D36" s="42">
        <v>87486000</v>
      </c>
      <c r="E36" s="35">
        <f t="shared" ref="E36" si="34">D36*$E$2</f>
        <v>6998880</v>
      </c>
      <c r="F36" s="35">
        <f t="shared" ref="F36" si="35">D36*$F$2</f>
        <v>1312290</v>
      </c>
      <c r="G36" s="35">
        <f t="shared" ref="G36" si="36">D36*$G$2</f>
        <v>874860</v>
      </c>
      <c r="H36" s="35">
        <f t="shared" ref="H36" si="37">SUM(E36:G36)</f>
        <v>9186030</v>
      </c>
      <c r="I36" s="35">
        <f t="shared" ref="I36" si="38">D36*$I$2</f>
        <v>14872620.000000002</v>
      </c>
      <c r="J36" s="35">
        <f t="shared" si="7"/>
        <v>437430</v>
      </c>
      <c r="K36" s="35">
        <f t="shared" si="8"/>
        <v>2624580</v>
      </c>
      <c r="L36" s="35">
        <f t="shared" ref="L36" si="39">D36*$L$2</f>
        <v>874860</v>
      </c>
      <c r="M36" s="35">
        <f t="shared" si="10"/>
        <v>1749720</v>
      </c>
      <c r="N36" s="35">
        <f>SUM(I36:M36)</f>
        <v>20559210</v>
      </c>
      <c r="O36" s="42">
        <v>65000000</v>
      </c>
      <c r="P36" s="54">
        <f>C36-H36-O36</f>
        <v>96834963.595753193</v>
      </c>
      <c r="Q36" s="60"/>
      <c r="R36" s="61"/>
    </row>
    <row r="37" spans="1:18" x14ac:dyDescent="0.2">
      <c r="B37" s="29" t="s">
        <v>4</v>
      </c>
      <c r="C37" s="28">
        <f t="shared" ref="C37:O37" si="40">+C4+C20+C33</f>
        <v>2848689986.9564018</v>
      </c>
      <c r="D37" s="28">
        <f t="shared" si="40"/>
        <v>868875000</v>
      </c>
      <c r="E37" s="28">
        <f t="shared" si="40"/>
        <v>68846000</v>
      </c>
      <c r="F37" s="28">
        <f t="shared" si="40"/>
        <v>12908625</v>
      </c>
      <c r="G37" s="28">
        <f t="shared" si="40"/>
        <v>8605750</v>
      </c>
      <c r="H37" s="28">
        <f t="shared" si="40"/>
        <v>90360375</v>
      </c>
      <c r="I37" s="28">
        <f t="shared" si="40"/>
        <v>146297750</v>
      </c>
      <c r="J37" s="28">
        <f t="shared" si="40"/>
        <v>4344375</v>
      </c>
      <c r="K37" s="28">
        <f t="shared" si="40"/>
        <v>25817250</v>
      </c>
      <c r="L37" s="28">
        <f t="shared" si="40"/>
        <v>8605750</v>
      </c>
      <c r="M37" s="28">
        <f t="shared" si="40"/>
        <v>17211500</v>
      </c>
      <c r="N37" s="28">
        <f t="shared" si="40"/>
        <v>202276625</v>
      </c>
      <c r="O37" s="28">
        <f t="shared" si="40"/>
        <v>540560000</v>
      </c>
      <c r="P37" s="28">
        <f>+P4+P20+P33</f>
        <v>2217769611.9564018</v>
      </c>
      <c r="Q37" s="59"/>
      <c r="R37" s="61"/>
    </row>
    <row r="38" spans="1:18" x14ac:dyDescent="0.2">
      <c r="M38" s="39"/>
      <c r="N38" s="39"/>
      <c r="P38" s="74">
        <v>2217835000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pane xSplit="4" ySplit="3" topLeftCell="G4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defaultColWidth="36.42578125" defaultRowHeight="12.75" x14ac:dyDescent="0.2"/>
  <cols>
    <col min="1" max="1" width="3.28515625" style="24" customWidth="1"/>
    <col min="2" max="2" width="33.5703125" style="24" customWidth="1"/>
    <col min="3" max="3" width="14.28515625" style="104" customWidth="1"/>
    <col min="4" max="4" width="14.85546875" style="24" customWidth="1"/>
    <col min="5" max="8" width="12" style="24" customWidth="1"/>
    <col min="9" max="9" width="13.42578125" style="24" customWidth="1"/>
    <col min="10" max="10" width="11.42578125" style="24" customWidth="1"/>
    <col min="11" max="11" width="13" style="24" customWidth="1"/>
    <col min="12" max="12" width="10.7109375" style="24" customWidth="1"/>
    <col min="13" max="13" width="12.28515625" style="24" customWidth="1"/>
    <col min="14" max="14" width="12.7109375" style="24" customWidth="1"/>
    <col min="15" max="15" width="12.42578125" style="24" customWidth="1"/>
    <col min="16" max="16" width="16.28515625" style="24" customWidth="1"/>
    <col min="17" max="16384" width="36.42578125" style="24"/>
  </cols>
  <sheetData>
    <row r="1" spans="1:16" x14ac:dyDescent="0.2">
      <c r="B1" s="20"/>
      <c r="C1" s="21"/>
      <c r="D1" s="20"/>
      <c r="E1" s="20"/>
      <c r="F1" s="20"/>
      <c r="G1" s="20"/>
      <c r="H1" s="22">
        <f>SUM(E2:G2)</f>
        <v>0.105</v>
      </c>
      <c r="I1" s="23"/>
      <c r="J1" s="23"/>
      <c r="K1" s="20" t="s">
        <v>21</v>
      </c>
      <c r="L1" s="22">
        <f>SUM(I2:L2)</f>
        <v>0.21500000000000002</v>
      </c>
      <c r="M1" s="20"/>
      <c r="N1" s="20"/>
      <c r="O1" s="20"/>
      <c r="P1" s="20"/>
    </row>
    <row r="2" spans="1:16" x14ac:dyDescent="0.2">
      <c r="B2" s="20"/>
      <c r="C2" s="21"/>
      <c r="D2" s="20"/>
      <c r="E2" s="47">
        <v>0.08</v>
      </c>
      <c r="F2" s="48">
        <v>1.4999999999999999E-2</v>
      </c>
      <c r="G2" s="47">
        <v>0.01</v>
      </c>
      <c r="H2" s="49"/>
      <c r="I2" s="50">
        <v>0.17</v>
      </c>
      <c r="J2" s="50">
        <v>5.0000000000000001E-3</v>
      </c>
      <c r="K2" s="51">
        <v>0.03</v>
      </c>
      <c r="L2" s="51">
        <v>0.01</v>
      </c>
      <c r="M2" s="26">
        <v>0.02</v>
      </c>
      <c r="N2" s="20">
        <f>SUM(I2:M2)</f>
        <v>0.23500000000000001</v>
      </c>
      <c r="O2" s="20"/>
      <c r="P2" s="20"/>
    </row>
    <row r="3" spans="1:16" x14ac:dyDescent="0.2">
      <c r="B3" s="27" t="s">
        <v>64</v>
      </c>
      <c r="C3" s="28" t="s">
        <v>17</v>
      </c>
      <c r="D3" s="29" t="s">
        <v>8</v>
      </c>
      <c r="E3" s="29" t="s">
        <v>9</v>
      </c>
      <c r="F3" s="29" t="s">
        <v>10</v>
      </c>
      <c r="G3" s="29" t="s">
        <v>11</v>
      </c>
      <c r="H3" s="29" t="s">
        <v>16</v>
      </c>
      <c r="I3" s="29" t="s">
        <v>12</v>
      </c>
      <c r="J3" s="29" t="s">
        <v>40</v>
      </c>
      <c r="K3" s="29" t="s">
        <v>13</v>
      </c>
      <c r="L3" s="29" t="s">
        <v>14</v>
      </c>
      <c r="M3" s="29" t="s">
        <v>15</v>
      </c>
      <c r="N3" s="29" t="s">
        <v>26</v>
      </c>
      <c r="O3" s="29" t="s">
        <v>0</v>
      </c>
      <c r="P3" s="29" t="s">
        <v>18</v>
      </c>
    </row>
    <row r="4" spans="1:16" s="32" customFormat="1" x14ac:dyDescent="0.2">
      <c r="B4" s="30" t="s">
        <v>1</v>
      </c>
      <c r="C4" s="31">
        <f>C5+C6+C11+C12+C13+C14+C15+C16+C17+C18+C19</f>
        <v>1123122303.4358974</v>
      </c>
      <c r="D4" s="31">
        <f>D5+D6+D11+D12+D13+D14+D15+D16+D17+D18+D19</f>
        <v>235231000</v>
      </c>
      <c r="E4" s="31">
        <f t="shared" ref="E4:O4" si="0">E5+E6+E11+E12+E13+E14+E15+E16+E17+E18+E19</f>
        <v>18154480</v>
      </c>
      <c r="F4" s="31">
        <f t="shared" si="0"/>
        <v>3403965</v>
      </c>
      <c r="G4" s="31">
        <f t="shared" si="0"/>
        <v>2269310</v>
      </c>
      <c r="H4" s="31">
        <f t="shared" si="0"/>
        <v>23827755</v>
      </c>
      <c r="I4" s="31">
        <f t="shared" si="0"/>
        <v>38578270</v>
      </c>
      <c r="J4" s="31">
        <f t="shared" si="0"/>
        <v>1176155</v>
      </c>
      <c r="K4" s="31">
        <f t="shared" si="0"/>
        <v>6807930</v>
      </c>
      <c r="L4" s="31">
        <f t="shared" si="0"/>
        <v>2269310</v>
      </c>
      <c r="M4" s="31">
        <f t="shared" si="0"/>
        <v>4538620</v>
      </c>
      <c r="N4" s="31">
        <f t="shared" si="0"/>
        <v>53370285</v>
      </c>
      <c r="O4" s="31">
        <f t="shared" si="0"/>
        <v>69000000</v>
      </c>
      <c r="P4" s="31">
        <f>P5+P6+P11+P12+P13+P14+P15+P16+P17+P18+P19</f>
        <v>1030294548.4358975</v>
      </c>
    </row>
    <row r="5" spans="1:16" ht="14.25" x14ac:dyDescent="0.2">
      <c r="A5" s="104" t="s">
        <v>118</v>
      </c>
      <c r="B5" s="33" t="s">
        <v>5</v>
      </c>
      <c r="C5" s="52">
        <v>269280000</v>
      </c>
      <c r="D5" s="34">
        <v>11900000</v>
      </c>
      <c r="E5" s="35">
        <f>D5*$E$2</f>
        <v>952000</v>
      </c>
      <c r="F5" s="35">
        <f>D5*$F$2</f>
        <v>178500</v>
      </c>
      <c r="G5" s="35">
        <f>D5*$G$2</f>
        <v>119000</v>
      </c>
      <c r="H5" s="35">
        <f>SUM(E5:G5)</f>
        <v>1249500</v>
      </c>
      <c r="I5" s="35">
        <f>D5*$I$2</f>
        <v>2023000.0000000002</v>
      </c>
      <c r="J5" s="35">
        <f>D5*$J$2</f>
        <v>59500</v>
      </c>
      <c r="K5" s="35">
        <f>D5*$K$2</f>
        <v>357000</v>
      </c>
      <c r="L5" s="35">
        <f>D5*$L$2</f>
        <v>119000</v>
      </c>
      <c r="M5" s="35">
        <f>D5*$M$2</f>
        <v>238000</v>
      </c>
      <c r="N5" s="35">
        <f>SUM(I5:M5)</f>
        <v>2796500</v>
      </c>
      <c r="O5" s="34">
        <v>0</v>
      </c>
      <c r="P5" s="36">
        <f>C5-H5-O5</f>
        <v>268030500</v>
      </c>
    </row>
    <row r="6" spans="1:16" s="69" customFormat="1" ht="15.75" x14ac:dyDescent="0.2">
      <c r="A6" s="101"/>
      <c r="B6" s="33" t="s">
        <v>65</v>
      </c>
      <c r="C6" s="66">
        <f>SUM(C7:C10)</f>
        <v>166988924.35897437</v>
      </c>
      <c r="D6" s="66">
        <f>SUM(D7:D10)</f>
        <v>51677000</v>
      </c>
      <c r="E6" s="66">
        <f t="shared" ref="E6:P6" si="1">SUM(E7:E10)</f>
        <v>4134160</v>
      </c>
      <c r="F6" s="66">
        <f t="shared" si="1"/>
        <v>775155</v>
      </c>
      <c r="G6" s="66">
        <f t="shared" si="1"/>
        <v>516770</v>
      </c>
      <c r="H6" s="66">
        <f t="shared" si="1"/>
        <v>5426085</v>
      </c>
      <c r="I6" s="66">
        <f t="shared" si="1"/>
        <v>8785090.0000000019</v>
      </c>
      <c r="J6" s="66">
        <f t="shared" si="1"/>
        <v>258385</v>
      </c>
      <c r="K6" s="66">
        <f t="shared" si="1"/>
        <v>1550310</v>
      </c>
      <c r="L6" s="66">
        <f t="shared" si="1"/>
        <v>516770</v>
      </c>
      <c r="M6" s="66">
        <f t="shared" si="1"/>
        <v>1033540</v>
      </c>
      <c r="N6" s="66">
        <f t="shared" si="1"/>
        <v>12144095</v>
      </c>
      <c r="O6" s="66">
        <f t="shared" si="1"/>
        <v>13000000</v>
      </c>
      <c r="P6" s="75">
        <f t="shared" si="1"/>
        <v>148562839.35897437</v>
      </c>
    </row>
    <row r="7" spans="1:16" ht="14.25" x14ac:dyDescent="0.2">
      <c r="A7" s="104" t="s">
        <v>119</v>
      </c>
      <c r="B7" s="65" t="s">
        <v>66</v>
      </c>
      <c r="C7" s="45">
        <v>58941769.230769232</v>
      </c>
      <c r="D7" s="45">
        <f>27277000-4577000</f>
        <v>22700000</v>
      </c>
      <c r="E7" s="35">
        <f t="shared" ref="E7:E10" si="2">D7*$E$2</f>
        <v>1816000</v>
      </c>
      <c r="F7" s="35">
        <f t="shared" ref="F7:F19" si="3">D7*$F$2</f>
        <v>340500</v>
      </c>
      <c r="G7" s="35">
        <f t="shared" ref="G7:G19" si="4">D7*$G$2</f>
        <v>227000</v>
      </c>
      <c r="H7" s="35">
        <f t="shared" ref="H7" si="5">SUM(E7:G7)</f>
        <v>2383500</v>
      </c>
      <c r="I7" s="35">
        <f t="shared" ref="I7:I19" si="6">D7*$I$2</f>
        <v>3859000.0000000005</v>
      </c>
      <c r="J7" s="35">
        <f t="shared" ref="J7:J36" si="7">D7*$J$2</f>
        <v>113500</v>
      </c>
      <c r="K7" s="35">
        <f t="shared" ref="K7:K36" si="8">D7*$K$2</f>
        <v>681000</v>
      </c>
      <c r="L7" s="35">
        <f t="shared" ref="L7:L19" si="9">D7*$L$2</f>
        <v>227000</v>
      </c>
      <c r="M7" s="35">
        <f t="shared" ref="M7:M36" si="10">D7*$M$2</f>
        <v>454000</v>
      </c>
      <c r="N7" s="35">
        <f t="shared" ref="N7:N10" si="11">SUM(I7:M7)</f>
        <v>5334500</v>
      </c>
      <c r="O7" s="58">
        <v>3000000</v>
      </c>
      <c r="P7" s="36">
        <f t="shared" ref="P7:P10" si="12">C7-H7-O7</f>
        <v>53558269.230769232</v>
      </c>
    </row>
    <row r="8" spans="1:16" ht="14.25" x14ac:dyDescent="0.2">
      <c r="A8" s="104" t="s">
        <v>120</v>
      </c>
      <c r="B8" s="65" t="s">
        <v>68</v>
      </c>
      <c r="C8" s="45">
        <v>46604615.384615391</v>
      </c>
      <c r="D8" s="34">
        <v>10000000</v>
      </c>
      <c r="E8" s="35">
        <f t="shared" si="2"/>
        <v>800000</v>
      </c>
      <c r="F8" s="35">
        <f t="shared" si="3"/>
        <v>150000</v>
      </c>
      <c r="G8" s="35">
        <f t="shared" si="4"/>
        <v>100000</v>
      </c>
      <c r="H8" s="35">
        <f t="shared" ref="H8:H10" si="13">SUM(E8:G8)</f>
        <v>1050000</v>
      </c>
      <c r="I8" s="35">
        <f t="shared" si="6"/>
        <v>1700000.0000000002</v>
      </c>
      <c r="J8" s="35">
        <f t="shared" si="7"/>
        <v>50000</v>
      </c>
      <c r="K8" s="35">
        <f t="shared" si="8"/>
        <v>300000</v>
      </c>
      <c r="L8" s="35">
        <f t="shared" si="9"/>
        <v>100000</v>
      </c>
      <c r="M8" s="35">
        <f t="shared" si="10"/>
        <v>200000</v>
      </c>
      <c r="N8" s="35">
        <f t="shared" si="11"/>
        <v>2350000</v>
      </c>
      <c r="O8" s="58">
        <v>0</v>
      </c>
      <c r="P8" s="36">
        <f t="shared" si="12"/>
        <v>45554615.384615391</v>
      </c>
    </row>
    <row r="9" spans="1:16" ht="14.25" x14ac:dyDescent="0.2">
      <c r="A9" s="104" t="s">
        <v>121</v>
      </c>
      <c r="B9" s="65" t="s">
        <v>104</v>
      </c>
      <c r="C9" s="45">
        <v>24371001.282051284</v>
      </c>
      <c r="D9" s="34">
        <f>4800000+4577000</f>
        <v>9377000</v>
      </c>
      <c r="E9" s="35">
        <f t="shared" si="2"/>
        <v>750160</v>
      </c>
      <c r="F9" s="35">
        <f t="shared" si="3"/>
        <v>140655</v>
      </c>
      <c r="G9" s="35">
        <f t="shared" si="4"/>
        <v>93770</v>
      </c>
      <c r="H9" s="35">
        <f t="shared" si="13"/>
        <v>984585</v>
      </c>
      <c r="I9" s="35">
        <f t="shared" si="6"/>
        <v>1594090</v>
      </c>
      <c r="J9" s="35">
        <f t="shared" si="7"/>
        <v>46885</v>
      </c>
      <c r="K9" s="35">
        <f t="shared" si="8"/>
        <v>281310</v>
      </c>
      <c r="L9" s="35">
        <f t="shared" si="9"/>
        <v>93770</v>
      </c>
      <c r="M9" s="35">
        <f t="shared" si="10"/>
        <v>187540</v>
      </c>
      <c r="N9" s="35">
        <f t="shared" si="11"/>
        <v>2203595</v>
      </c>
      <c r="O9" s="58">
        <v>6000000</v>
      </c>
      <c r="P9" s="36">
        <f t="shared" si="12"/>
        <v>17386416.282051284</v>
      </c>
    </row>
    <row r="10" spans="1:16" ht="14.25" x14ac:dyDescent="0.2">
      <c r="A10" s="104" t="s">
        <v>122</v>
      </c>
      <c r="B10" s="65" t="s">
        <v>67</v>
      </c>
      <c r="C10" s="45">
        <v>37071538.461538464</v>
      </c>
      <c r="D10" s="34">
        <v>9600000</v>
      </c>
      <c r="E10" s="35">
        <f t="shared" si="2"/>
        <v>768000</v>
      </c>
      <c r="F10" s="35">
        <f t="shared" si="3"/>
        <v>144000</v>
      </c>
      <c r="G10" s="35">
        <f t="shared" si="4"/>
        <v>96000</v>
      </c>
      <c r="H10" s="35">
        <f t="shared" si="13"/>
        <v>1008000</v>
      </c>
      <c r="I10" s="35">
        <f t="shared" si="6"/>
        <v>1632000.0000000002</v>
      </c>
      <c r="J10" s="35">
        <f t="shared" si="7"/>
        <v>48000</v>
      </c>
      <c r="K10" s="35">
        <f t="shared" si="8"/>
        <v>288000</v>
      </c>
      <c r="L10" s="35">
        <f t="shared" si="9"/>
        <v>96000</v>
      </c>
      <c r="M10" s="35">
        <f t="shared" si="10"/>
        <v>192000</v>
      </c>
      <c r="N10" s="35">
        <f t="shared" si="11"/>
        <v>2256000</v>
      </c>
      <c r="O10" s="58">
        <v>4000000</v>
      </c>
      <c r="P10" s="36">
        <f t="shared" si="12"/>
        <v>32063538.461538464</v>
      </c>
    </row>
    <row r="11" spans="1:16" ht="14.25" x14ac:dyDescent="0.2">
      <c r="A11" s="104" t="s">
        <v>123</v>
      </c>
      <c r="B11" s="33" t="s">
        <v>25</v>
      </c>
      <c r="C11" s="45">
        <v>198598384.61538464</v>
      </c>
      <c r="D11" s="34">
        <f>38000000-D12+5100000+4800000+4800000+5000000</f>
        <v>49400000</v>
      </c>
      <c r="E11" s="35">
        <f>D11*$E$2</f>
        <v>3952000</v>
      </c>
      <c r="F11" s="35">
        <f t="shared" si="3"/>
        <v>741000</v>
      </c>
      <c r="G11" s="35">
        <f t="shared" si="4"/>
        <v>494000</v>
      </c>
      <c r="H11" s="35">
        <f t="shared" ref="H11:H18" si="14">SUM(E11:G11)</f>
        <v>5187000</v>
      </c>
      <c r="I11" s="35">
        <f t="shared" si="6"/>
        <v>8398000</v>
      </c>
      <c r="J11" s="35">
        <f t="shared" si="7"/>
        <v>247000</v>
      </c>
      <c r="K11" s="35">
        <f t="shared" si="8"/>
        <v>1482000</v>
      </c>
      <c r="L11" s="35">
        <f t="shared" si="9"/>
        <v>494000</v>
      </c>
      <c r="M11" s="35">
        <f t="shared" si="10"/>
        <v>988000</v>
      </c>
      <c r="N11" s="35">
        <f t="shared" ref="N11:N30" si="15">SUM(I11:M11)</f>
        <v>11609000</v>
      </c>
      <c r="O11" s="58">
        <v>4000000</v>
      </c>
      <c r="P11" s="36">
        <f>C11-H11-O11</f>
        <v>189411384.61538464</v>
      </c>
    </row>
    <row r="12" spans="1:16" ht="14.25" x14ac:dyDescent="0.2">
      <c r="A12" s="104" t="s">
        <v>123</v>
      </c>
      <c r="B12" s="33" t="s">
        <v>25</v>
      </c>
      <c r="C12" s="45">
        <v>0</v>
      </c>
      <c r="D12" s="46">
        <v>8300000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f t="shared" si="7"/>
        <v>41500</v>
      </c>
      <c r="K12" s="35">
        <v>0</v>
      </c>
      <c r="L12" s="35">
        <v>0</v>
      </c>
      <c r="M12" s="35">
        <v>0</v>
      </c>
      <c r="N12" s="35">
        <f t="shared" si="15"/>
        <v>41500</v>
      </c>
      <c r="O12" s="55">
        <v>0</v>
      </c>
      <c r="P12" s="35">
        <v>0</v>
      </c>
    </row>
    <row r="13" spans="1:16" ht="14.25" x14ac:dyDescent="0.2">
      <c r="A13" s="104" t="s">
        <v>124</v>
      </c>
      <c r="B13" s="33" t="s">
        <v>7</v>
      </c>
      <c r="C13" s="45">
        <v>55066700</v>
      </c>
      <c r="D13" s="34">
        <v>22700000</v>
      </c>
      <c r="E13" s="35">
        <f t="shared" ref="E13:E19" si="16">D13*$E$2</f>
        <v>1816000</v>
      </c>
      <c r="F13" s="35">
        <f t="shared" si="3"/>
        <v>340500</v>
      </c>
      <c r="G13" s="35">
        <f t="shared" si="4"/>
        <v>227000</v>
      </c>
      <c r="H13" s="35">
        <f t="shared" si="14"/>
        <v>2383500</v>
      </c>
      <c r="I13" s="35">
        <f t="shared" si="6"/>
        <v>3859000.0000000005</v>
      </c>
      <c r="J13" s="35">
        <f t="shared" si="7"/>
        <v>113500</v>
      </c>
      <c r="K13" s="35">
        <f t="shared" si="8"/>
        <v>681000</v>
      </c>
      <c r="L13" s="35">
        <f t="shared" si="9"/>
        <v>227000</v>
      </c>
      <c r="M13" s="35">
        <f t="shared" si="10"/>
        <v>454000</v>
      </c>
      <c r="N13" s="35">
        <f t="shared" si="15"/>
        <v>5334500</v>
      </c>
      <c r="O13" s="58">
        <v>0</v>
      </c>
      <c r="P13" s="36">
        <f t="shared" ref="P13:P19" si="17">C13-H13-O13</f>
        <v>52683200</v>
      </c>
    </row>
    <row r="14" spans="1:16" ht="14.25" x14ac:dyDescent="0.2">
      <c r="A14" s="104" t="s">
        <v>125</v>
      </c>
      <c r="B14" s="33" t="s">
        <v>19</v>
      </c>
      <c r="C14" s="45">
        <v>96135476.923076913</v>
      </c>
      <c r="D14" s="34">
        <v>18300000</v>
      </c>
      <c r="E14" s="35">
        <f t="shared" si="16"/>
        <v>1464000</v>
      </c>
      <c r="F14" s="35">
        <f t="shared" si="3"/>
        <v>274500</v>
      </c>
      <c r="G14" s="35">
        <f t="shared" si="4"/>
        <v>183000</v>
      </c>
      <c r="H14" s="35">
        <f t="shared" si="14"/>
        <v>1921500</v>
      </c>
      <c r="I14" s="35">
        <f t="shared" si="6"/>
        <v>3111000</v>
      </c>
      <c r="J14" s="35">
        <f t="shared" si="7"/>
        <v>91500</v>
      </c>
      <c r="K14" s="35">
        <f t="shared" si="8"/>
        <v>549000</v>
      </c>
      <c r="L14" s="35">
        <f t="shared" si="9"/>
        <v>183000</v>
      </c>
      <c r="M14" s="35">
        <f t="shared" si="10"/>
        <v>366000</v>
      </c>
      <c r="N14" s="35">
        <f t="shared" si="15"/>
        <v>4300500</v>
      </c>
      <c r="O14" s="58">
        <v>5000000</v>
      </c>
      <c r="P14" s="36">
        <f t="shared" si="17"/>
        <v>89213976.923076913</v>
      </c>
    </row>
    <row r="15" spans="1:16" ht="14.25" x14ac:dyDescent="0.2">
      <c r="A15" s="104" t="s">
        <v>126</v>
      </c>
      <c r="B15" s="33" t="s">
        <v>20</v>
      </c>
      <c r="C15" s="45">
        <v>93406011.538461551</v>
      </c>
      <c r="D15" s="34">
        <v>25800000</v>
      </c>
      <c r="E15" s="35">
        <f t="shared" si="16"/>
        <v>2064000</v>
      </c>
      <c r="F15" s="35">
        <f t="shared" si="3"/>
        <v>387000</v>
      </c>
      <c r="G15" s="35">
        <f t="shared" si="4"/>
        <v>258000</v>
      </c>
      <c r="H15" s="35">
        <f t="shared" si="14"/>
        <v>2709000</v>
      </c>
      <c r="I15" s="35">
        <f t="shared" si="6"/>
        <v>4386000</v>
      </c>
      <c r="J15" s="35">
        <f t="shared" si="7"/>
        <v>129000</v>
      </c>
      <c r="K15" s="35">
        <f t="shared" si="8"/>
        <v>774000</v>
      </c>
      <c r="L15" s="35">
        <f t="shared" si="9"/>
        <v>258000</v>
      </c>
      <c r="M15" s="35">
        <f t="shared" si="10"/>
        <v>516000</v>
      </c>
      <c r="N15" s="35">
        <f t="shared" si="15"/>
        <v>6063000</v>
      </c>
      <c r="O15" s="58">
        <v>29000000</v>
      </c>
      <c r="P15" s="36">
        <f t="shared" si="17"/>
        <v>61697011.538461551</v>
      </c>
    </row>
    <row r="16" spans="1:16" ht="14.25" x14ac:dyDescent="0.2">
      <c r="A16" s="104" t="s">
        <v>127</v>
      </c>
      <c r="B16" s="33" t="s">
        <v>6</v>
      </c>
      <c r="C16" s="45">
        <v>11872900</v>
      </c>
      <c r="D16" s="34">
        <v>5000000</v>
      </c>
      <c r="E16" s="35">
        <f t="shared" si="16"/>
        <v>400000</v>
      </c>
      <c r="F16" s="35">
        <f t="shared" si="3"/>
        <v>75000</v>
      </c>
      <c r="G16" s="35">
        <f t="shared" si="4"/>
        <v>50000</v>
      </c>
      <c r="H16" s="35">
        <f t="shared" si="14"/>
        <v>525000</v>
      </c>
      <c r="I16" s="35">
        <f t="shared" si="6"/>
        <v>850000.00000000012</v>
      </c>
      <c r="J16" s="35">
        <f t="shared" si="7"/>
        <v>25000</v>
      </c>
      <c r="K16" s="35">
        <f t="shared" si="8"/>
        <v>150000</v>
      </c>
      <c r="L16" s="35">
        <f t="shared" si="9"/>
        <v>50000</v>
      </c>
      <c r="M16" s="35">
        <f t="shared" si="10"/>
        <v>100000</v>
      </c>
      <c r="N16" s="35">
        <f t="shared" si="15"/>
        <v>1175000</v>
      </c>
      <c r="O16" s="58">
        <v>0</v>
      </c>
      <c r="P16" s="36">
        <f t="shared" si="17"/>
        <v>11347900</v>
      </c>
    </row>
    <row r="17" spans="1:16" ht="14.25" x14ac:dyDescent="0.2">
      <c r="A17" s="104" t="s">
        <v>128</v>
      </c>
      <c r="B17" s="56" t="s">
        <v>103</v>
      </c>
      <c r="C17" s="45">
        <v>62521000</v>
      </c>
      <c r="D17" s="34">
        <v>8300000</v>
      </c>
      <c r="E17" s="35">
        <f t="shared" si="16"/>
        <v>664000</v>
      </c>
      <c r="F17" s="35">
        <f t="shared" si="3"/>
        <v>124500</v>
      </c>
      <c r="G17" s="35">
        <f t="shared" si="4"/>
        <v>83000</v>
      </c>
      <c r="H17" s="35">
        <f t="shared" ref="H17" si="18">SUM(E17:G17)</f>
        <v>871500</v>
      </c>
      <c r="I17" s="35">
        <f t="shared" si="6"/>
        <v>1411000</v>
      </c>
      <c r="J17" s="35">
        <f t="shared" si="7"/>
        <v>41500</v>
      </c>
      <c r="K17" s="35">
        <f t="shared" si="8"/>
        <v>249000</v>
      </c>
      <c r="L17" s="35">
        <f t="shared" si="9"/>
        <v>83000</v>
      </c>
      <c r="M17" s="35">
        <f t="shared" si="10"/>
        <v>166000</v>
      </c>
      <c r="N17" s="35">
        <f t="shared" si="15"/>
        <v>1950500</v>
      </c>
      <c r="O17" s="34">
        <v>0</v>
      </c>
      <c r="P17" s="36">
        <f t="shared" si="17"/>
        <v>61649500</v>
      </c>
    </row>
    <row r="18" spans="1:16" ht="14.25" x14ac:dyDescent="0.2">
      <c r="A18" s="104" t="s">
        <v>129</v>
      </c>
      <c r="B18" s="33" t="s">
        <v>70</v>
      </c>
      <c r="C18" s="45">
        <v>76681962</v>
      </c>
      <c r="D18" s="34">
        <v>14154000</v>
      </c>
      <c r="E18" s="35">
        <f>D18*$E$2</f>
        <v>1132320</v>
      </c>
      <c r="F18" s="35">
        <f t="shared" si="3"/>
        <v>212310</v>
      </c>
      <c r="G18" s="35">
        <f t="shared" si="4"/>
        <v>141540</v>
      </c>
      <c r="H18" s="35">
        <f t="shared" si="14"/>
        <v>1486170</v>
      </c>
      <c r="I18" s="35">
        <f t="shared" si="6"/>
        <v>2406180</v>
      </c>
      <c r="J18" s="35">
        <f t="shared" si="7"/>
        <v>70770</v>
      </c>
      <c r="K18" s="35">
        <f t="shared" si="8"/>
        <v>424620</v>
      </c>
      <c r="L18" s="35">
        <f t="shared" si="9"/>
        <v>141540</v>
      </c>
      <c r="M18" s="35">
        <f t="shared" si="10"/>
        <v>283080</v>
      </c>
      <c r="N18" s="35">
        <f t="shared" si="15"/>
        <v>3326190</v>
      </c>
      <c r="O18" s="34">
        <v>11000000</v>
      </c>
      <c r="P18" s="36">
        <f t="shared" si="17"/>
        <v>64195792</v>
      </c>
    </row>
    <row r="19" spans="1:16" s="25" customFormat="1" ht="14.25" x14ac:dyDescent="0.2">
      <c r="A19" s="102" t="s">
        <v>130</v>
      </c>
      <c r="B19" s="33" t="s">
        <v>71</v>
      </c>
      <c r="C19" s="63">
        <v>92570944</v>
      </c>
      <c r="D19" s="57">
        <v>19700000</v>
      </c>
      <c r="E19" s="35">
        <f t="shared" si="16"/>
        <v>1576000</v>
      </c>
      <c r="F19" s="35">
        <f t="shared" si="3"/>
        <v>295500</v>
      </c>
      <c r="G19" s="35">
        <f t="shared" si="4"/>
        <v>197000</v>
      </c>
      <c r="H19" s="35">
        <f t="shared" ref="H19" si="19">SUM(E19:G19)</f>
        <v>2068500</v>
      </c>
      <c r="I19" s="35">
        <f t="shared" si="6"/>
        <v>3349000.0000000005</v>
      </c>
      <c r="J19" s="35">
        <f t="shared" si="7"/>
        <v>98500</v>
      </c>
      <c r="K19" s="35">
        <f t="shared" si="8"/>
        <v>591000</v>
      </c>
      <c r="L19" s="35">
        <f t="shared" si="9"/>
        <v>197000</v>
      </c>
      <c r="M19" s="35">
        <f t="shared" si="10"/>
        <v>394000</v>
      </c>
      <c r="N19" s="35">
        <f t="shared" si="15"/>
        <v>4629500</v>
      </c>
      <c r="O19" s="57">
        <v>7000000</v>
      </c>
      <c r="P19" s="36">
        <f t="shared" si="17"/>
        <v>83502444</v>
      </c>
    </row>
    <row r="20" spans="1:16" s="32" customFormat="1" x14ac:dyDescent="0.2">
      <c r="A20" s="103"/>
      <c r="B20" s="30" t="s">
        <v>2</v>
      </c>
      <c r="C20" s="31">
        <f>SUM(C21:C32)</f>
        <v>702274317.76923072</v>
      </c>
      <c r="D20" s="31">
        <f>SUM(D21:D32)</f>
        <v>202732000</v>
      </c>
      <c r="E20" s="31">
        <f t="shared" ref="E20:I20" si="20">SUM(E21:E32)</f>
        <v>16218560</v>
      </c>
      <c r="F20" s="31">
        <f t="shared" si="20"/>
        <v>3040980</v>
      </c>
      <c r="G20" s="31">
        <f t="shared" si="20"/>
        <v>2027320</v>
      </c>
      <c r="H20" s="31">
        <f t="shared" si="20"/>
        <v>21286860</v>
      </c>
      <c r="I20" s="31">
        <f t="shared" si="20"/>
        <v>34464440</v>
      </c>
      <c r="J20" s="31">
        <f>SUM(J21:J32)</f>
        <v>1013660</v>
      </c>
      <c r="K20" s="31">
        <f t="shared" ref="K20:O20" si="21">SUM(K21:K32)</f>
        <v>6081960</v>
      </c>
      <c r="L20" s="31">
        <f t="shared" si="21"/>
        <v>2027320</v>
      </c>
      <c r="M20" s="31">
        <f t="shared" si="21"/>
        <v>4054640</v>
      </c>
      <c r="N20" s="31">
        <f t="shared" si="21"/>
        <v>47642020</v>
      </c>
      <c r="O20" s="31">
        <f t="shared" si="21"/>
        <v>128500000</v>
      </c>
      <c r="P20" s="31">
        <f>SUM(P21:P32)</f>
        <v>552487457.76923072</v>
      </c>
    </row>
    <row r="21" spans="1:16" ht="14.25" x14ac:dyDescent="0.2">
      <c r="A21" s="104" t="s">
        <v>131</v>
      </c>
      <c r="B21" s="76" t="s">
        <v>105</v>
      </c>
      <c r="C21" s="37">
        <v>78432353.846153855</v>
      </c>
      <c r="D21" s="38">
        <f>8300000+4800000</f>
        <v>13100000</v>
      </c>
      <c r="E21" s="35">
        <f>D21*$E$2</f>
        <v>1048000</v>
      </c>
      <c r="F21" s="35">
        <f>D21*$F$2</f>
        <v>196500</v>
      </c>
      <c r="G21" s="35">
        <f>D21*$G$2</f>
        <v>131000</v>
      </c>
      <c r="H21" s="35">
        <f>SUM(E21:G21)</f>
        <v>1375500</v>
      </c>
      <c r="I21" s="35">
        <f>D21*$I$2</f>
        <v>2227000</v>
      </c>
      <c r="J21" s="35">
        <f t="shared" si="7"/>
        <v>65500</v>
      </c>
      <c r="K21" s="35">
        <f t="shared" si="8"/>
        <v>393000</v>
      </c>
      <c r="L21" s="35">
        <f>D21*$L$2</f>
        <v>131000</v>
      </c>
      <c r="M21" s="35">
        <f t="shared" si="10"/>
        <v>262000</v>
      </c>
      <c r="N21" s="35">
        <f t="shared" si="15"/>
        <v>3078500</v>
      </c>
      <c r="O21" s="38">
        <v>0</v>
      </c>
      <c r="P21" s="35">
        <f>C21-H21-O21</f>
        <v>77056853.846153855</v>
      </c>
    </row>
    <row r="22" spans="1:16" ht="14.25" x14ac:dyDescent="0.2">
      <c r="A22" s="104" t="s">
        <v>132</v>
      </c>
      <c r="B22" s="65" t="s">
        <v>58</v>
      </c>
      <c r="C22" s="37">
        <v>62863276.92307692</v>
      </c>
      <c r="D22" s="38">
        <f>4800000*3</f>
        <v>14400000</v>
      </c>
      <c r="E22" s="35">
        <f>D22*$E$2</f>
        <v>1152000</v>
      </c>
      <c r="F22" s="35">
        <f>D22*$F$2</f>
        <v>216000</v>
      </c>
      <c r="G22" s="35">
        <f>D22*$G$2</f>
        <v>144000</v>
      </c>
      <c r="H22" s="35">
        <f>SUM(E22:G22)</f>
        <v>1512000</v>
      </c>
      <c r="I22" s="35">
        <f>D22*$I$2</f>
        <v>2448000</v>
      </c>
      <c r="J22" s="35">
        <f t="shared" si="7"/>
        <v>72000</v>
      </c>
      <c r="K22" s="35">
        <f t="shared" si="8"/>
        <v>432000</v>
      </c>
      <c r="L22" s="35">
        <f>D22*$L$2</f>
        <v>144000</v>
      </c>
      <c r="M22" s="35">
        <f t="shared" si="10"/>
        <v>288000</v>
      </c>
      <c r="N22" s="35">
        <f t="shared" si="15"/>
        <v>3384000</v>
      </c>
      <c r="O22" s="38">
        <v>0</v>
      </c>
      <c r="P22" s="35">
        <f>C22-H22-O22</f>
        <v>61351276.92307692</v>
      </c>
    </row>
    <row r="23" spans="1:16" ht="14.25" x14ac:dyDescent="0.2">
      <c r="A23" s="104" t="s">
        <v>133</v>
      </c>
      <c r="B23" s="65" t="s">
        <v>62</v>
      </c>
      <c r="C23" s="37">
        <v>89585638.461538464</v>
      </c>
      <c r="D23" s="38">
        <f>5100000+4800000*2</f>
        <v>14700000</v>
      </c>
      <c r="E23" s="35">
        <f t="shared" ref="E23:E31" si="22">D23*$E$2</f>
        <v>1176000</v>
      </c>
      <c r="F23" s="35">
        <f t="shared" ref="F23:F31" si="23">D23*$F$2</f>
        <v>220500</v>
      </c>
      <c r="G23" s="35">
        <f t="shared" ref="G23:G31" si="24">D23*$G$2</f>
        <v>147000</v>
      </c>
      <c r="H23" s="35">
        <f t="shared" ref="H23:H26" si="25">SUM(E23:G23)</f>
        <v>1543500</v>
      </c>
      <c r="I23" s="35">
        <f t="shared" ref="I23:I31" si="26">D23*$I$2</f>
        <v>2499000</v>
      </c>
      <c r="J23" s="35">
        <f t="shared" si="7"/>
        <v>73500</v>
      </c>
      <c r="K23" s="35">
        <f t="shared" si="8"/>
        <v>441000</v>
      </c>
      <c r="L23" s="35">
        <f t="shared" ref="L23:L31" si="27">D23*$L$2</f>
        <v>147000</v>
      </c>
      <c r="M23" s="35">
        <f t="shared" si="10"/>
        <v>294000</v>
      </c>
      <c r="N23" s="35">
        <f t="shared" si="15"/>
        <v>3454500</v>
      </c>
      <c r="O23" s="38">
        <v>0</v>
      </c>
      <c r="P23" s="35">
        <f>C23-H23-O23</f>
        <v>88042138.461538464</v>
      </c>
    </row>
    <row r="24" spans="1:16" ht="14.25" x14ac:dyDescent="0.2">
      <c r="A24" s="104" t="s">
        <v>134</v>
      </c>
      <c r="B24" s="65" t="s">
        <v>59</v>
      </c>
      <c r="C24" s="37">
        <v>67618461.538461536</v>
      </c>
      <c r="D24" s="38">
        <f>4800000*4</f>
        <v>19200000</v>
      </c>
      <c r="E24" s="35">
        <f t="shared" si="22"/>
        <v>1536000</v>
      </c>
      <c r="F24" s="35">
        <f t="shared" si="23"/>
        <v>288000</v>
      </c>
      <c r="G24" s="35">
        <f t="shared" si="24"/>
        <v>192000</v>
      </c>
      <c r="H24" s="35">
        <f t="shared" si="25"/>
        <v>2016000</v>
      </c>
      <c r="I24" s="35">
        <f t="shared" si="26"/>
        <v>3264000.0000000005</v>
      </c>
      <c r="J24" s="35">
        <f t="shared" si="7"/>
        <v>96000</v>
      </c>
      <c r="K24" s="35">
        <f t="shared" si="8"/>
        <v>576000</v>
      </c>
      <c r="L24" s="35">
        <f t="shared" si="27"/>
        <v>192000</v>
      </c>
      <c r="M24" s="35">
        <f t="shared" si="10"/>
        <v>384000</v>
      </c>
      <c r="N24" s="35">
        <f t="shared" si="15"/>
        <v>4512000</v>
      </c>
      <c r="O24" s="38">
        <v>0</v>
      </c>
      <c r="P24" s="35">
        <f t="shared" ref="P24:P31" si="28">C24-H24-O24</f>
        <v>65602461.538461536</v>
      </c>
    </row>
    <row r="25" spans="1:16" ht="14.25" x14ac:dyDescent="0.2">
      <c r="A25" s="104" t="s">
        <v>135</v>
      </c>
      <c r="B25" s="65" t="s">
        <v>60</v>
      </c>
      <c r="C25" s="92">
        <v>32388000</v>
      </c>
      <c r="D25" s="38">
        <v>0</v>
      </c>
      <c r="E25" s="35">
        <f t="shared" si="22"/>
        <v>0</v>
      </c>
      <c r="F25" s="35">
        <f t="shared" si="23"/>
        <v>0</v>
      </c>
      <c r="G25" s="35">
        <f t="shared" si="24"/>
        <v>0</v>
      </c>
      <c r="H25" s="35">
        <f t="shared" si="25"/>
        <v>0</v>
      </c>
      <c r="I25" s="35">
        <f t="shared" si="26"/>
        <v>0</v>
      </c>
      <c r="J25" s="35">
        <f t="shared" si="7"/>
        <v>0</v>
      </c>
      <c r="K25" s="35">
        <f t="shared" si="8"/>
        <v>0</v>
      </c>
      <c r="L25" s="35">
        <f t="shared" si="27"/>
        <v>0</v>
      </c>
      <c r="M25" s="35">
        <f t="shared" si="10"/>
        <v>0</v>
      </c>
      <c r="N25" s="35">
        <f t="shared" si="15"/>
        <v>0</v>
      </c>
      <c r="O25" s="38">
        <v>0</v>
      </c>
      <c r="P25" s="35">
        <f t="shared" si="28"/>
        <v>32388000</v>
      </c>
    </row>
    <row r="26" spans="1:16" ht="14.25" x14ac:dyDescent="0.2">
      <c r="A26" s="104" t="s">
        <v>136</v>
      </c>
      <c r="B26" s="65" t="s">
        <v>61</v>
      </c>
      <c r="C26" s="37">
        <v>38417865.384615384</v>
      </c>
      <c r="D26" s="38">
        <v>14700000</v>
      </c>
      <c r="E26" s="35">
        <f t="shared" si="22"/>
        <v>1176000</v>
      </c>
      <c r="F26" s="35">
        <f t="shared" si="23"/>
        <v>220500</v>
      </c>
      <c r="G26" s="35">
        <f t="shared" si="24"/>
        <v>147000</v>
      </c>
      <c r="H26" s="35">
        <f t="shared" si="25"/>
        <v>1543500</v>
      </c>
      <c r="I26" s="35">
        <f t="shared" si="26"/>
        <v>2499000</v>
      </c>
      <c r="J26" s="35">
        <f t="shared" si="7"/>
        <v>73500</v>
      </c>
      <c r="K26" s="35">
        <f t="shared" si="8"/>
        <v>441000</v>
      </c>
      <c r="L26" s="35">
        <f t="shared" si="27"/>
        <v>147000</v>
      </c>
      <c r="M26" s="35">
        <f t="shared" si="10"/>
        <v>294000</v>
      </c>
      <c r="N26" s="35">
        <f t="shared" si="15"/>
        <v>3454500</v>
      </c>
      <c r="O26" s="38">
        <v>0</v>
      </c>
      <c r="P26" s="35">
        <f t="shared" si="28"/>
        <v>36874365.384615384</v>
      </c>
    </row>
    <row r="27" spans="1:16" ht="14.25" x14ac:dyDescent="0.2">
      <c r="A27" s="104" t="s">
        <v>137</v>
      </c>
      <c r="B27" s="76" t="s">
        <v>106</v>
      </c>
      <c r="C27" s="37">
        <v>45501251.538461536</v>
      </c>
      <c r="D27" s="38">
        <v>15000000</v>
      </c>
      <c r="E27" s="35">
        <f t="shared" si="22"/>
        <v>1200000</v>
      </c>
      <c r="F27" s="35">
        <f t="shared" si="23"/>
        <v>225000</v>
      </c>
      <c r="G27" s="35">
        <f t="shared" si="24"/>
        <v>150000</v>
      </c>
      <c r="H27" s="35">
        <f t="shared" ref="H27:H31" si="29">SUM(E27:G27)</f>
        <v>1575000</v>
      </c>
      <c r="I27" s="35">
        <f t="shared" si="26"/>
        <v>2550000</v>
      </c>
      <c r="J27" s="35">
        <f t="shared" si="7"/>
        <v>75000</v>
      </c>
      <c r="K27" s="35">
        <f t="shared" si="8"/>
        <v>450000</v>
      </c>
      <c r="L27" s="35">
        <f t="shared" si="27"/>
        <v>150000</v>
      </c>
      <c r="M27" s="35">
        <f t="shared" si="10"/>
        <v>300000</v>
      </c>
      <c r="N27" s="35">
        <f t="shared" ref="N27" si="30">SUM(I27:M27)</f>
        <v>3525000</v>
      </c>
      <c r="O27" s="38">
        <v>16500000</v>
      </c>
      <c r="P27" s="35">
        <f t="shared" si="28"/>
        <v>27426251.538461536</v>
      </c>
    </row>
    <row r="28" spans="1:16" ht="14.25" x14ac:dyDescent="0.2">
      <c r="A28" s="104" t="s">
        <v>138</v>
      </c>
      <c r="B28" s="65" t="s">
        <v>22</v>
      </c>
      <c r="C28" s="37">
        <v>92696743.769230753</v>
      </c>
      <c r="D28" s="38">
        <v>28800000</v>
      </c>
      <c r="E28" s="35">
        <f t="shared" si="22"/>
        <v>2304000</v>
      </c>
      <c r="F28" s="35">
        <f t="shared" si="23"/>
        <v>432000</v>
      </c>
      <c r="G28" s="35">
        <f t="shared" si="24"/>
        <v>288000</v>
      </c>
      <c r="H28" s="35">
        <f t="shared" si="29"/>
        <v>3024000</v>
      </c>
      <c r="I28" s="35">
        <f t="shared" si="26"/>
        <v>4896000</v>
      </c>
      <c r="J28" s="35">
        <f t="shared" si="7"/>
        <v>144000</v>
      </c>
      <c r="K28" s="35">
        <f t="shared" si="8"/>
        <v>864000</v>
      </c>
      <c r="L28" s="35">
        <f t="shared" si="27"/>
        <v>288000</v>
      </c>
      <c r="M28" s="35">
        <f t="shared" si="10"/>
        <v>576000</v>
      </c>
      <c r="N28" s="35">
        <f t="shared" si="15"/>
        <v>6768000</v>
      </c>
      <c r="O28" s="38">
        <v>34000000</v>
      </c>
      <c r="P28" s="35">
        <f t="shared" si="28"/>
        <v>55672743.769230753</v>
      </c>
    </row>
    <row r="29" spans="1:16" ht="14.25" x14ac:dyDescent="0.2">
      <c r="A29" s="104" t="s">
        <v>139</v>
      </c>
      <c r="B29" s="76" t="s">
        <v>107</v>
      </c>
      <c r="C29" s="37">
        <v>22400430.769230768</v>
      </c>
      <c r="D29" s="38">
        <v>9600000</v>
      </c>
      <c r="E29" s="35">
        <f t="shared" si="22"/>
        <v>768000</v>
      </c>
      <c r="F29" s="35">
        <f t="shared" si="23"/>
        <v>144000</v>
      </c>
      <c r="G29" s="35">
        <f t="shared" si="24"/>
        <v>96000</v>
      </c>
      <c r="H29" s="35">
        <f t="shared" si="29"/>
        <v>1008000</v>
      </c>
      <c r="I29" s="35">
        <f t="shared" si="26"/>
        <v>1632000.0000000002</v>
      </c>
      <c r="J29" s="35">
        <f t="shared" si="7"/>
        <v>48000</v>
      </c>
      <c r="K29" s="35">
        <f t="shared" si="8"/>
        <v>288000</v>
      </c>
      <c r="L29" s="35">
        <f t="shared" si="27"/>
        <v>96000</v>
      </c>
      <c r="M29" s="35">
        <f t="shared" si="10"/>
        <v>192000</v>
      </c>
      <c r="N29" s="35">
        <f t="shared" ref="N29" si="31">SUM(I29:M29)</f>
        <v>2256000</v>
      </c>
      <c r="O29" s="38">
        <v>8000000</v>
      </c>
      <c r="P29" s="35">
        <f t="shared" si="28"/>
        <v>13392430.769230768</v>
      </c>
    </row>
    <row r="30" spans="1:16" ht="14.25" x14ac:dyDescent="0.2">
      <c r="A30" s="104" t="s">
        <v>140</v>
      </c>
      <c r="B30" s="65" t="s">
        <v>23</v>
      </c>
      <c r="C30" s="37">
        <v>106328965.99999999</v>
      </c>
      <c r="D30" s="38">
        <v>45770000</v>
      </c>
      <c r="E30" s="35">
        <f t="shared" si="22"/>
        <v>3661600</v>
      </c>
      <c r="F30" s="35">
        <f t="shared" si="23"/>
        <v>686550</v>
      </c>
      <c r="G30" s="35">
        <f t="shared" si="24"/>
        <v>457700</v>
      </c>
      <c r="H30" s="35">
        <f t="shared" si="29"/>
        <v>4805850</v>
      </c>
      <c r="I30" s="35">
        <f t="shared" si="26"/>
        <v>7780900.0000000009</v>
      </c>
      <c r="J30" s="35">
        <f t="shared" si="7"/>
        <v>228850</v>
      </c>
      <c r="K30" s="35">
        <f t="shared" si="8"/>
        <v>1373100</v>
      </c>
      <c r="L30" s="35">
        <f t="shared" si="27"/>
        <v>457700</v>
      </c>
      <c r="M30" s="35">
        <f t="shared" si="10"/>
        <v>915400</v>
      </c>
      <c r="N30" s="35">
        <f t="shared" si="15"/>
        <v>10755950</v>
      </c>
      <c r="O30" s="38">
        <v>43000000</v>
      </c>
      <c r="P30" s="35">
        <f t="shared" si="28"/>
        <v>58523115.999999985</v>
      </c>
    </row>
    <row r="31" spans="1:16" ht="14.25" x14ac:dyDescent="0.2">
      <c r="A31" s="104" t="s">
        <v>141</v>
      </c>
      <c r="B31" s="76" t="s">
        <v>108</v>
      </c>
      <c r="C31" s="37">
        <v>15021543</v>
      </c>
      <c r="D31" s="38">
        <v>0</v>
      </c>
      <c r="E31" s="35">
        <f t="shared" si="22"/>
        <v>0</v>
      </c>
      <c r="F31" s="35">
        <f t="shared" si="23"/>
        <v>0</v>
      </c>
      <c r="G31" s="35">
        <f t="shared" si="24"/>
        <v>0</v>
      </c>
      <c r="H31" s="35">
        <f t="shared" si="29"/>
        <v>0</v>
      </c>
      <c r="I31" s="35">
        <f t="shared" si="26"/>
        <v>0</v>
      </c>
      <c r="J31" s="35">
        <f t="shared" si="7"/>
        <v>0</v>
      </c>
      <c r="K31" s="35">
        <f t="shared" si="8"/>
        <v>0</v>
      </c>
      <c r="L31" s="35">
        <f t="shared" si="27"/>
        <v>0</v>
      </c>
      <c r="M31" s="35">
        <f t="shared" si="10"/>
        <v>0</v>
      </c>
      <c r="N31" s="35">
        <f t="shared" ref="N31" si="32">SUM(I31:M31)</f>
        <v>0</v>
      </c>
      <c r="O31" s="38">
        <v>6000000</v>
      </c>
      <c r="P31" s="35">
        <f t="shared" si="28"/>
        <v>9021543</v>
      </c>
    </row>
    <row r="32" spans="1:16" ht="14.25" x14ac:dyDescent="0.2">
      <c r="A32" s="104" t="s">
        <v>142</v>
      </c>
      <c r="B32" s="65" t="s">
        <v>3</v>
      </c>
      <c r="C32" s="37">
        <v>51019786.538461544</v>
      </c>
      <c r="D32" s="38">
        <v>27462000</v>
      </c>
      <c r="E32" s="35">
        <f>D32*$E$2</f>
        <v>2196960</v>
      </c>
      <c r="F32" s="35">
        <f>D32*$F$2</f>
        <v>411930</v>
      </c>
      <c r="G32" s="35">
        <f>D32*$G$2</f>
        <v>274620</v>
      </c>
      <c r="H32" s="35">
        <f>SUM(E32:G32)</f>
        <v>2883510</v>
      </c>
      <c r="I32" s="35">
        <f>D32*$I$2</f>
        <v>4668540</v>
      </c>
      <c r="J32" s="35">
        <f>D32*$J$2</f>
        <v>137310</v>
      </c>
      <c r="K32" s="35">
        <f>D32*$K$2</f>
        <v>823860</v>
      </c>
      <c r="L32" s="35">
        <f>D32*$L$2</f>
        <v>274620</v>
      </c>
      <c r="M32" s="35">
        <f>D32*$M$2</f>
        <v>549240</v>
      </c>
      <c r="N32" s="35">
        <f>SUM(I32:M32)</f>
        <v>6453570</v>
      </c>
      <c r="O32" s="38">
        <v>21000000</v>
      </c>
      <c r="P32" s="35">
        <f>C32-H32-O32</f>
        <v>27136276.538461544</v>
      </c>
    </row>
    <row r="33" spans="1:16" s="32" customFormat="1" x14ac:dyDescent="0.2">
      <c r="A33" s="103"/>
      <c r="B33" s="30" t="s">
        <v>24</v>
      </c>
      <c r="C33" s="31">
        <f>SUM(C34:C36)</f>
        <v>1282195695.9918721</v>
      </c>
      <c r="D33" s="31">
        <f t="shared" ref="D33:O33" si="33">SUM(D34:D36)</f>
        <v>443143000</v>
      </c>
      <c r="E33" s="31">
        <f t="shared" si="33"/>
        <v>35451440</v>
      </c>
      <c r="F33" s="31">
        <f t="shared" si="33"/>
        <v>6647145</v>
      </c>
      <c r="G33" s="31">
        <f t="shared" si="33"/>
        <v>4431430</v>
      </c>
      <c r="H33" s="31">
        <f t="shared" si="33"/>
        <v>46530015</v>
      </c>
      <c r="I33" s="31">
        <f t="shared" si="33"/>
        <v>75334310</v>
      </c>
      <c r="J33" s="31">
        <f>SUM(J34:J36)</f>
        <v>2215715</v>
      </c>
      <c r="K33" s="31">
        <f t="shared" si="33"/>
        <v>13294290</v>
      </c>
      <c r="L33" s="31">
        <f t="shared" si="33"/>
        <v>4431430</v>
      </c>
      <c r="M33" s="31">
        <f t="shared" si="33"/>
        <v>8862860</v>
      </c>
      <c r="N33" s="31">
        <f t="shared" si="33"/>
        <v>104138605</v>
      </c>
      <c r="O33" s="31">
        <f t="shared" si="33"/>
        <v>367500000</v>
      </c>
      <c r="P33" s="31">
        <f>SUM(P34:P36)</f>
        <v>868165680.99187207</v>
      </c>
    </row>
    <row r="34" spans="1:16" ht="64.5" x14ac:dyDescent="0.25">
      <c r="A34" s="104" t="s">
        <v>143</v>
      </c>
      <c r="B34" s="40" t="s">
        <v>43</v>
      </c>
      <c r="C34" s="41">
        <v>788806214.29449558</v>
      </c>
      <c r="D34" s="42">
        <v>282425000</v>
      </c>
      <c r="E34" s="35">
        <f>D34*$E$2</f>
        <v>22594000</v>
      </c>
      <c r="F34" s="35">
        <f>D34*$F$2</f>
        <v>4236375</v>
      </c>
      <c r="G34" s="35">
        <f>D34*$G$2</f>
        <v>2824250</v>
      </c>
      <c r="H34" s="35">
        <f>SUM(E34:G34)</f>
        <v>29654625</v>
      </c>
      <c r="I34" s="35">
        <f>D34*$I$2</f>
        <v>48012250</v>
      </c>
      <c r="J34" s="35">
        <f t="shared" si="7"/>
        <v>1412125</v>
      </c>
      <c r="K34" s="35">
        <f t="shared" si="8"/>
        <v>8472750</v>
      </c>
      <c r="L34" s="35">
        <f>D34*$L$2</f>
        <v>2824250</v>
      </c>
      <c r="M34" s="35">
        <f t="shared" si="10"/>
        <v>5648500</v>
      </c>
      <c r="N34" s="35">
        <f>SUM(I34:M34)</f>
        <v>66369875</v>
      </c>
      <c r="O34" s="42">
        <v>225500000</v>
      </c>
      <c r="P34" s="36">
        <f>C34-H34-O34</f>
        <v>533651589.29449558</v>
      </c>
    </row>
    <row r="35" spans="1:16" ht="14.25" x14ac:dyDescent="0.25">
      <c r="A35" s="104" t="s">
        <v>144</v>
      </c>
      <c r="B35" s="33" t="s">
        <v>41</v>
      </c>
      <c r="C35" s="43">
        <v>237206373.66652718</v>
      </c>
      <c r="D35" s="42">
        <v>68655000</v>
      </c>
      <c r="E35" s="35">
        <f>D35*$E$2</f>
        <v>5492400</v>
      </c>
      <c r="F35" s="35">
        <f>D35*$F$2</f>
        <v>1029825</v>
      </c>
      <c r="G35" s="35">
        <f>D35*$G$2</f>
        <v>686550</v>
      </c>
      <c r="H35" s="35">
        <f>SUM(E35:G35)</f>
        <v>7208775</v>
      </c>
      <c r="I35" s="35">
        <f>D35*$I$2</f>
        <v>11671350</v>
      </c>
      <c r="J35" s="35">
        <f>D35*$J$2</f>
        <v>343275</v>
      </c>
      <c r="K35" s="35">
        <f>D35*$K$2</f>
        <v>2059650</v>
      </c>
      <c r="L35" s="35">
        <f>D35*$L$2</f>
        <v>686550</v>
      </c>
      <c r="M35" s="35">
        <f t="shared" si="10"/>
        <v>1373100</v>
      </c>
      <c r="N35" s="35">
        <f>SUM(I35:M35)</f>
        <v>16133925</v>
      </c>
      <c r="O35" s="42">
        <v>74000000</v>
      </c>
      <c r="P35" s="36">
        <f>C35-H35-O35</f>
        <v>155997598.66652718</v>
      </c>
    </row>
    <row r="36" spans="1:16" ht="14.25" x14ac:dyDescent="0.25">
      <c r="A36" s="104" t="s">
        <v>145</v>
      </c>
      <c r="B36" s="33" t="s">
        <v>42</v>
      </c>
      <c r="C36" s="41">
        <v>256183108.03084937</v>
      </c>
      <c r="D36" s="42">
        <v>92063000</v>
      </c>
      <c r="E36" s="35">
        <f t="shared" ref="E36" si="34">D36*$E$2</f>
        <v>7365040</v>
      </c>
      <c r="F36" s="35">
        <f t="shared" ref="F36" si="35">D36*$F$2</f>
        <v>1380945</v>
      </c>
      <c r="G36" s="35">
        <f t="shared" ref="G36" si="36">D36*$G$2</f>
        <v>920630</v>
      </c>
      <c r="H36" s="35">
        <f t="shared" ref="H36" si="37">SUM(E36:G36)</f>
        <v>9666615</v>
      </c>
      <c r="I36" s="35">
        <f t="shared" ref="I36" si="38">D36*$I$2</f>
        <v>15650710.000000002</v>
      </c>
      <c r="J36" s="35">
        <f t="shared" si="7"/>
        <v>460315</v>
      </c>
      <c r="K36" s="35">
        <f t="shared" si="8"/>
        <v>2761890</v>
      </c>
      <c r="L36" s="35">
        <f t="shared" ref="L36" si="39">D36*$L$2</f>
        <v>920630</v>
      </c>
      <c r="M36" s="35">
        <f t="shared" si="10"/>
        <v>1841260</v>
      </c>
      <c r="N36" s="35">
        <f>SUM(I36:M36)</f>
        <v>21634805</v>
      </c>
      <c r="O36" s="42">
        <v>68000000</v>
      </c>
      <c r="P36" s="54">
        <f>C36-H36-O36</f>
        <v>178516493.03084937</v>
      </c>
    </row>
    <row r="37" spans="1:16" x14ac:dyDescent="0.2">
      <c r="B37" s="29" t="s">
        <v>4</v>
      </c>
      <c r="C37" s="28">
        <f t="shared" ref="C37:O37" si="40">+C4+C20+C33</f>
        <v>3107592317.1970005</v>
      </c>
      <c r="D37" s="28">
        <f t="shared" si="40"/>
        <v>881106000</v>
      </c>
      <c r="E37" s="28">
        <f t="shared" si="40"/>
        <v>69824480</v>
      </c>
      <c r="F37" s="28">
        <f t="shared" si="40"/>
        <v>13092090</v>
      </c>
      <c r="G37" s="28">
        <f t="shared" si="40"/>
        <v>8728060</v>
      </c>
      <c r="H37" s="28">
        <f t="shared" si="40"/>
        <v>91644630</v>
      </c>
      <c r="I37" s="28">
        <f t="shared" si="40"/>
        <v>148377020</v>
      </c>
      <c r="J37" s="28">
        <f t="shared" si="40"/>
        <v>4405530</v>
      </c>
      <c r="K37" s="28">
        <f t="shared" si="40"/>
        <v>26184180</v>
      </c>
      <c r="L37" s="28">
        <f t="shared" si="40"/>
        <v>8728060</v>
      </c>
      <c r="M37" s="28">
        <f t="shared" si="40"/>
        <v>17456120</v>
      </c>
      <c r="N37" s="28">
        <f t="shared" si="40"/>
        <v>205150910</v>
      </c>
      <c r="O37" s="28">
        <f t="shared" si="40"/>
        <v>565000000</v>
      </c>
      <c r="P37" s="28">
        <f>+P4+P20+P33</f>
        <v>2450947687.1970005</v>
      </c>
    </row>
    <row r="38" spans="1:16" x14ac:dyDescent="0.2">
      <c r="M38" s="39"/>
      <c r="N38" s="39"/>
      <c r="P38" s="74">
        <v>2450797000</v>
      </c>
    </row>
    <row r="39" spans="1:16" x14ac:dyDescent="0.2">
      <c r="P39" s="39">
        <f>P37-P38</f>
        <v>150687.19700050354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zoomScaleNormal="100" workbookViewId="0">
      <pane xSplit="4" ySplit="4" topLeftCell="K17" activePane="bottomRight" state="frozen"/>
      <selection pane="topRight" activeCell="E1" sqref="E1"/>
      <selection pane="bottomLeft" activeCell="A5" sqref="A5"/>
      <selection pane="bottomRight" sqref="A1:XFD1048576"/>
    </sheetView>
  </sheetViews>
  <sheetFormatPr defaultColWidth="36.42578125" defaultRowHeight="12.75" x14ac:dyDescent="0.2"/>
  <cols>
    <col min="1" max="1" width="3.28515625" style="24" customWidth="1"/>
    <col min="2" max="2" width="33.5703125" style="24" customWidth="1"/>
    <col min="3" max="3" width="14.28515625" style="105" customWidth="1"/>
    <col min="4" max="4" width="14.85546875" style="24" customWidth="1"/>
    <col min="5" max="8" width="12" style="24" customWidth="1"/>
    <col min="9" max="9" width="13.42578125" style="24" customWidth="1"/>
    <col min="10" max="10" width="11.42578125" style="24" customWidth="1"/>
    <col min="11" max="11" width="13" style="24" customWidth="1"/>
    <col min="12" max="12" width="10.7109375" style="24" customWidth="1"/>
    <col min="13" max="13" width="12.28515625" style="24" customWidth="1"/>
    <col min="14" max="14" width="12.7109375" style="24" customWidth="1"/>
    <col min="15" max="15" width="12.42578125" style="24" customWidth="1"/>
    <col min="16" max="16" width="16.28515625" style="24" customWidth="1"/>
    <col min="17" max="17" width="12.28515625" style="24" customWidth="1"/>
    <col min="18" max="16384" width="36.42578125" style="24"/>
  </cols>
  <sheetData>
    <row r="1" spans="1:16" x14ac:dyDescent="0.2">
      <c r="B1" s="20"/>
      <c r="C1" s="21"/>
      <c r="D1" s="20"/>
      <c r="E1" s="20"/>
      <c r="F1" s="20"/>
      <c r="G1" s="20"/>
      <c r="H1" s="22">
        <f>SUM(E2:G2)</f>
        <v>0.105</v>
      </c>
      <c r="I1" s="23"/>
      <c r="J1" s="23"/>
      <c r="K1" s="20" t="s">
        <v>21</v>
      </c>
      <c r="L1" s="22">
        <f>SUM(I2:L2)</f>
        <v>0.21500000000000002</v>
      </c>
      <c r="M1" s="20"/>
      <c r="N1" s="20"/>
      <c r="O1" s="20"/>
      <c r="P1" s="20"/>
    </row>
    <row r="2" spans="1:16" x14ac:dyDescent="0.2">
      <c r="B2" s="20"/>
      <c r="C2" s="21"/>
      <c r="D2" s="20"/>
      <c r="E2" s="47">
        <v>0.08</v>
      </c>
      <c r="F2" s="48">
        <v>1.4999999999999999E-2</v>
      </c>
      <c r="G2" s="47">
        <v>0.01</v>
      </c>
      <c r="H2" s="49"/>
      <c r="I2" s="50">
        <v>0.17</v>
      </c>
      <c r="J2" s="50">
        <v>5.0000000000000001E-3</v>
      </c>
      <c r="K2" s="51">
        <v>0.03</v>
      </c>
      <c r="L2" s="51">
        <v>0.01</v>
      </c>
      <c r="M2" s="26">
        <v>0.02</v>
      </c>
      <c r="N2" s="20">
        <f>SUM(I2:M2)</f>
        <v>0.23500000000000001</v>
      </c>
      <c r="O2" s="20"/>
      <c r="P2" s="20"/>
    </row>
    <row r="3" spans="1:16" x14ac:dyDescent="0.2">
      <c r="B3" s="27" t="s">
        <v>64</v>
      </c>
      <c r="C3" s="28" t="s">
        <v>17</v>
      </c>
      <c r="D3" s="29" t="s">
        <v>8</v>
      </c>
      <c r="E3" s="29" t="s">
        <v>9</v>
      </c>
      <c r="F3" s="29" t="s">
        <v>10</v>
      </c>
      <c r="G3" s="29" t="s">
        <v>11</v>
      </c>
      <c r="H3" s="29" t="s">
        <v>16</v>
      </c>
      <c r="I3" s="29" t="s">
        <v>12</v>
      </c>
      <c r="J3" s="29" t="s">
        <v>40</v>
      </c>
      <c r="K3" s="29" t="s">
        <v>13</v>
      </c>
      <c r="L3" s="29" t="s">
        <v>14</v>
      </c>
      <c r="M3" s="29" t="s">
        <v>15</v>
      </c>
      <c r="N3" s="29" t="s">
        <v>26</v>
      </c>
      <c r="O3" s="29" t="s">
        <v>0</v>
      </c>
      <c r="P3" s="29" t="s">
        <v>18</v>
      </c>
    </row>
    <row r="4" spans="1:16" s="32" customFormat="1" x14ac:dyDescent="0.2">
      <c r="B4" s="30" t="s">
        <v>1</v>
      </c>
      <c r="C4" s="31">
        <f>C5+C6+C11+C12+C13+C14+C15+C16+C17+C18+C19</f>
        <v>1158244610.5897436</v>
      </c>
      <c r="D4" s="31">
        <f>D5+D6+D11+D12+D13+D14+D15+D16+D17+D18+D19</f>
        <v>230031000</v>
      </c>
      <c r="E4" s="31">
        <f t="shared" ref="E4:O4" si="0">E5+E6+E11+E12+E13+E14+E15+E16+E17+E18+E19</f>
        <v>17738480</v>
      </c>
      <c r="F4" s="31">
        <f t="shared" si="0"/>
        <v>3325965</v>
      </c>
      <c r="G4" s="31">
        <f t="shared" si="0"/>
        <v>2217310</v>
      </c>
      <c r="H4" s="31">
        <f t="shared" si="0"/>
        <v>23281755</v>
      </c>
      <c r="I4" s="31">
        <f t="shared" si="0"/>
        <v>37694270</v>
      </c>
      <c r="J4" s="31">
        <f t="shared" si="0"/>
        <v>1150155</v>
      </c>
      <c r="K4" s="31">
        <f t="shared" si="0"/>
        <v>6651930</v>
      </c>
      <c r="L4" s="31">
        <f t="shared" si="0"/>
        <v>2217310</v>
      </c>
      <c r="M4" s="31">
        <f t="shared" si="0"/>
        <v>4434620</v>
      </c>
      <c r="N4" s="31">
        <f t="shared" si="0"/>
        <v>52148285</v>
      </c>
      <c r="O4" s="31">
        <f t="shared" si="0"/>
        <v>53000000</v>
      </c>
      <c r="P4" s="31">
        <f>P5+P6+P11+P12+P13+P14+P15+P16+P17+P18+P19</f>
        <v>1081962855.5897436</v>
      </c>
    </row>
    <row r="5" spans="1:16" ht="14.25" x14ac:dyDescent="0.2">
      <c r="A5" s="105" t="s">
        <v>118</v>
      </c>
      <c r="B5" s="33" t="s">
        <v>5</v>
      </c>
      <c r="C5" s="52">
        <v>283280000</v>
      </c>
      <c r="D5" s="34">
        <v>11900000</v>
      </c>
      <c r="E5" s="35">
        <f>D5*$E$2</f>
        <v>952000</v>
      </c>
      <c r="F5" s="35">
        <f>D5*$F$2</f>
        <v>178500</v>
      </c>
      <c r="G5" s="35">
        <f>D5*$G$2</f>
        <v>119000</v>
      </c>
      <c r="H5" s="35">
        <f>SUM(E5:G5)</f>
        <v>1249500</v>
      </c>
      <c r="I5" s="35">
        <f>D5*$I$2</f>
        <v>2023000.0000000002</v>
      </c>
      <c r="J5" s="35">
        <f>D5*$J$2</f>
        <v>59500</v>
      </c>
      <c r="K5" s="35">
        <f>D5*$K$2</f>
        <v>357000</v>
      </c>
      <c r="L5" s="35">
        <f>D5*$L$2</f>
        <v>119000</v>
      </c>
      <c r="M5" s="35">
        <f>D5*$M$2</f>
        <v>238000</v>
      </c>
      <c r="N5" s="35">
        <f>SUM(I5:M5)</f>
        <v>2796500</v>
      </c>
      <c r="O5" s="34">
        <v>0</v>
      </c>
      <c r="P5" s="36">
        <f>C5-H5-O5</f>
        <v>282030500</v>
      </c>
    </row>
    <row r="6" spans="1:16" s="69" customFormat="1" ht="15.75" x14ac:dyDescent="0.2">
      <c r="A6" s="101"/>
      <c r="B6" s="33" t="s">
        <v>65</v>
      </c>
      <c r="C6" s="66">
        <f>SUM(C7:C10)</f>
        <v>179412935.58974361</v>
      </c>
      <c r="D6" s="66">
        <f>SUM(D7:D10)</f>
        <v>56477000</v>
      </c>
      <c r="E6" s="66">
        <f t="shared" ref="E6:P6" si="1">SUM(E7:E10)</f>
        <v>4518160</v>
      </c>
      <c r="F6" s="66">
        <f t="shared" si="1"/>
        <v>847155</v>
      </c>
      <c r="G6" s="66">
        <f t="shared" si="1"/>
        <v>564770</v>
      </c>
      <c r="H6" s="66">
        <f t="shared" si="1"/>
        <v>5930085</v>
      </c>
      <c r="I6" s="66">
        <f t="shared" si="1"/>
        <v>9601090.0000000019</v>
      </c>
      <c r="J6" s="66">
        <f t="shared" si="1"/>
        <v>282385</v>
      </c>
      <c r="K6" s="66">
        <f t="shared" si="1"/>
        <v>1694310</v>
      </c>
      <c r="L6" s="66">
        <f t="shared" si="1"/>
        <v>564770</v>
      </c>
      <c r="M6" s="66">
        <f t="shared" si="1"/>
        <v>1129540</v>
      </c>
      <c r="N6" s="66">
        <f t="shared" si="1"/>
        <v>13272095</v>
      </c>
      <c r="O6" s="66">
        <f t="shared" si="1"/>
        <v>10000000</v>
      </c>
      <c r="P6" s="75">
        <f t="shared" si="1"/>
        <v>163482850.58974361</v>
      </c>
    </row>
    <row r="7" spans="1:16" ht="14.25" x14ac:dyDescent="0.2">
      <c r="A7" s="105" t="s">
        <v>119</v>
      </c>
      <c r="B7" s="65" t="s">
        <v>66</v>
      </c>
      <c r="C7" s="45">
        <v>67697615</v>
      </c>
      <c r="D7" s="45">
        <f>27277000-4577000</f>
        <v>22700000</v>
      </c>
      <c r="E7" s="35">
        <f t="shared" ref="E7:E10" si="2">D7*$E$2</f>
        <v>1816000</v>
      </c>
      <c r="F7" s="35">
        <f t="shared" ref="F7:F19" si="3">D7*$F$2</f>
        <v>340500</v>
      </c>
      <c r="G7" s="35">
        <f t="shared" ref="G7:G19" si="4">D7*$G$2</f>
        <v>227000</v>
      </c>
      <c r="H7" s="35">
        <f t="shared" ref="H7" si="5">SUM(E7:G7)</f>
        <v>2383500</v>
      </c>
      <c r="I7" s="35">
        <f t="shared" ref="I7:I19" si="6">D7*$I$2</f>
        <v>3859000.0000000005</v>
      </c>
      <c r="J7" s="35">
        <f t="shared" ref="J7:J37" si="7">D7*$J$2</f>
        <v>113500</v>
      </c>
      <c r="K7" s="35">
        <f t="shared" ref="K7:K37" si="8">D7*$K$2</f>
        <v>681000</v>
      </c>
      <c r="L7" s="35">
        <f t="shared" ref="L7:L19" si="9">D7*$L$2</f>
        <v>227000</v>
      </c>
      <c r="M7" s="35">
        <f t="shared" ref="M7:M37" si="10">D7*$M$2</f>
        <v>454000</v>
      </c>
      <c r="N7" s="35">
        <f t="shared" ref="N7:N10" si="11">SUM(I7:M7)</f>
        <v>5334500</v>
      </c>
      <c r="O7" s="58">
        <v>0</v>
      </c>
      <c r="P7" s="36">
        <f t="shared" ref="P7:P10" si="12">C7-H7-O7</f>
        <v>65314115</v>
      </c>
    </row>
    <row r="8" spans="1:16" ht="14.25" x14ac:dyDescent="0.2">
      <c r="A8" s="105" t="s">
        <v>120</v>
      </c>
      <c r="B8" s="65" t="s">
        <v>68</v>
      </c>
      <c r="C8" s="45">
        <v>48805384.615384601</v>
      </c>
      <c r="D8" s="34">
        <v>10000000</v>
      </c>
      <c r="E8" s="35">
        <f t="shared" si="2"/>
        <v>800000</v>
      </c>
      <c r="F8" s="35">
        <f t="shared" si="3"/>
        <v>150000</v>
      </c>
      <c r="G8" s="35">
        <f t="shared" si="4"/>
        <v>100000</v>
      </c>
      <c r="H8" s="35">
        <f t="shared" ref="H8:H10" si="13">SUM(E8:G8)</f>
        <v>1050000</v>
      </c>
      <c r="I8" s="35">
        <f t="shared" si="6"/>
        <v>1700000.0000000002</v>
      </c>
      <c r="J8" s="35">
        <f t="shared" si="7"/>
        <v>50000</v>
      </c>
      <c r="K8" s="35">
        <f t="shared" si="8"/>
        <v>300000</v>
      </c>
      <c r="L8" s="35">
        <f t="shared" si="9"/>
        <v>100000</v>
      </c>
      <c r="M8" s="35">
        <f t="shared" si="10"/>
        <v>200000</v>
      </c>
      <c r="N8" s="35">
        <f t="shared" si="11"/>
        <v>2350000</v>
      </c>
      <c r="O8" s="58">
        <v>0</v>
      </c>
      <c r="P8" s="36">
        <f t="shared" si="12"/>
        <v>47755384.615384601</v>
      </c>
    </row>
    <row r="9" spans="1:16" ht="14.25" x14ac:dyDescent="0.2">
      <c r="A9" s="105" t="s">
        <v>121</v>
      </c>
      <c r="B9" s="65" t="s">
        <v>104</v>
      </c>
      <c r="C9" s="45">
        <v>25546858.974358998</v>
      </c>
      <c r="D9" s="34">
        <f>4800000+4800000+4577000</f>
        <v>14177000</v>
      </c>
      <c r="E9" s="35">
        <f t="shared" si="2"/>
        <v>1134160</v>
      </c>
      <c r="F9" s="35">
        <f t="shared" si="3"/>
        <v>212655</v>
      </c>
      <c r="G9" s="35">
        <f t="shared" si="4"/>
        <v>141770</v>
      </c>
      <c r="H9" s="35">
        <f t="shared" si="13"/>
        <v>1488585</v>
      </c>
      <c r="I9" s="35">
        <f t="shared" si="6"/>
        <v>2410090</v>
      </c>
      <c r="J9" s="35">
        <f t="shared" si="7"/>
        <v>70885</v>
      </c>
      <c r="K9" s="35">
        <f t="shared" si="8"/>
        <v>425310</v>
      </c>
      <c r="L9" s="35">
        <f t="shared" si="9"/>
        <v>141770</v>
      </c>
      <c r="M9" s="35">
        <f t="shared" si="10"/>
        <v>283540</v>
      </c>
      <c r="N9" s="35">
        <f t="shared" si="11"/>
        <v>3331595</v>
      </c>
      <c r="O9" s="58">
        <v>6000000</v>
      </c>
      <c r="P9" s="36">
        <f t="shared" si="12"/>
        <v>18058273.974358998</v>
      </c>
    </row>
    <row r="10" spans="1:16" ht="14.25" x14ac:dyDescent="0.2">
      <c r="A10" s="105" t="s">
        <v>122</v>
      </c>
      <c r="B10" s="65" t="s">
        <v>67</v>
      </c>
      <c r="C10" s="45">
        <v>37363077</v>
      </c>
      <c r="D10" s="34">
        <v>9600000</v>
      </c>
      <c r="E10" s="35">
        <f t="shared" si="2"/>
        <v>768000</v>
      </c>
      <c r="F10" s="35">
        <f t="shared" si="3"/>
        <v>144000</v>
      </c>
      <c r="G10" s="35">
        <f t="shared" si="4"/>
        <v>96000</v>
      </c>
      <c r="H10" s="35">
        <f t="shared" si="13"/>
        <v>1008000</v>
      </c>
      <c r="I10" s="35">
        <f t="shared" si="6"/>
        <v>1632000.0000000002</v>
      </c>
      <c r="J10" s="35">
        <f t="shared" si="7"/>
        <v>48000</v>
      </c>
      <c r="K10" s="35">
        <f t="shared" si="8"/>
        <v>288000</v>
      </c>
      <c r="L10" s="35">
        <f t="shared" si="9"/>
        <v>96000</v>
      </c>
      <c r="M10" s="35">
        <f t="shared" si="10"/>
        <v>192000</v>
      </c>
      <c r="N10" s="35">
        <f t="shared" si="11"/>
        <v>2256000</v>
      </c>
      <c r="O10" s="58">
        <v>4000000</v>
      </c>
      <c r="P10" s="36">
        <f t="shared" si="12"/>
        <v>32355077</v>
      </c>
    </row>
    <row r="11" spans="1:16" ht="14.25" x14ac:dyDescent="0.2">
      <c r="A11" s="105" t="s">
        <v>123</v>
      </c>
      <c r="B11" s="33" t="s">
        <v>25</v>
      </c>
      <c r="C11" s="45">
        <v>174112675</v>
      </c>
      <c r="D11" s="34">
        <v>44400000</v>
      </c>
      <c r="E11" s="35">
        <f>D11*$E$2</f>
        <v>3552000</v>
      </c>
      <c r="F11" s="35">
        <f t="shared" si="3"/>
        <v>666000</v>
      </c>
      <c r="G11" s="35">
        <f t="shared" si="4"/>
        <v>444000</v>
      </c>
      <c r="H11" s="35">
        <f t="shared" ref="H11:H18" si="14">SUM(E11:G11)</f>
        <v>4662000</v>
      </c>
      <c r="I11" s="35">
        <f t="shared" si="6"/>
        <v>7548000.0000000009</v>
      </c>
      <c r="J11" s="35">
        <f t="shared" si="7"/>
        <v>222000</v>
      </c>
      <c r="K11" s="35">
        <f t="shared" si="8"/>
        <v>1332000</v>
      </c>
      <c r="L11" s="35">
        <f t="shared" si="9"/>
        <v>444000</v>
      </c>
      <c r="M11" s="35">
        <f t="shared" si="10"/>
        <v>888000</v>
      </c>
      <c r="N11" s="35">
        <f t="shared" ref="N11:N30" si="15">SUM(I11:M11)</f>
        <v>10434000</v>
      </c>
      <c r="O11" s="58">
        <v>3000000</v>
      </c>
      <c r="P11" s="36">
        <f>C11-H11-O11</f>
        <v>166450675</v>
      </c>
    </row>
    <row r="12" spans="1:16" ht="14.25" x14ac:dyDescent="0.2">
      <c r="A12" s="105" t="s">
        <v>123</v>
      </c>
      <c r="B12" s="33" t="s">
        <v>25</v>
      </c>
      <c r="C12" s="45">
        <v>0</v>
      </c>
      <c r="D12" s="46">
        <v>8300000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f t="shared" si="7"/>
        <v>41500</v>
      </c>
      <c r="K12" s="35">
        <v>0</v>
      </c>
      <c r="L12" s="35">
        <v>0</v>
      </c>
      <c r="M12" s="35">
        <v>0</v>
      </c>
      <c r="N12" s="35">
        <f t="shared" si="15"/>
        <v>41500</v>
      </c>
      <c r="O12" s="55">
        <v>0</v>
      </c>
      <c r="P12" s="35">
        <v>0</v>
      </c>
    </row>
    <row r="13" spans="1:16" ht="14.25" x14ac:dyDescent="0.2">
      <c r="A13" s="105" t="s">
        <v>124</v>
      </c>
      <c r="B13" s="33" t="s">
        <v>7</v>
      </c>
      <c r="C13" s="45">
        <v>60344000</v>
      </c>
      <c r="D13" s="34">
        <v>22700000</v>
      </c>
      <c r="E13" s="35">
        <f t="shared" ref="E13:E19" si="16">D13*$E$2</f>
        <v>1816000</v>
      </c>
      <c r="F13" s="35">
        <f t="shared" si="3"/>
        <v>340500</v>
      </c>
      <c r="G13" s="35">
        <f t="shared" si="4"/>
        <v>227000</v>
      </c>
      <c r="H13" s="35">
        <f t="shared" si="14"/>
        <v>2383500</v>
      </c>
      <c r="I13" s="35">
        <f t="shared" si="6"/>
        <v>3859000.0000000005</v>
      </c>
      <c r="J13" s="35">
        <f t="shared" si="7"/>
        <v>113500</v>
      </c>
      <c r="K13" s="35">
        <f t="shared" si="8"/>
        <v>681000</v>
      </c>
      <c r="L13" s="35">
        <f t="shared" si="9"/>
        <v>227000</v>
      </c>
      <c r="M13" s="35">
        <f t="shared" si="10"/>
        <v>454000</v>
      </c>
      <c r="N13" s="35">
        <f t="shared" si="15"/>
        <v>5334500</v>
      </c>
      <c r="O13" s="58">
        <v>0</v>
      </c>
      <c r="P13" s="36">
        <f t="shared" ref="P13:P19" si="17">C13-H13-O13</f>
        <v>57960500</v>
      </c>
    </row>
    <row r="14" spans="1:16" ht="14.25" x14ac:dyDescent="0.2">
      <c r="A14" s="105" t="s">
        <v>125</v>
      </c>
      <c r="B14" s="33" t="s">
        <v>147</v>
      </c>
      <c r="C14" s="45">
        <v>98287000</v>
      </c>
      <c r="D14" s="34">
        <f>18300000-5000000</f>
        <v>13300000</v>
      </c>
      <c r="E14" s="35">
        <f t="shared" si="16"/>
        <v>1064000</v>
      </c>
      <c r="F14" s="35">
        <f t="shared" si="3"/>
        <v>199500</v>
      </c>
      <c r="G14" s="35">
        <f t="shared" si="4"/>
        <v>133000</v>
      </c>
      <c r="H14" s="35">
        <f t="shared" si="14"/>
        <v>1396500</v>
      </c>
      <c r="I14" s="35">
        <f t="shared" si="6"/>
        <v>2261000</v>
      </c>
      <c r="J14" s="35">
        <f t="shared" si="7"/>
        <v>66500</v>
      </c>
      <c r="K14" s="35">
        <f t="shared" si="8"/>
        <v>399000</v>
      </c>
      <c r="L14" s="35">
        <f t="shared" si="9"/>
        <v>133000</v>
      </c>
      <c r="M14" s="35">
        <f t="shared" si="10"/>
        <v>266000</v>
      </c>
      <c r="N14" s="35">
        <f t="shared" si="15"/>
        <v>3125500</v>
      </c>
      <c r="O14" s="58">
        <v>0</v>
      </c>
      <c r="P14" s="36">
        <f t="shared" si="17"/>
        <v>96890500</v>
      </c>
    </row>
    <row r="15" spans="1:16" ht="14.25" x14ac:dyDescent="0.2">
      <c r="A15" s="105" t="s">
        <v>126</v>
      </c>
      <c r="B15" s="33" t="s">
        <v>20</v>
      </c>
      <c r="C15" s="45">
        <v>97408000</v>
      </c>
      <c r="D15" s="34">
        <v>25800000</v>
      </c>
      <c r="E15" s="35">
        <f t="shared" si="16"/>
        <v>2064000</v>
      </c>
      <c r="F15" s="35">
        <f t="shared" si="3"/>
        <v>387000</v>
      </c>
      <c r="G15" s="35">
        <f t="shared" si="4"/>
        <v>258000</v>
      </c>
      <c r="H15" s="35">
        <f t="shared" si="14"/>
        <v>2709000</v>
      </c>
      <c r="I15" s="35">
        <f t="shared" si="6"/>
        <v>4386000</v>
      </c>
      <c r="J15" s="35">
        <f t="shared" si="7"/>
        <v>129000</v>
      </c>
      <c r="K15" s="35">
        <f t="shared" si="8"/>
        <v>774000</v>
      </c>
      <c r="L15" s="35">
        <f t="shared" si="9"/>
        <v>258000</v>
      </c>
      <c r="M15" s="35">
        <f t="shared" si="10"/>
        <v>516000</v>
      </c>
      <c r="N15" s="35">
        <f t="shared" si="15"/>
        <v>6063000</v>
      </c>
      <c r="O15" s="58">
        <v>32000000</v>
      </c>
      <c r="P15" s="36">
        <f t="shared" si="17"/>
        <v>62699000</v>
      </c>
    </row>
    <row r="16" spans="1:16" ht="14.25" x14ac:dyDescent="0.2">
      <c r="A16" s="105" t="s">
        <v>127</v>
      </c>
      <c r="B16" s="33" t="s">
        <v>6</v>
      </c>
      <c r="C16" s="45">
        <v>12499000</v>
      </c>
      <c r="D16" s="34">
        <v>5000000</v>
      </c>
      <c r="E16" s="35">
        <f t="shared" si="16"/>
        <v>400000</v>
      </c>
      <c r="F16" s="35">
        <f t="shared" si="3"/>
        <v>75000</v>
      </c>
      <c r="G16" s="35">
        <f t="shared" si="4"/>
        <v>50000</v>
      </c>
      <c r="H16" s="35">
        <f t="shared" si="14"/>
        <v>525000</v>
      </c>
      <c r="I16" s="35">
        <f t="shared" si="6"/>
        <v>850000.00000000012</v>
      </c>
      <c r="J16" s="35">
        <f t="shared" si="7"/>
        <v>25000</v>
      </c>
      <c r="K16" s="35">
        <f t="shared" si="8"/>
        <v>150000</v>
      </c>
      <c r="L16" s="35">
        <f t="shared" si="9"/>
        <v>50000</v>
      </c>
      <c r="M16" s="35">
        <f t="shared" si="10"/>
        <v>100000</v>
      </c>
      <c r="N16" s="35">
        <f t="shared" si="15"/>
        <v>1175000</v>
      </c>
      <c r="O16" s="58">
        <v>0</v>
      </c>
      <c r="P16" s="36">
        <f t="shared" si="17"/>
        <v>11974000</v>
      </c>
    </row>
    <row r="17" spans="1:16" ht="14.25" x14ac:dyDescent="0.2">
      <c r="A17" s="105" t="s">
        <v>128</v>
      </c>
      <c r="B17" s="56" t="s">
        <v>103</v>
      </c>
      <c r="C17" s="45">
        <v>65912000</v>
      </c>
      <c r="D17" s="34">
        <v>8300000</v>
      </c>
      <c r="E17" s="35">
        <f t="shared" si="16"/>
        <v>664000</v>
      </c>
      <c r="F17" s="35">
        <f t="shared" si="3"/>
        <v>124500</v>
      </c>
      <c r="G17" s="35">
        <f t="shared" si="4"/>
        <v>83000</v>
      </c>
      <c r="H17" s="35">
        <f t="shared" ref="H17" si="18">SUM(E17:G17)</f>
        <v>871500</v>
      </c>
      <c r="I17" s="35">
        <f t="shared" si="6"/>
        <v>1411000</v>
      </c>
      <c r="J17" s="35">
        <f t="shared" si="7"/>
        <v>41500</v>
      </c>
      <c r="K17" s="35">
        <f t="shared" si="8"/>
        <v>249000</v>
      </c>
      <c r="L17" s="35">
        <f t="shared" si="9"/>
        <v>83000</v>
      </c>
      <c r="M17" s="35">
        <f t="shared" si="10"/>
        <v>166000</v>
      </c>
      <c r="N17" s="35">
        <f t="shared" si="15"/>
        <v>1950500</v>
      </c>
      <c r="O17" s="34">
        <v>0</v>
      </c>
      <c r="P17" s="36">
        <f t="shared" si="17"/>
        <v>65040500</v>
      </c>
    </row>
    <row r="18" spans="1:16" ht="14.25" x14ac:dyDescent="0.2">
      <c r="A18" s="105" t="s">
        <v>129</v>
      </c>
      <c r="B18" s="33" t="s">
        <v>70</v>
      </c>
      <c r="C18" s="45">
        <v>77872000</v>
      </c>
      <c r="D18" s="34">
        <v>14154000</v>
      </c>
      <c r="E18" s="35">
        <f>D18*$E$2</f>
        <v>1132320</v>
      </c>
      <c r="F18" s="35">
        <f t="shared" si="3"/>
        <v>212310</v>
      </c>
      <c r="G18" s="35">
        <f t="shared" si="4"/>
        <v>141540</v>
      </c>
      <c r="H18" s="35">
        <f t="shared" si="14"/>
        <v>1486170</v>
      </c>
      <c r="I18" s="35">
        <f t="shared" si="6"/>
        <v>2406180</v>
      </c>
      <c r="J18" s="35">
        <f t="shared" si="7"/>
        <v>70770</v>
      </c>
      <c r="K18" s="35">
        <f t="shared" si="8"/>
        <v>424620</v>
      </c>
      <c r="L18" s="35">
        <f t="shared" si="9"/>
        <v>141540</v>
      </c>
      <c r="M18" s="35">
        <f t="shared" si="10"/>
        <v>283080</v>
      </c>
      <c r="N18" s="35">
        <f t="shared" si="15"/>
        <v>3326190</v>
      </c>
      <c r="O18" s="34">
        <v>8000000</v>
      </c>
      <c r="P18" s="36">
        <f t="shared" si="17"/>
        <v>68385830</v>
      </c>
    </row>
    <row r="19" spans="1:16" s="25" customFormat="1" ht="14.25" x14ac:dyDescent="0.2">
      <c r="A19" s="102" t="s">
        <v>130</v>
      </c>
      <c r="B19" s="33" t="s">
        <v>71</v>
      </c>
      <c r="C19" s="63">
        <v>109117000</v>
      </c>
      <c r="D19" s="57">
        <v>19700000</v>
      </c>
      <c r="E19" s="35">
        <f t="shared" si="16"/>
        <v>1576000</v>
      </c>
      <c r="F19" s="35">
        <f t="shared" si="3"/>
        <v>295500</v>
      </c>
      <c r="G19" s="35">
        <f t="shared" si="4"/>
        <v>197000</v>
      </c>
      <c r="H19" s="35">
        <f t="shared" ref="H19" si="19">SUM(E19:G19)</f>
        <v>2068500</v>
      </c>
      <c r="I19" s="35">
        <f t="shared" si="6"/>
        <v>3349000.0000000005</v>
      </c>
      <c r="J19" s="35">
        <f t="shared" si="7"/>
        <v>98500</v>
      </c>
      <c r="K19" s="35">
        <f t="shared" si="8"/>
        <v>591000</v>
      </c>
      <c r="L19" s="35">
        <f t="shared" si="9"/>
        <v>197000</v>
      </c>
      <c r="M19" s="35">
        <f t="shared" si="10"/>
        <v>394000</v>
      </c>
      <c r="N19" s="35">
        <f t="shared" si="15"/>
        <v>4629500</v>
      </c>
      <c r="O19" s="57">
        <v>0</v>
      </c>
      <c r="P19" s="36">
        <f t="shared" si="17"/>
        <v>107048500</v>
      </c>
    </row>
    <row r="20" spans="1:16" s="32" customFormat="1" x14ac:dyDescent="0.2">
      <c r="A20" s="103"/>
      <c r="B20" s="30" t="s">
        <v>2</v>
      </c>
      <c r="C20" s="31">
        <f>SUM(C21:C32)</f>
        <v>753780891.48717928</v>
      </c>
      <c r="D20" s="31">
        <f>SUM(D21:D32)</f>
        <v>212409000</v>
      </c>
      <c r="E20" s="31">
        <f t="shared" ref="E20:I20" si="20">SUM(E21:E32)</f>
        <v>16992720</v>
      </c>
      <c r="F20" s="31">
        <f t="shared" si="20"/>
        <v>3186135</v>
      </c>
      <c r="G20" s="31">
        <f t="shared" si="20"/>
        <v>2124090</v>
      </c>
      <c r="H20" s="31">
        <f t="shared" si="20"/>
        <v>22302945</v>
      </c>
      <c r="I20" s="31">
        <f t="shared" si="20"/>
        <v>36109530</v>
      </c>
      <c r="J20" s="31">
        <f>SUM(J21:J32)</f>
        <v>1062045</v>
      </c>
      <c r="K20" s="31">
        <f t="shared" ref="K20:O20" si="21">SUM(K21:K32)</f>
        <v>6372270</v>
      </c>
      <c r="L20" s="31">
        <f t="shared" si="21"/>
        <v>2124090</v>
      </c>
      <c r="M20" s="31">
        <f t="shared" si="21"/>
        <v>4248180</v>
      </c>
      <c r="N20" s="31">
        <f t="shared" si="21"/>
        <v>49916115</v>
      </c>
      <c r="O20" s="31">
        <f t="shared" si="21"/>
        <v>136500000</v>
      </c>
      <c r="P20" s="31">
        <f>SUM(P21:P32)</f>
        <v>594977946.48717928</v>
      </c>
    </row>
    <row r="21" spans="1:16" ht="14.25" x14ac:dyDescent="0.2">
      <c r="A21" s="105" t="s">
        <v>131</v>
      </c>
      <c r="B21" s="76" t="s">
        <v>105</v>
      </c>
      <c r="C21" s="37">
        <f>80896007.6923077+2200000</f>
        <v>83096007.692307696</v>
      </c>
      <c r="D21" s="38">
        <f>8300000+4800000+5100000</f>
        <v>18200000</v>
      </c>
      <c r="E21" s="35">
        <f>D21*$E$2</f>
        <v>1456000</v>
      </c>
      <c r="F21" s="35">
        <f>D21*$F$2</f>
        <v>273000</v>
      </c>
      <c r="G21" s="35">
        <f>D21*$G$2</f>
        <v>182000</v>
      </c>
      <c r="H21" s="35">
        <f>SUM(E21:G21)</f>
        <v>1911000</v>
      </c>
      <c r="I21" s="35">
        <f>D21*$I$2</f>
        <v>3094000</v>
      </c>
      <c r="J21" s="35">
        <f t="shared" si="7"/>
        <v>91000</v>
      </c>
      <c r="K21" s="35">
        <f t="shared" si="8"/>
        <v>546000</v>
      </c>
      <c r="L21" s="35">
        <f>D21*$L$2</f>
        <v>182000</v>
      </c>
      <c r="M21" s="35">
        <f t="shared" si="10"/>
        <v>364000</v>
      </c>
      <c r="N21" s="35">
        <f t="shared" si="15"/>
        <v>4277000</v>
      </c>
      <c r="O21" s="38">
        <v>0</v>
      </c>
      <c r="P21" s="35">
        <f>C21-H21-O21</f>
        <v>81185007.692307696</v>
      </c>
    </row>
    <row r="22" spans="1:16" ht="14.25" x14ac:dyDescent="0.2">
      <c r="A22" s="105" t="s">
        <v>132</v>
      </c>
      <c r="B22" s="65" t="s">
        <v>58</v>
      </c>
      <c r="C22" s="37">
        <f>63685969.2307692+800000+400000</f>
        <v>64885969.230769202</v>
      </c>
      <c r="D22" s="38">
        <f>4800000*3</f>
        <v>14400000</v>
      </c>
      <c r="E22" s="35">
        <f>D22*$E$2</f>
        <v>1152000</v>
      </c>
      <c r="F22" s="35">
        <f>D22*$F$2</f>
        <v>216000</v>
      </c>
      <c r="G22" s="35">
        <f>D22*$G$2</f>
        <v>144000</v>
      </c>
      <c r="H22" s="35">
        <f>SUM(E22:G22)</f>
        <v>1512000</v>
      </c>
      <c r="I22" s="35">
        <f>D22*$I$2</f>
        <v>2448000</v>
      </c>
      <c r="J22" s="35">
        <f t="shared" si="7"/>
        <v>72000</v>
      </c>
      <c r="K22" s="35">
        <f t="shared" si="8"/>
        <v>432000</v>
      </c>
      <c r="L22" s="35">
        <f>D22*$L$2</f>
        <v>144000</v>
      </c>
      <c r="M22" s="35">
        <f t="shared" si="10"/>
        <v>288000</v>
      </c>
      <c r="N22" s="35">
        <f t="shared" si="15"/>
        <v>3384000</v>
      </c>
      <c r="O22" s="38">
        <v>0</v>
      </c>
      <c r="P22" s="35">
        <f>C22-H22-O22</f>
        <v>63373969.230769202</v>
      </c>
    </row>
    <row r="23" spans="1:16" ht="14.25" x14ac:dyDescent="0.2">
      <c r="A23" s="105" t="s">
        <v>133</v>
      </c>
      <c r="B23" s="65" t="s">
        <v>62</v>
      </c>
      <c r="C23" s="37">
        <f>97089561.5384615+800000</f>
        <v>97889561.538461506</v>
      </c>
      <c r="D23" s="38">
        <f>5100000+4800000*2</f>
        <v>14700000</v>
      </c>
      <c r="E23" s="35">
        <f t="shared" ref="E23:E31" si="22">D23*$E$2</f>
        <v>1176000</v>
      </c>
      <c r="F23" s="35">
        <f t="shared" ref="F23:F31" si="23">D23*$F$2</f>
        <v>220500</v>
      </c>
      <c r="G23" s="35">
        <f t="shared" ref="G23:G31" si="24">D23*$G$2</f>
        <v>147000</v>
      </c>
      <c r="H23" s="35">
        <f t="shared" ref="H23:H26" si="25">SUM(E23:G23)</f>
        <v>1543500</v>
      </c>
      <c r="I23" s="35">
        <f t="shared" ref="I23:I31" si="26">D23*$I$2</f>
        <v>2499000</v>
      </c>
      <c r="J23" s="35">
        <f t="shared" si="7"/>
        <v>73500</v>
      </c>
      <c r="K23" s="35">
        <f t="shared" si="8"/>
        <v>441000</v>
      </c>
      <c r="L23" s="35">
        <f t="shared" ref="L23:L31" si="27">D23*$L$2</f>
        <v>147000</v>
      </c>
      <c r="M23" s="35">
        <f t="shared" si="10"/>
        <v>294000</v>
      </c>
      <c r="N23" s="35">
        <f t="shared" si="15"/>
        <v>3454500</v>
      </c>
      <c r="O23" s="38">
        <v>0</v>
      </c>
      <c r="P23" s="35">
        <f>C23-H23-O23</f>
        <v>96346061.538461506</v>
      </c>
    </row>
    <row r="24" spans="1:16" ht="14.25" x14ac:dyDescent="0.2">
      <c r="A24" s="105" t="s">
        <v>134</v>
      </c>
      <c r="B24" s="65" t="s">
        <v>59</v>
      </c>
      <c r="C24" s="37">
        <f>70617692.3076923+1200000</f>
        <v>71817692.307692304</v>
      </c>
      <c r="D24" s="38">
        <f>4800000*4</f>
        <v>19200000</v>
      </c>
      <c r="E24" s="35">
        <f t="shared" si="22"/>
        <v>1536000</v>
      </c>
      <c r="F24" s="35">
        <f t="shared" si="23"/>
        <v>288000</v>
      </c>
      <c r="G24" s="35">
        <f t="shared" si="24"/>
        <v>192000</v>
      </c>
      <c r="H24" s="35">
        <f t="shared" si="25"/>
        <v>2016000</v>
      </c>
      <c r="I24" s="35">
        <f t="shared" si="26"/>
        <v>3264000.0000000005</v>
      </c>
      <c r="J24" s="35">
        <f t="shared" si="7"/>
        <v>96000</v>
      </c>
      <c r="K24" s="35">
        <f t="shared" si="8"/>
        <v>576000</v>
      </c>
      <c r="L24" s="35">
        <f t="shared" si="27"/>
        <v>192000</v>
      </c>
      <c r="M24" s="35">
        <f t="shared" si="10"/>
        <v>384000</v>
      </c>
      <c r="N24" s="35">
        <f t="shared" si="15"/>
        <v>4512000</v>
      </c>
      <c r="O24" s="38">
        <v>0</v>
      </c>
      <c r="P24" s="35">
        <f t="shared" ref="P24:P31" si="28">C24-H24-O24</f>
        <v>69801692.307692304</v>
      </c>
    </row>
    <row r="25" spans="1:16" ht="14.25" x14ac:dyDescent="0.2">
      <c r="A25" s="105" t="s">
        <v>135</v>
      </c>
      <c r="B25" s="65" t="s">
        <v>60</v>
      </c>
      <c r="C25" s="92">
        <f>36098307.6923077+800000</f>
        <v>36898307.692307703</v>
      </c>
      <c r="D25" s="38">
        <v>0</v>
      </c>
      <c r="E25" s="35">
        <f t="shared" si="22"/>
        <v>0</v>
      </c>
      <c r="F25" s="35">
        <f t="shared" si="23"/>
        <v>0</v>
      </c>
      <c r="G25" s="35">
        <f t="shared" si="24"/>
        <v>0</v>
      </c>
      <c r="H25" s="35">
        <f t="shared" si="25"/>
        <v>0</v>
      </c>
      <c r="I25" s="35">
        <f t="shared" si="26"/>
        <v>0</v>
      </c>
      <c r="J25" s="35">
        <f t="shared" si="7"/>
        <v>0</v>
      </c>
      <c r="K25" s="35">
        <f t="shared" si="8"/>
        <v>0</v>
      </c>
      <c r="L25" s="35">
        <f t="shared" si="27"/>
        <v>0</v>
      </c>
      <c r="M25" s="35">
        <f t="shared" si="10"/>
        <v>0</v>
      </c>
      <c r="N25" s="35">
        <f t="shared" si="15"/>
        <v>0</v>
      </c>
      <c r="O25" s="38">
        <v>0</v>
      </c>
      <c r="P25" s="35">
        <f t="shared" si="28"/>
        <v>36898307.692307703</v>
      </c>
    </row>
    <row r="26" spans="1:16" ht="14.25" x14ac:dyDescent="0.2">
      <c r="A26" s="105" t="s">
        <v>136</v>
      </c>
      <c r="B26" s="65" t="s">
        <v>61</v>
      </c>
      <c r="C26" s="37">
        <f>43568961.5384615+400000</f>
        <v>43968961.538461499</v>
      </c>
      <c r="D26" s="38">
        <v>14700000</v>
      </c>
      <c r="E26" s="35">
        <f t="shared" si="22"/>
        <v>1176000</v>
      </c>
      <c r="F26" s="35">
        <f t="shared" si="23"/>
        <v>220500</v>
      </c>
      <c r="G26" s="35">
        <f t="shared" si="24"/>
        <v>147000</v>
      </c>
      <c r="H26" s="35">
        <f t="shared" si="25"/>
        <v>1543500</v>
      </c>
      <c r="I26" s="35">
        <f t="shared" si="26"/>
        <v>2499000</v>
      </c>
      <c r="J26" s="35">
        <f t="shared" si="7"/>
        <v>73500</v>
      </c>
      <c r="K26" s="35">
        <f t="shared" si="8"/>
        <v>441000</v>
      </c>
      <c r="L26" s="35">
        <f t="shared" si="27"/>
        <v>147000</v>
      </c>
      <c r="M26" s="35">
        <f t="shared" si="10"/>
        <v>294000</v>
      </c>
      <c r="N26" s="35">
        <f t="shared" si="15"/>
        <v>3454500</v>
      </c>
      <c r="O26" s="38">
        <v>0</v>
      </c>
      <c r="P26" s="35">
        <f t="shared" si="28"/>
        <v>42425461.538461499</v>
      </c>
    </row>
    <row r="27" spans="1:16" ht="14.25" x14ac:dyDescent="0.2">
      <c r="A27" s="105" t="s">
        <v>137</v>
      </c>
      <c r="B27" s="76" t="s">
        <v>106</v>
      </c>
      <c r="C27" s="37">
        <f>45164683.4615385+1000000</f>
        <v>46164683.461538501</v>
      </c>
      <c r="D27" s="38">
        <v>15000000</v>
      </c>
      <c r="E27" s="35">
        <f t="shared" si="22"/>
        <v>1200000</v>
      </c>
      <c r="F27" s="35">
        <f t="shared" si="23"/>
        <v>225000</v>
      </c>
      <c r="G27" s="35">
        <f t="shared" si="24"/>
        <v>150000</v>
      </c>
      <c r="H27" s="35">
        <f t="shared" ref="H27:H31" si="29">SUM(E27:G27)</f>
        <v>1575000</v>
      </c>
      <c r="I27" s="35">
        <f t="shared" si="26"/>
        <v>2550000</v>
      </c>
      <c r="J27" s="35">
        <f t="shared" si="7"/>
        <v>75000</v>
      </c>
      <c r="K27" s="35">
        <f t="shared" si="8"/>
        <v>450000</v>
      </c>
      <c r="L27" s="35">
        <f t="shared" si="27"/>
        <v>150000</v>
      </c>
      <c r="M27" s="35">
        <f t="shared" si="10"/>
        <v>300000</v>
      </c>
      <c r="N27" s="35">
        <f t="shared" ref="N27" si="30">SUM(I27:M27)</f>
        <v>3525000</v>
      </c>
      <c r="O27" s="38">
        <v>23500000</v>
      </c>
      <c r="P27" s="35">
        <f t="shared" si="28"/>
        <v>21089683.461538501</v>
      </c>
    </row>
    <row r="28" spans="1:16" ht="14.25" x14ac:dyDescent="0.2">
      <c r="A28" s="105" t="s">
        <v>138</v>
      </c>
      <c r="B28" s="65" t="s">
        <v>22</v>
      </c>
      <c r="C28" s="37">
        <f>100494779.102564+1600000</f>
        <v>102094779.10256401</v>
      </c>
      <c r="D28" s="38">
        <v>28800000</v>
      </c>
      <c r="E28" s="35">
        <f t="shared" si="22"/>
        <v>2304000</v>
      </c>
      <c r="F28" s="35">
        <f t="shared" si="23"/>
        <v>432000</v>
      </c>
      <c r="G28" s="35">
        <f t="shared" si="24"/>
        <v>288000</v>
      </c>
      <c r="H28" s="35">
        <f t="shared" si="29"/>
        <v>3024000</v>
      </c>
      <c r="I28" s="35">
        <f t="shared" si="26"/>
        <v>4896000</v>
      </c>
      <c r="J28" s="35">
        <f t="shared" si="7"/>
        <v>144000</v>
      </c>
      <c r="K28" s="35">
        <f t="shared" si="8"/>
        <v>864000</v>
      </c>
      <c r="L28" s="35">
        <f t="shared" si="27"/>
        <v>288000</v>
      </c>
      <c r="M28" s="35">
        <f t="shared" si="10"/>
        <v>576000</v>
      </c>
      <c r="N28" s="35">
        <f t="shared" si="15"/>
        <v>6768000</v>
      </c>
      <c r="O28" s="38">
        <v>35000000</v>
      </c>
      <c r="P28" s="35">
        <f t="shared" si="28"/>
        <v>64070779.102564007</v>
      </c>
    </row>
    <row r="29" spans="1:16" ht="14.25" x14ac:dyDescent="0.2">
      <c r="A29" s="105" t="s">
        <v>139</v>
      </c>
      <c r="B29" s="76" t="s">
        <v>107</v>
      </c>
      <c r="C29" s="37">
        <f>23326107.3076923+400000</f>
        <v>23726107.307692301</v>
      </c>
      <c r="D29" s="38">
        <v>9600000</v>
      </c>
      <c r="E29" s="35">
        <f t="shared" si="22"/>
        <v>768000</v>
      </c>
      <c r="F29" s="35">
        <f t="shared" si="23"/>
        <v>144000</v>
      </c>
      <c r="G29" s="35">
        <f t="shared" si="24"/>
        <v>96000</v>
      </c>
      <c r="H29" s="35">
        <f t="shared" si="29"/>
        <v>1008000</v>
      </c>
      <c r="I29" s="35">
        <f t="shared" si="26"/>
        <v>1632000.0000000002</v>
      </c>
      <c r="J29" s="35">
        <f t="shared" si="7"/>
        <v>48000</v>
      </c>
      <c r="K29" s="35">
        <f t="shared" si="8"/>
        <v>288000</v>
      </c>
      <c r="L29" s="35">
        <f t="shared" si="27"/>
        <v>96000</v>
      </c>
      <c r="M29" s="35">
        <f t="shared" si="10"/>
        <v>192000</v>
      </c>
      <c r="N29" s="35">
        <f t="shared" ref="N29" si="31">SUM(I29:M29)</f>
        <v>2256000</v>
      </c>
      <c r="O29" s="38">
        <v>8000000</v>
      </c>
      <c r="P29" s="35">
        <f t="shared" si="28"/>
        <v>14718107.307692301</v>
      </c>
    </row>
    <row r="30" spans="1:16" ht="14.25" x14ac:dyDescent="0.2">
      <c r="A30" s="105" t="s">
        <v>140</v>
      </c>
      <c r="B30" s="65" t="s">
        <v>23</v>
      </c>
      <c r="C30" s="37">
        <f>110767324.846154+1400000</f>
        <v>112167324.846154</v>
      </c>
      <c r="D30" s="38">
        <v>45770000</v>
      </c>
      <c r="E30" s="35">
        <f t="shared" si="22"/>
        <v>3661600</v>
      </c>
      <c r="F30" s="35">
        <f t="shared" si="23"/>
        <v>686550</v>
      </c>
      <c r="G30" s="35">
        <f t="shared" si="24"/>
        <v>457700</v>
      </c>
      <c r="H30" s="35">
        <f t="shared" si="29"/>
        <v>4805850</v>
      </c>
      <c r="I30" s="35">
        <f t="shared" si="26"/>
        <v>7780900.0000000009</v>
      </c>
      <c r="J30" s="35">
        <f t="shared" si="7"/>
        <v>228850</v>
      </c>
      <c r="K30" s="35">
        <f t="shared" si="8"/>
        <v>1373100</v>
      </c>
      <c r="L30" s="35">
        <f t="shared" si="27"/>
        <v>457700</v>
      </c>
      <c r="M30" s="35">
        <f t="shared" si="10"/>
        <v>915400</v>
      </c>
      <c r="N30" s="35">
        <f t="shared" si="15"/>
        <v>10755950</v>
      </c>
      <c r="O30" s="38">
        <v>46000000</v>
      </c>
      <c r="P30" s="35">
        <f t="shared" si="28"/>
        <v>61361474.846154004</v>
      </c>
    </row>
    <row r="31" spans="1:16" ht="14.25" x14ac:dyDescent="0.2">
      <c r="A31" s="105" t="s">
        <v>141</v>
      </c>
      <c r="B31" s="76" t="s">
        <v>108</v>
      </c>
      <c r="C31" s="37">
        <f>15804871.5384615+200000</f>
        <v>16004871.538461501</v>
      </c>
      <c r="D31" s="38">
        <v>4577000</v>
      </c>
      <c r="E31" s="35">
        <f t="shared" si="22"/>
        <v>366160</v>
      </c>
      <c r="F31" s="35">
        <f t="shared" si="23"/>
        <v>68655</v>
      </c>
      <c r="G31" s="35">
        <f t="shared" si="24"/>
        <v>45770</v>
      </c>
      <c r="H31" s="35">
        <f t="shared" si="29"/>
        <v>480585</v>
      </c>
      <c r="I31" s="35">
        <f t="shared" si="26"/>
        <v>778090</v>
      </c>
      <c r="J31" s="35">
        <f t="shared" si="7"/>
        <v>22885</v>
      </c>
      <c r="K31" s="35">
        <f t="shared" si="8"/>
        <v>137310</v>
      </c>
      <c r="L31" s="35">
        <f t="shared" si="27"/>
        <v>45770</v>
      </c>
      <c r="M31" s="35">
        <f t="shared" si="10"/>
        <v>91540</v>
      </c>
      <c r="N31" s="35">
        <f t="shared" ref="N31" si="32">SUM(I31:M31)</f>
        <v>1075595</v>
      </c>
      <c r="O31" s="38">
        <v>6000000</v>
      </c>
      <c r="P31" s="35">
        <f t="shared" si="28"/>
        <v>9524286.5384615008</v>
      </c>
    </row>
    <row r="32" spans="1:16" ht="14.25" x14ac:dyDescent="0.2">
      <c r="A32" s="105" t="s">
        <v>142</v>
      </c>
      <c r="B32" s="65" t="s">
        <v>3</v>
      </c>
      <c r="C32" s="37">
        <f>54366625.2307692+700000</f>
        <v>55066625.230769202</v>
      </c>
      <c r="D32" s="38">
        <v>27462000</v>
      </c>
      <c r="E32" s="35">
        <f>D32*$E$2</f>
        <v>2196960</v>
      </c>
      <c r="F32" s="35">
        <f>D32*$F$2</f>
        <v>411930</v>
      </c>
      <c r="G32" s="35">
        <f>D32*$G$2</f>
        <v>274620</v>
      </c>
      <c r="H32" s="35">
        <f>SUM(E32:G32)</f>
        <v>2883510</v>
      </c>
      <c r="I32" s="35">
        <f>D32*$I$2</f>
        <v>4668540</v>
      </c>
      <c r="J32" s="35">
        <f>D32*$J$2</f>
        <v>137310</v>
      </c>
      <c r="K32" s="35">
        <f>D32*$K$2</f>
        <v>823860</v>
      </c>
      <c r="L32" s="35">
        <f>D32*$L$2</f>
        <v>274620</v>
      </c>
      <c r="M32" s="35">
        <f>D32*$M$2</f>
        <v>549240</v>
      </c>
      <c r="N32" s="35">
        <f>SUM(I32:M32)</f>
        <v>6453570</v>
      </c>
      <c r="O32" s="38">
        <v>18000000</v>
      </c>
      <c r="P32" s="35">
        <f>C32-H32-O32</f>
        <v>34183115.230769202</v>
      </c>
    </row>
    <row r="33" spans="1:16" s="32" customFormat="1" x14ac:dyDescent="0.2">
      <c r="A33" s="103"/>
      <c r="B33" s="30" t="s">
        <v>24</v>
      </c>
      <c r="C33" s="31">
        <f>SUM(C34:C37)</f>
        <v>1428524751.7841783</v>
      </c>
      <c r="D33" s="31">
        <f t="shared" ref="D33:O33" si="33">SUM(D34:D37)</f>
        <v>448143000</v>
      </c>
      <c r="E33" s="31">
        <f t="shared" si="33"/>
        <v>35851440</v>
      </c>
      <c r="F33" s="31">
        <f t="shared" si="33"/>
        <v>6722145</v>
      </c>
      <c r="G33" s="31">
        <f t="shared" si="33"/>
        <v>4481430</v>
      </c>
      <c r="H33" s="31">
        <f t="shared" si="33"/>
        <v>47055015</v>
      </c>
      <c r="I33" s="31">
        <f t="shared" si="33"/>
        <v>76184310</v>
      </c>
      <c r="J33" s="31">
        <f>SUM(J34:J37)</f>
        <v>2240715</v>
      </c>
      <c r="K33" s="31">
        <f t="shared" si="33"/>
        <v>13444290</v>
      </c>
      <c r="L33" s="31">
        <f t="shared" si="33"/>
        <v>4481430</v>
      </c>
      <c r="M33" s="31">
        <f t="shared" si="33"/>
        <v>8962860</v>
      </c>
      <c r="N33" s="31">
        <f t="shared" si="33"/>
        <v>105313605</v>
      </c>
      <c r="O33" s="31">
        <f t="shared" si="33"/>
        <v>360500000</v>
      </c>
      <c r="P33" s="31">
        <f>SUM(P34:P37)</f>
        <v>1020969736.7841781</v>
      </c>
    </row>
    <row r="34" spans="1:16" ht="51.75" x14ac:dyDescent="0.25">
      <c r="A34" s="105" t="s">
        <v>143</v>
      </c>
      <c r="B34" s="40" t="s">
        <v>148</v>
      </c>
      <c r="C34" s="41">
        <f>662019632.260155+14424708</f>
        <v>676444340.26015496</v>
      </c>
      <c r="D34" s="42">
        <f>282425000+5000000-D35</f>
        <v>200462000</v>
      </c>
      <c r="E34" s="35">
        <f>D34*$E$2</f>
        <v>16036960</v>
      </c>
      <c r="F34" s="35">
        <f>D34*$F$2</f>
        <v>3006930</v>
      </c>
      <c r="G34" s="35">
        <f>D34*$G$2</f>
        <v>2004620</v>
      </c>
      <c r="H34" s="35">
        <f>SUM(E34:G34)</f>
        <v>21048510</v>
      </c>
      <c r="I34" s="35">
        <f>D34*$I$2</f>
        <v>34078540</v>
      </c>
      <c r="J34" s="35">
        <f t="shared" si="7"/>
        <v>1002310</v>
      </c>
      <c r="K34" s="35">
        <f t="shared" si="8"/>
        <v>6013860</v>
      </c>
      <c r="L34" s="35">
        <f>D34*$L$2</f>
        <v>2004620</v>
      </c>
      <c r="M34" s="35">
        <f t="shared" si="10"/>
        <v>4009240</v>
      </c>
      <c r="N34" s="35">
        <f>SUM(I34:M34)</f>
        <v>47108570</v>
      </c>
      <c r="O34" s="42">
        <f>165000000+5000000</f>
        <v>170000000</v>
      </c>
      <c r="P34" s="36">
        <f>C34-H34-O34</f>
        <v>485395830.26015496</v>
      </c>
    </row>
    <row r="35" spans="1:16" ht="14.25" x14ac:dyDescent="0.25">
      <c r="A35" s="105" t="s">
        <v>144</v>
      </c>
      <c r="B35" s="33" t="s">
        <v>146</v>
      </c>
      <c r="C35" s="43">
        <v>195322276.08238491</v>
      </c>
      <c r="D35" s="42">
        <v>86963000</v>
      </c>
      <c r="E35" s="35">
        <f>D35*$E$2</f>
        <v>6957040</v>
      </c>
      <c r="F35" s="35">
        <f>D35*$F$2</f>
        <v>1304445</v>
      </c>
      <c r="G35" s="35">
        <f>D35*$G$2</f>
        <v>869630</v>
      </c>
      <c r="H35" s="35">
        <f>SUM(E35:G35)</f>
        <v>9131115</v>
      </c>
      <c r="I35" s="35">
        <f>D35*$I$2</f>
        <v>14783710.000000002</v>
      </c>
      <c r="J35" s="35">
        <f>D35*$J$2</f>
        <v>434815</v>
      </c>
      <c r="K35" s="35">
        <f>D35*$K$2</f>
        <v>2608890</v>
      </c>
      <c r="L35" s="35">
        <f>D35*$L$2</f>
        <v>869630</v>
      </c>
      <c r="M35" s="35">
        <f t="shared" ref="M35" si="34">D35*$M$2</f>
        <v>1739260</v>
      </c>
      <c r="N35" s="35">
        <f>SUM(I35:M35)</f>
        <v>20436305</v>
      </c>
      <c r="O35" s="42">
        <v>47500000</v>
      </c>
      <c r="P35" s="36">
        <f>C35-H35-O35</f>
        <v>138691161.08238491</v>
      </c>
    </row>
    <row r="36" spans="1:16" ht="14.25" x14ac:dyDescent="0.25">
      <c r="A36" s="105" t="s">
        <v>144</v>
      </c>
      <c r="B36" s="33" t="s">
        <v>41</v>
      </c>
      <c r="C36" s="43">
        <v>272501632.41679853</v>
      </c>
      <c r="D36" s="42">
        <v>68655000</v>
      </c>
      <c r="E36" s="35">
        <f>D36*$E$2</f>
        <v>5492400</v>
      </c>
      <c r="F36" s="35">
        <f>D36*$F$2</f>
        <v>1029825</v>
      </c>
      <c r="G36" s="35">
        <f>D36*$G$2</f>
        <v>686550</v>
      </c>
      <c r="H36" s="35">
        <f>SUM(E36:G36)</f>
        <v>7208775</v>
      </c>
      <c r="I36" s="35">
        <f>D36*$I$2</f>
        <v>11671350</v>
      </c>
      <c r="J36" s="35">
        <f>D36*$J$2</f>
        <v>343275</v>
      </c>
      <c r="K36" s="35">
        <f>D36*$K$2</f>
        <v>2059650</v>
      </c>
      <c r="L36" s="35">
        <f>D36*$L$2</f>
        <v>686550</v>
      </c>
      <c r="M36" s="35">
        <f t="shared" si="10"/>
        <v>1373100</v>
      </c>
      <c r="N36" s="35">
        <f>SUM(I36:M36)</f>
        <v>16133925</v>
      </c>
      <c r="O36" s="42">
        <v>80000000</v>
      </c>
      <c r="P36" s="36">
        <f>C36-H36-O36</f>
        <v>185292857.41679853</v>
      </c>
    </row>
    <row r="37" spans="1:16" ht="14.25" x14ac:dyDescent="0.25">
      <c r="A37" s="105" t="s">
        <v>145</v>
      </c>
      <c r="B37" s="33" t="s">
        <v>42</v>
      </c>
      <c r="C37" s="41">
        <v>284256503.02483976</v>
      </c>
      <c r="D37" s="42">
        <v>92063000</v>
      </c>
      <c r="E37" s="35">
        <f t="shared" ref="E37" si="35">D37*$E$2</f>
        <v>7365040</v>
      </c>
      <c r="F37" s="35">
        <f t="shared" ref="F37" si="36">D37*$F$2</f>
        <v>1380945</v>
      </c>
      <c r="G37" s="35">
        <f t="shared" ref="G37" si="37">D37*$G$2</f>
        <v>920630</v>
      </c>
      <c r="H37" s="35">
        <f t="shared" ref="H37" si="38">SUM(E37:G37)</f>
        <v>9666615</v>
      </c>
      <c r="I37" s="35">
        <f t="shared" ref="I37" si="39">D37*$I$2</f>
        <v>15650710.000000002</v>
      </c>
      <c r="J37" s="35">
        <f t="shared" si="7"/>
        <v>460315</v>
      </c>
      <c r="K37" s="35">
        <f t="shared" si="8"/>
        <v>2761890</v>
      </c>
      <c r="L37" s="35">
        <f t="shared" ref="L37" si="40">D37*$L$2</f>
        <v>920630</v>
      </c>
      <c r="M37" s="35">
        <f t="shared" si="10"/>
        <v>1841260</v>
      </c>
      <c r="N37" s="35">
        <f>SUM(I37:M37)</f>
        <v>21634805</v>
      </c>
      <c r="O37" s="42">
        <v>63000000</v>
      </c>
      <c r="P37" s="54">
        <f>C37-H37-O37</f>
        <v>211589888.02483976</v>
      </c>
    </row>
    <row r="38" spans="1:16" x14ac:dyDescent="0.2">
      <c r="B38" s="29" t="s">
        <v>4</v>
      </c>
      <c r="C38" s="28">
        <f t="shared" ref="C38:O38" si="41">+C4+C20+C33</f>
        <v>3340550253.8611012</v>
      </c>
      <c r="D38" s="28">
        <f t="shared" si="41"/>
        <v>890583000</v>
      </c>
      <c r="E38" s="28">
        <f t="shared" si="41"/>
        <v>70582640</v>
      </c>
      <c r="F38" s="28">
        <f t="shared" si="41"/>
        <v>13234245</v>
      </c>
      <c r="G38" s="28">
        <f t="shared" si="41"/>
        <v>8822830</v>
      </c>
      <c r="H38" s="28">
        <f t="shared" si="41"/>
        <v>92639715</v>
      </c>
      <c r="I38" s="28">
        <f t="shared" si="41"/>
        <v>149988110</v>
      </c>
      <c r="J38" s="28">
        <f t="shared" si="41"/>
        <v>4452915</v>
      </c>
      <c r="K38" s="28">
        <f t="shared" si="41"/>
        <v>26468490</v>
      </c>
      <c r="L38" s="28">
        <f t="shared" si="41"/>
        <v>8822830</v>
      </c>
      <c r="M38" s="28">
        <f t="shared" si="41"/>
        <v>17645660</v>
      </c>
      <c r="N38" s="28">
        <f t="shared" si="41"/>
        <v>207378005</v>
      </c>
      <c r="O38" s="28">
        <f t="shared" si="41"/>
        <v>550000000</v>
      </c>
      <c r="P38" s="28">
        <f>+P4+P20+P33</f>
        <v>2697910538.8611012</v>
      </c>
    </row>
    <row r="39" spans="1:16" ht="14.25" customHeight="1" x14ac:dyDescent="0.2">
      <c r="M39" s="39"/>
      <c r="N39" s="39"/>
      <c r="P39" s="74">
        <v>2697916000</v>
      </c>
    </row>
    <row r="40" spans="1:16" x14ac:dyDescent="0.2">
      <c r="P40" s="39"/>
    </row>
    <row r="41" spans="1:16" x14ac:dyDescent="0.2">
      <c r="B41" s="25"/>
      <c r="C41" s="102"/>
    </row>
    <row r="42" spans="1:16" x14ac:dyDescent="0.2">
      <c r="B42" s="25"/>
      <c r="C42" s="102"/>
      <c r="M42" s="25"/>
      <c r="N42" s="74"/>
      <c r="O42" s="74"/>
      <c r="P42" s="74"/>
    </row>
    <row r="43" spans="1:16" x14ac:dyDescent="0.2">
      <c r="B43" s="25"/>
      <c r="C43" s="102"/>
      <c r="M43" s="25"/>
      <c r="N43" s="74"/>
      <c r="O43" s="74"/>
      <c r="P43" s="74"/>
    </row>
    <row r="44" spans="1:16" x14ac:dyDescent="0.2">
      <c r="B44" s="25"/>
      <c r="C44" s="102"/>
      <c r="M44" s="25"/>
      <c r="N44" s="74"/>
      <c r="O44" s="74"/>
      <c r="P44" s="74"/>
    </row>
    <row r="45" spans="1:16" x14ac:dyDescent="0.2">
      <c r="B45" s="25"/>
      <c r="C45" s="102"/>
      <c r="M45" s="25"/>
      <c r="N45" s="74"/>
      <c r="O45" s="74"/>
      <c r="P45" s="74"/>
    </row>
    <row r="46" spans="1:16" x14ac:dyDescent="0.2">
      <c r="B46" s="25"/>
      <c r="C46" s="102"/>
      <c r="M46" s="25"/>
      <c r="N46" s="74"/>
      <c r="O46" s="74"/>
      <c r="P46" s="74"/>
    </row>
    <row r="47" spans="1:16" x14ac:dyDescent="0.2">
      <c r="B47" s="25"/>
      <c r="C47" s="102"/>
    </row>
    <row r="48" spans="1:16" x14ac:dyDescent="0.2">
      <c r="B48" s="25"/>
      <c r="C48" s="102"/>
    </row>
    <row r="49" spans="2:16" x14ac:dyDescent="0.2">
      <c r="B49" s="25"/>
      <c r="C49" s="102"/>
    </row>
    <row r="50" spans="2:16" x14ac:dyDescent="0.2">
      <c r="B50" s="25"/>
      <c r="C50" s="102"/>
    </row>
    <row r="51" spans="2:16" x14ac:dyDescent="0.2">
      <c r="B51" s="25"/>
      <c r="C51" s="102"/>
    </row>
    <row r="52" spans="2:16" x14ac:dyDescent="0.2">
      <c r="B52" s="25"/>
      <c r="C52" s="102"/>
    </row>
    <row r="54" spans="2:16" x14ac:dyDescent="0.2">
      <c r="B54" s="107"/>
      <c r="C54" s="107"/>
      <c r="D54" s="107"/>
    </row>
    <row r="55" spans="2:16" x14ac:dyDescent="0.2">
      <c r="B55" s="107"/>
      <c r="C55" s="107"/>
      <c r="D55" s="107"/>
    </row>
    <row r="56" spans="2:16" x14ac:dyDescent="0.2">
      <c r="B56" s="39"/>
    </row>
    <row r="63" spans="2:16" x14ac:dyDescent="0.2">
      <c r="N63" s="98"/>
      <c r="O63" s="98"/>
      <c r="P63" s="98"/>
    </row>
    <row r="65" spans="14:15" x14ac:dyDescent="0.2">
      <c r="N65" s="32"/>
      <c r="O65" s="32"/>
    </row>
    <row r="66" spans="14:15" x14ac:dyDescent="0.2">
      <c r="N66" s="32"/>
      <c r="O66" s="32"/>
    </row>
    <row r="67" spans="14:15" x14ac:dyDescent="0.2">
      <c r="N67" s="32"/>
      <c r="O67" s="3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tabSelected="1" zoomScale="85" zoomScaleNormal="85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P42" sqref="P42"/>
    </sheetView>
  </sheetViews>
  <sheetFormatPr defaultColWidth="36.42578125" defaultRowHeight="15" x14ac:dyDescent="0.2"/>
  <cols>
    <col min="1" max="1" width="3.28515625" style="24" customWidth="1"/>
    <col min="2" max="2" width="33.5703125" style="24" customWidth="1"/>
    <col min="3" max="3" width="14.28515625" style="106" customWidth="1"/>
    <col min="4" max="4" width="14.85546875" style="24" customWidth="1"/>
    <col min="5" max="8" width="12" style="24" customWidth="1"/>
    <col min="9" max="9" width="13.42578125" style="24" customWidth="1"/>
    <col min="10" max="10" width="11.42578125" style="24" customWidth="1"/>
    <col min="11" max="11" width="13" style="24" customWidth="1"/>
    <col min="12" max="12" width="11.85546875" style="24" customWidth="1"/>
    <col min="13" max="13" width="12.28515625" style="24" customWidth="1"/>
    <col min="14" max="14" width="12.7109375" style="24" customWidth="1"/>
    <col min="15" max="15" width="12.42578125" style="24" customWidth="1"/>
    <col min="16" max="16" width="16.28515625" style="24" customWidth="1"/>
    <col min="17" max="17" width="12.28515625" style="24" customWidth="1"/>
    <col min="18" max="18" width="19.28515625" style="24" customWidth="1"/>
    <col min="19" max="19" width="23" style="24" customWidth="1"/>
    <col min="20" max="16384" width="36.42578125" style="24"/>
  </cols>
  <sheetData>
    <row r="1" spans="1:16" ht="12.75" x14ac:dyDescent="0.2">
      <c r="B1" s="20"/>
      <c r="C1" s="21"/>
      <c r="D1" s="20"/>
      <c r="E1" s="20"/>
      <c r="F1" s="20"/>
      <c r="G1" s="20"/>
      <c r="H1" s="22">
        <f>SUM(E2:G2)</f>
        <v>0.105</v>
      </c>
      <c r="I1" s="23"/>
      <c r="J1" s="23"/>
      <c r="K1" s="20" t="s">
        <v>21</v>
      </c>
      <c r="L1" s="22">
        <f>SUM(I2:L2)</f>
        <v>0.21500000000000002</v>
      </c>
      <c r="M1" s="20"/>
      <c r="N1" s="20"/>
      <c r="O1" s="20"/>
      <c r="P1" s="20"/>
    </row>
    <row r="2" spans="1:16" ht="12.75" x14ac:dyDescent="0.2">
      <c r="B2" s="20"/>
      <c r="C2" s="21"/>
      <c r="D2" s="20"/>
      <c r="E2" s="47">
        <v>0.08</v>
      </c>
      <c r="F2" s="48">
        <v>1.4999999999999999E-2</v>
      </c>
      <c r="G2" s="47">
        <v>0.01</v>
      </c>
      <c r="H2" s="49"/>
      <c r="I2" s="50">
        <v>0.17</v>
      </c>
      <c r="J2" s="50">
        <v>5.0000000000000001E-3</v>
      </c>
      <c r="K2" s="51">
        <v>0.03</v>
      </c>
      <c r="L2" s="51">
        <v>0.01</v>
      </c>
      <c r="M2" s="26">
        <v>0.02</v>
      </c>
      <c r="N2" s="20">
        <f>SUM(I2:M2)</f>
        <v>0.23500000000000001</v>
      </c>
      <c r="O2" s="20"/>
      <c r="P2" s="20"/>
    </row>
    <row r="3" spans="1:16" ht="12.75" x14ac:dyDescent="0.2">
      <c r="B3" s="27" t="s">
        <v>64</v>
      </c>
      <c r="C3" s="28" t="s">
        <v>17</v>
      </c>
      <c r="D3" s="29" t="s">
        <v>8</v>
      </c>
      <c r="E3" s="29" t="s">
        <v>9</v>
      </c>
      <c r="F3" s="29" t="s">
        <v>10</v>
      </c>
      <c r="G3" s="29" t="s">
        <v>11</v>
      </c>
      <c r="H3" s="29" t="s">
        <v>16</v>
      </c>
      <c r="I3" s="29" t="s">
        <v>12</v>
      </c>
      <c r="J3" s="29" t="s">
        <v>40</v>
      </c>
      <c r="K3" s="29" t="s">
        <v>13</v>
      </c>
      <c r="L3" s="29" t="s">
        <v>14</v>
      </c>
      <c r="M3" s="29" t="s">
        <v>15</v>
      </c>
      <c r="N3" s="29" t="s">
        <v>26</v>
      </c>
      <c r="O3" s="29" t="s">
        <v>0</v>
      </c>
      <c r="P3" s="29" t="s">
        <v>18</v>
      </c>
    </row>
    <row r="4" spans="1:16" s="32" customFormat="1" ht="12.75" x14ac:dyDescent="0.2">
      <c r="B4" s="30" t="s">
        <v>1</v>
      </c>
      <c r="C4" s="31">
        <f>C5+C6+C11+C12+C13+C14+C15+C16+C17+C18+C19</f>
        <v>1075408588.4615383</v>
      </c>
      <c r="D4" s="31">
        <f>D5+D6+D11+D12+D13+D14+D15+D16+D17+D18+D19</f>
        <v>225677000</v>
      </c>
      <c r="E4" s="31">
        <f t="shared" ref="E4:O4" si="0">E5+E6+E11+E12+E13+E14+E15+E16+E17+E18+E19</f>
        <v>17390160</v>
      </c>
      <c r="F4" s="31">
        <f t="shared" si="0"/>
        <v>3260655</v>
      </c>
      <c r="G4" s="31">
        <f t="shared" si="0"/>
        <v>2173770</v>
      </c>
      <c r="H4" s="31">
        <f t="shared" si="0"/>
        <v>22824585</v>
      </c>
      <c r="I4" s="31">
        <f t="shared" si="0"/>
        <v>36954090</v>
      </c>
      <c r="J4" s="31">
        <f t="shared" si="0"/>
        <v>1128385</v>
      </c>
      <c r="K4" s="31">
        <f t="shared" si="0"/>
        <v>6521310</v>
      </c>
      <c r="L4" s="31">
        <f t="shared" si="0"/>
        <v>2173770</v>
      </c>
      <c r="M4" s="31">
        <f t="shared" si="0"/>
        <v>4347540</v>
      </c>
      <c r="N4" s="31">
        <f t="shared" si="0"/>
        <v>51125095</v>
      </c>
      <c r="O4" s="31">
        <f t="shared" si="0"/>
        <v>57250000</v>
      </c>
      <c r="P4" s="31">
        <f>P5+P6+P11+P12+P13+P14+P15+P16+P17+P18+P19</f>
        <v>995334003.46153843</v>
      </c>
    </row>
    <row r="5" spans="1:16" ht="14.25" x14ac:dyDescent="0.2">
      <c r="A5" s="106" t="s">
        <v>118</v>
      </c>
      <c r="B5" s="33" t="s">
        <v>5</v>
      </c>
      <c r="C5" s="52">
        <v>269280000</v>
      </c>
      <c r="D5" s="34">
        <v>11900000</v>
      </c>
      <c r="E5" s="35">
        <f>D5*$E$2</f>
        <v>952000</v>
      </c>
      <c r="F5" s="35">
        <f>D5*$F$2</f>
        <v>178500</v>
      </c>
      <c r="G5" s="35">
        <f>D5*$G$2</f>
        <v>119000</v>
      </c>
      <c r="H5" s="35">
        <f>SUM(E5:G5)</f>
        <v>1249500</v>
      </c>
      <c r="I5" s="35">
        <f>D5*$I$2</f>
        <v>2023000.0000000002</v>
      </c>
      <c r="J5" s="35">
        <f>D5*$J$2</f>
        <v>59500</v>
      </c>
      <c r="K5" s="35">
        <f>D5*$K$2</f>
        <v>357000</v>
      </c>
      <c r="L5" s="35">
        <f>D5*$L$2</f>
        <v>119000</v>
      </c>
      <c r="M5" s="35">
        <f>D5*$M$2</f>
        <v>238000</v>
      </c>
      <c r="N5" s="35">
        <f>SUM(I5:M5)</f>
        <v>2796500</v>
      </c>
      <c r="O5" s="34">
        <v>0</v>
      </c>
      <c r="P5" s="36">
        <f>C5-H5-O5</f>
        <v>268030500</v>
      </c>
    </row>
    <row r="6" spans="1:16" s="69" customFormat="1" ht="15.75" x14ac:dyDescent="0.2">
      <c r="A6" s="101"/>
      <c r="B6" s="33" t="s">
        <v>65</v>
      </c>
      <c r="C6" s="66">
        <f>SUM(C7:C10)</f>
        <v>169669434.61538461</v>
      </c>
      <c r="D6" s="66">
        <f>SUM(D7:D10)</f>
        <v>56477000</v>
      </c>
      <c r="E6" s="66">
        <f t="shared" ref="E6:P6" si="1">SUM(E7:E10)</f>
        <v>4518160</v>
      </c>
      <c r="F6" s="66">
        <f t="shared" si="1"/>
        <v>847155</v>
      </c>
      <c r="G6" s="66">
        <f t="shared" si="1"/>
        <v>564770</v>
      </c>
      <c r="H6" s="66">
        <f t="shared" si="1"/>
        <v>5930085</v>
      </c>
      <c r="I6" s="66">
        <f t="shared" si="1"/>
        <v>9601090</v>
      </c>
      <c r="J6" s="66">
        <f t="shared" si="1"/>
        <v>282385</v>
      </c>
      <c r="K6" s="66">
        <f t="shared" si="1"/>
        <v>1694310</v>
      </c>
      <c r="L6" s="66">
        <f t="shared" si="1"/>
        <v>564770</v>
      </c>
      <c r="M6" s="66">
        <f t="shared" si="1"/>
        <v>1129540</v>
      </c>
      <c r="N6" s="66">
        <f t="shared" si="1"/>
        <v>13272095</v>
      </c>
      <c r="O6" s="66">
        <f t="shared" si="1"/>
        <v>13000000</v>
      </c>
      <c r="P6" s="75">
        <f t="shared" si="1"/>
        <v>150739349.61538461</v>
      </c>
    </row>
    <row r="7" spans="1:16" ht="14.25" x14ac:dyDescent="0.2">
      <c r="A7" s="106" t="s">
        <v>119</v>
      </c>
      <c r="B7" s="65" t="s">
        <v>66</v>
      </c>
      <c r="C7" s="45">
        <v>63662000</v>
      </c>
      <c r="D7" s="45">
        <f>27277000-4577000-4800000</f>
        <v>17900000</v>
      </c>
      <c r="E7" s="35">
        <f t="shared" ref="E7:E10" si="2">D7*$E$2</f>
        <v>1432000</v>
      </c>
      <c r="F7" s="35">
        <f t="shared" ref="F7:F19" si="3">D7*$F$2</f>
        <v>268500</v>
      </c>
      <c r="G7" s="35">
        <f t="shared" ref="G7:G19" si="4">D7*$G$2</f>
        <v>179000</v>
      </c>
      <c r="H7" s="35">
        <f t="shared" ref="H7" si="5">SUM(E7:G7)</f>
        <v>1879500</v>
      </c>
      <c r="I7" s="35">
        <f t="shared" ref="I7:I19" si="6">D7*$I$2</f>
        <v>3043000</v>
      </c>
      <c r="J7" s="35">
        <f t="shared" ref="J7:J37" si="7">D7*$J$2</f>
        <v>89500</v>
      </c>
      <c r="K7" s="35">
        <f t="shared" ref="K7:K37" si="8">D7*$K$2</f>
        <v>537000</v>
      </c>
      <c r="L7" s="35">
        <f t="shared" ref="L7:L19" si="9">D7*$L$2</f>
        <v>179000</v>
      </c>
      <c r="M7" s="35">
        <f t="shared" ref="M7:M37" si="10">D7*$M$2</f>
        <v>358000</v>
      </c>
      <c r="N7" s="35">
        <f t="shared" ref="N7:N30" si="11">SUM(I7:M7)</f>
        <v>4206500</v>
      </c>
      <c r="O7" s="58">
        <v>3000000</v>
      </c>
      <c r="P7" s="36">
        <f t="shared" ref="P7:P10" si="12">C7-H7-O7</f>
        <v>58782500</v>
      </c>
    </row>
    <row r="8" spans="1:16" ht="14.25" x14ac:dyDescent="0.2">
      <c r="A8" s="106" t="s">
        <v>120</v>
      </c>
      <c r="B8" s="65" t="s">
        <v>68</v>
      </c>
      <c r="C8" s="45">
        <v>45575000</v>
      </c>
      <c r="D8" s="34">
        <v>10000000</v>
      </c>
      <c r="E8" s="35">
        <f t="shared" si="2"/>
        <v>800000</v>
      </c>
      <c r="F8" s="35">
        <f t="shared" si="3"/>
        <v>150000</v>
      </c>
      <c r="G8" s="35">
        <f t="shared" si="4"/>
        <v>100000</v>
      </c>
      <c r="H8" s="35">
        <f t="shared" ref="H8:H10" si="13">SUM(E8:G8)</f>
        <v>1050000</v>
      </c>
      <c r="I8" s="35">
        <f t="shared" si="6"/>
        <v>1700000.0000000002</v>
      </c>
      <c r="J8" s="35">
        <f t="shared" si="7"/>
        <v>50000</v>
      </c>
      <c r="K8" s="35">
        <f t="shared" si="8"/>
        <v>300000</v>
      </c>
      <c r="L8" s="35">
        <f t="shared" si="9"/>
        <v>100000</v>
      </c>
      <c r="M8" s="35">
        <f t="shared" si="10"/>
        <v>200000</v>
      </c>
      <c r="N8" s="35">
        <f t="shared" si="11"/>
        <v>2350000</v>
      </c>
      <c r="O8" s="58">
        <v>0</v>
      </c>
      <c r="P8" s="36">
        <f t="shared" si="12"/>
        <v>44525000</v>
      </c>
    </row>
    <row r="9" spans="1:16" ht="14.25" x14ac:dyDescent="0.2">
      <c r="A9" s="106" t="s">
        <v>121</v>
      </c>
      <c r="B9" s="65" t="s">
        <v>104</v>
      </c>
      <c r="C9" s="45">
        <v>23072434.615384616</v>
      </c>
      <c r="D9" s="34">
        <f>4800000+4800000+4577000</f>
        <v>14177000</v>
      </c>
      <c r="E9" s="35">
        <f t="shared" si="2"/>
        <v>1134160</v>
      </c>
      <c r="F9" s="35">
        <f t="shared" si="3"/>
        <v>212655</v>
      </c>
      <c r="G9" s="35">
        <f t="shared" si="4"/>
        <v>141770</v>
      </c>
      <c r="H9" s="35">
        <f t="shared" si="13"/>
        <v>1488585</v>
      </c>
      <c r="I9" s="35">
        <f t="shared" si="6"/>
        <v>2410090</v>
      </c>
      <c r="J9" s="35">
        <f t="shared" si="7"/>
        <v>70885</v>
      </c>
      <c r="K9" s="35">
        <f t="shared" si="8"/>
        <v>425310</v>
      </c>
      <c r="L9" s="35">
        <f t="shared" si="9"/>
        <v>141770</v>
      </c>
      <c r="M9" s="35">
        <f t="shared" si="10"/>
        <v>283540</v>
      </c>
      <c r="N9" s="35">
        <f t="shared" si="11"/>
        <v>3331595</v>
      </c>
      <c r="O9" s="58">
        <v>6000000</v>
      </c>
      <c r="P9" s="36">
        <f t="shared" si="12"/>
        <v>15583849.615384616</v>
      </c>
    </row>
    <row r="10" spans="1:16" ht="14.25" x14ac:dyDescent="0.2">
      <c r="A10" s="106" t="s">
        <v>122</v>
      </c>
      <c r="B10" s="65" t="s">
        <v>67</v>
      </c>
      <c r="C10" s="45">
        <v>37360000</v>
      </c>
      <c r="D10" s="34">
        <f>9600000+4800000</f>
        <v>14400000</v>
      </c>
      <c r="E10" s="35">
        <f t="shared" si="2"/>
        <v>1152000</v>
      </c>
      <c r="F10" s="35">
        <f t="shared" si="3"/>
        <v>216000</v>
      </c>
      <c r="G10" s="35">
        <f t="shared" si="4"/>
        <v>144000</v>
      </c>
      <c r="H10" s="35">
        <f t="shared" si="13"/>
        <v>1512000</v>
      </c>
      <c r="I10" s="35">
        <f t="shared" si="6"/>
        <v>2448000</v>
      </c>
      <c r="J10" s="35">
        <f t="shared" si="7"/>
        <v>72000</v>
      </c>
      <c r="K10" s="35">
        <f t="shared" si="8"/>
        <v>432000</v>
      </c>
      <c r="L10" s="35">
        <f t="shared" si="9"/>
        <v>144000</v>
      </c>
      <c r="M10" s="35">
        <f t="shared" si="10"/>
        <v>288000</v>
      </c>
      <c r="N10" s="35">
        <f t="shared" si="11"/>
        <v>3384000</v>
      </c>
      <c r="O10" s="58">
        <v>4000000</v>
      </c>
      <c r="P10" s="36">
        <f t="shared" si="12"/>
        <v>31848000</v>
      </c>
    </row>
    <row r="11" spans="1:16" ht="14.25" x14ac:dyDescent="0.2">
      <c r="A11" s="106" t="s">
        <v>123</v>
      </c>
      <c r="B11" s="33" t="s">
        <v>25</v>
      </c>
      <c r="C11" s="45">
        <v>166321000</v>
      </c>
      <c r="D11" s="34">
        <v>44400000</v>
      </c>
      <c r="E11" s="35">
        <f>D11*$E$2</f>
        <v>3552000</v>
      </c>
      <c r="F11" s="35">
        <f t="shared" si="3"/>
        <v>666000</v>
      </c>
      <c r="G11" s="35">
        <f t="shared" si="4"/>
        <v>444000</v>
      </c>
      <c r="H11" s="35">
        <f t="shared" ref="H11:H18" si="14">SUM(E11:G11)</f>
        <v>4662000</v>
      </c>
      <c r="I11" s="35">
        <f t="shared" si="6"/>
        <v>7548000.0000000009</v>
      </c>
      <c r="J11" s="35">
        <f t="shared" si="7"/>
        <v>222000</v>
      </c>
      <c r="K11" s="35">
        <f t="shared" si="8"/>
        <v>1332000</v>
      </c>
      <c r="L11" s="35">
        <f t="shared" si="9"/>
        <v>444000</v>
      </c>
      <c r="M11" s="35">
        <f t="shared" si="10"/>
        <v>888000</v>
      </c>
      <c r="N11" s="35">
        <f t="shared" si="11"/>
        <v>10434000</v>
      </c>
      <c r="O11" s="58">
        <v>3000000</v>
      </c>
      <c r="P11" s="36">
        <f>C11-H11-O11</f>
        <v>158659000</v>
      </c>
    </row>
    <row r="12" spans="1:16" ht="14.25" x14ac:dyDescent="0.2">
      <c r="A12" s="106" t="s">
        <v>123</v>
      </c>
      <c r="B12" s="33" t="s">
        <v>25</v>
      </c>
      <c r="C12" s="45">
        <v>0</v>
      </c>
      <c r="D12" s="46">
        <v>8300000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f t="shared" si="7"/>
        <v>41500</v>
      </c>
      <c r="K12" s="35">
        <v>0</v>
      </c>
      <c r="L12" s="35">
        <v>0</v>
      </c>
      <c r="M12" s="35">
        <v>0</v>
      </c>
      <c r="N12" s="35">
        <f t="shared" si="11"/>
        <v>41500</v>
      </c>
      <c r="O12" s="55">
        <v>0</v>
      </c>
      <c r="P12" s="35">
        <v>0</v>
      </c>
    </row>
    <row r="13" spans="1:16" ht="14.25" x14ac:dyDescent="0.2">
      <c r="A13" s="106" t="s">
        <v>124</v>
      </c>
      <c r="B13" s="33" t="s">
        <v>7</v>
      </c>
      <c r="C13" s="45">
        <v>67212253.846153855</v>
      </c>
      <c r="D13" s="34">
        <v>22700000</v>
      </c>
      <c r="E13" s="35">
        <f t="shared" ref="E13:E19" si="15">D13*$E$2</f>
        <v>1816000</v>
      </c>
      <c r="F13" s="35">
        <f t="shared" si="3"/>
        <v>340500</v>
      </c>
      <c r="G13" s="35">
        <f t="shared" si="4"/>
        <v>227000</v>
      </c>
      <c r="H13" s="35">
        <f t="shared" si="14"/>
        <v>2383500</v>
      </c>
      <c r="I13" s="35">
        <f t="shared" si="6"/>
        <v>3859000.0000000005</v>
      </c>
      <c r="J13" s="35">
        <f t="shared" si="7"/>
        <v>113500</v>
      </c>
      <c r="K13" s="35">
        <f t="shared" si="8"/>
        <v>681000</v>
      </c>
      <c r="L13" s="35">
        <f t="shared" si="9"/>
        <v>227000</v>
      </c>
      <c r="M13" s="35">
        <f t="shared" si="10"/>
        <v>454000</v>
      </c>
      <c r="N13" s="35">
        <f t="shared" si="11"/>
        <v>5334500</v>
      </c>
      <c r="O13" s="58">
        <v>0</v>
      </c>
      <c r="P13" s="36">
        <f t="shared" ref="P13:P19" si="16">C13-H13-O13</f>
        <v>64828753.846153855</v>
      </c>
    </row>
    <row r="14" spans="1:16" ht="14.25" x14ac:dyDescent="0.2">
      <c r="A14" s="106" t="s">
        <v>125</v>
      </c>
      <c r="B14" s="33" t="s">
        <v>147</v>
      </c>
      <c r="C14" s="45">
        <v>93450000</v>
      </c>
      <c r="D14" s="34">
        <f>18300000-5000000</f>
        <v>13300000</v>
      </c>
      <c r="E14" s="35">
        <f t="shared" si="15"/>
        <v>1064000</v>
      </c>
      <c r="F14" s="35">
        <f t="shared" si="3"/>
        <v>199500</v>
      </c>
      <c r="G14" s="35">
        <f t="shared" si="4"/>
        <v>133000</v>
      </c>
      <c r="H14" s="35">
        <f t="shared" si="14"/>
        <v>1396500</v>
      </c>
      <c r="I14" s="35">
        <f t="shared" si="6"/>
        <v>2261000</v>
      </c>
      <c r="J14" s="35">
        <f t="shared" si="7"/>
        <v>66500</v>
      </c>
      <c r="K14" s="35">
        <f t="shared" si="8"/>
        <v>399000</v>
      </c>
      <c r="L14" s="35">
        <f t="shared" si="9"/>
        <v>133000</v>
      </c>
      <c r="M14" s="35">
        <f t="shared" si="10"/>
        <v>266000</v>
      </c>
      <c r="N14" s="35">
        <f t="shared" si="11"/>
        <v>3125500</v>
      </c>
      <c r="O14" s="58">
        <v>0</v>
      </c>
      <c r="P14" s="36">
        <f t="shared" si="16"/>
        <v>92053500</v>
      </c>
    </row>
    <row r="15" spans="1:16" ht="14.25" x14ac:dyDescent="0.2">
      <c r="A15" s="106" t="s">
        <v>126</v>
      </c>
      <c r="B15" s="33" t="s">
        <v>20</v>
      </c>
      <c r="C15" s="45">
        <v>91498000</v>
      </c>
      <c r="D15" s="34">
        <v>25800000</v>
      </c>
      <c r="E15" s="35">
        <f t="shared" si="15"/>
        <v>2064000</v>
      </c>
      <c r="F15" s="35">
        <f t="shared" si="3"/>
        <v>387000</v>
      </c>
      <c r="G15" s="35">
        <f t="shared" si="4"/>
        <v>258000</v>
      </c>
      <c r="H15" s="35">
        <f t="shared" si="14"/>
        <v>2709000</v>
      </c>
      <c r="I15" s="35">
        <f t="shared" si="6"/>
        <v>4386000</v>
      </c>
      <c r="J15" s="35">
        <f t="shared" si="7"/>
        <v>129000</v>
      </c>
      <c r="K15" s="35">
        <f t="shared" si="8"/>
        <v>774000</v>
      </c>
      <c r="L15" s="35">
        <f t="shared" si="9"/>
        <v>258000</v>
      </c>
      <c r="M15" s="35">
        <f t="shared" si="10"/>
        <v>516000</v>
      </c>
      <c r="N15" s="35">
        <f t="shared" si="11"/>
        <v>6063000</v>
      </c>
      <c r="O15" s="58">
        <v>32000000</v>
      </c>
      <c r="P15" s="36">
        <f t="shared" si="16"/>
        <v>56789000</v>
      </c>
    </row>
    <row r="16" spans="1:16" ht="14.25" x14ac:dyDescent="0.2">
      <c r="A16" s="106" t="s">
        <v>127</v>
      </c>
      <c r="B16" s="33" t="s">
        <v>6</v>
      </c>
      <c r="C16" s="45">
        <v>11872900</v>
      </c>
      <c r="D16" s="34">
        <v>5000000</v>
      </c>
      <c r="E16" s="35">
        <f t="shared" si="15"/>
        <v>400000</v>
      </c>
      <c r="F16" s="35">
        <f t="shared" si="3"/>
        <v>75000</v>
      </c>
      <c r="G16" s="35">
        <f t="shared" si="4"/>
        <v>50000</v>
      </c>
      <c r="H16" s="35">
        <f t="shared" si="14"/>
        <v>525000</v>
      </c>
      <c r="I16" s="35">
        <f t="shared" si="6"/>
        <v>850000.00000000012</v>
      </c>
      <c r="J16" s="35">
        <f t="shared" si="7"/>
        <v>25000</v>
      </c>
      <c r="K16" s="35">
        <f t="shared" si="8"/>
        <v>150000</v>
      </c>
      <c r="L16" s="35">
        <f t="shared" si="9"/>
        <v>50000</v>
      </c>
      <c r="M16" s="35">
        <f t="shared" si="10"/>
        <v>100000</v>
      </c>
      <c r="N16" s="35">
        <f t="shared" si="11"/>
        <v>1175000</v>
      </c>
      <c r="O16" s="58">
        <v>0</v>
      </c>
      <c r="P16" s="36">
        <f t="shared" si="16"/>
        <v>11347900</v>
      </c>
    </row>
    <row r="17" spans="1:18" ht="14.25" x14ac:dyDescent="0.2">
      <c r="A17" s="106" t="s">
        <v>128</v>
      </c>
      <c r="B17" s="56" t="s">
        <v>103</v>
      </c>
      <c r="C17" s="45">
        <v>62521000</v>
      </c>
      <c r="D17" s="34">
        <v>8300000</v>
      </c>
      <c r="E17" s="35">
        <f t="shared" si="15"/>
        <v>664000</v>
      </c>
      <c r="F17" s="35">
        <f t="shared" si="3"/>
        <v>124500</v>
      </c>
      <c r="G17" s="35">
        <f t="shared" si="4"/>
        <v>83000</v>
      </c>
      <c r="H17" s="35">
        <f t="shared" ref="H17" si="17">SUM(E17:G17)</f>
        <v>871500</v>
      </c>
      <c r="I17" s="35">
        <f t="shared" si="6"/>
        <v>1411000</v>
      </c>
      <c r="J17" s="35">
        <f t="shared" si="7"/>
        <v>41500</v>
      </c>
      <c r="K17" s="35">
        <f t="shared" si="8"/>
        <v>249000</v>
      </c>
      <c r="L17" s="35">
        <f t="shared" si="9"/>
        <v>83000</v>
      </c>
      <c r="M17" s="35">
        <f t="shared" si="10"/>
        <v>166000</v>
      </c>
      <c r="N17" s="35">
        <f t="shared" si="11"/>
        <v>1950500</v>
      </c>
      <c r="O17" s="34">
        <v>0</v>
      </c>
      <c r="P17" s="36">
        <f t="shared" si="16"/>
        <v>61649500</v>
      </c>
    </row>
    <row r="18" spans="1:18" ht="14.25" x14ac:dyDescent="0.2">
      <c r="A18" s="106" t="s">
        <v>129</v>
      </c>
      <c r="B18" s="33" t="s">
        <v>70</v>
      </c>
      <c r="C18" s="45">
        <v>30904000</v>
      </c>
      <c r="D18" s="34">
        <v>9800000</v>
      </c>
      <c r="E18" s="35">
        <f>D18*$E$2</f>
        <v>784000</v>
      </c>
      <c r="F18" s="35">
        <f t="shared" si="3"/>
        <v>147000</v>
      </c>
      <c r="G18" s="35">
        <f t="shared" si="4"/>
        <v>98000</v>
      </c>
      <c r="H18" s="35">
        <f t="shared" si="14"/>
        <v>1029000</v>
      </c>
      <c r="I18" s="35">
        <f t="shared" si="6"/>
        <v>1666000.0000000002</v>
      </c>
      <c r="J18" s="35">
        <f t="shared" si="7"/>
        <v>49000</v>
      </c>
      <c r="K18" s="35">
        <f t="shared" si="8"/>
        <v>294000</v>
      </c>
      <c r="L18" s="35">
        <f t="shared" si="9"/>
        <v>98000</v>
      </c>
      <c r="M18" s="35">
        <f t="shared" si="10"/>
        <v>196000</v>
      </c>
      <c r="N18" s="35">
        <f t="shared" si="11"/>
        <v>2303000</v>
      </c>
      <c r="O18" s="34">
        <v>2250000</v>
      </c>
      <c r="P18" s="36">
        <f t="shared" si="16"/>
        <v>27625000</v>
      </c>
    </row>
    <row r="19" spans="1:18" s="25" customFormat="1" ht="14.25" x14ac:dyDescent="0.2">
      <c r="A19" s="102" t="s">
        <v>130</v>
      </c>
      <c r="B19" s="33" t="s">
        <v>71</v>
      </c>
      <c r="C19" s="63">
        <v>112680000</v>
      </c>
      <c r="D19" s="57">
        <v>19700000</v>
      </c>
      <c r="E19" s="35">
        <f t="shared" si="15"/>
        <v>1576000</v>
      </c>
      <c r="F19" s="35">
        <f t="shared" si="3"/>
        <v>295500</v>
      </c>
      <c r="G19" s="35">
        <f t="shared" si="4"/>
        <v>197000</v>
      </c>
      <c r="H19" s="35">
        <f t="shared" ref="H19" si="18">SUM(E19:G19)</f>
        <v>2068500</v>
      </c>
      <c r="I19" s="35">
        <f t="shared" si="6"/>
        <v>3349000.0000000005</v>
      </c>
      <c r="J19" s="35">
        <f t="shared" si="7"/>
        <v>98500</v>
      </c>
      <c r="K19" s="35">
        <f t="shared" si="8"/>
        <v>591000</v>
      </c>
      <c r="L19" s="35">
        <f t="shared" si="9"/>
        <v>197000</v>
      </c>
      <c r="M19" s="35">
        <f t="shared" si="10"/>
        <v>394000</v>
      </c>
      <c r="N19" s="35">
        <f t="shared" si="11"/>
        <v>4629500</v>
      </c>
      <c r="O19" s="57">
        <v>7000000</v>
      </c>
      <c r="P19" s="36">
        <f t="shared" si="16"/>
        <v>103611500</v>
      </c>
    </row>
    <row r="20" spans="1:18" s="32" customFormat="1" ht="12.75" x14ac:dyDescent="0.2">
      <c r="A20" s="103"/>
      <c r="B20" s="30" t="s">
        <v>2</v>
      </c>
      <c r="C20" s="31">
        <f>SUM(C21:C32)</f>
        <v>746074000</v>
      </c>
      <c r="D20" s="31">
        <f>SUM(D21:D32)</f>
        <v>217209000</v>
      </c>
      <c r="E20" s="31">
        <f t="shared" ref="E20:I20" si="19">SUM(E21:E32)</f>
        <v>17376720</v>
      </c>
      <c r="F20" s="31">
        <f t="shared" si="19"/>
        <v>3258135</v>
      </c>
      <c r="G20" s="31">
        <f t="shared" si="19"/>
        <v>2172090</v>
      </c>
      <c r="H20" s="31">
        <f t="shared" si="19"/>
        <v>22806945</v>
      </c>
      <c r="I20" s="31">
        <f t="shared" si="19"/>
        <v>36925530</v>
      </c>
      <c r="J20" s="31">
        <f>SUM(J21:J32)</f>
        <v>1086045</v>
      </c>
      <c r="K20" s="31">
        <f t="shared" ref="K20:O20" si="20">SUM(K21:K32)</f>
        <v>6516270</v>
      </c>
      <c r="L20" s="31">
        <f t="shared" si="20"/>
        <v>2172090</v>
      </c>
      <c r="M20" s="31">
        <f t="shared" si="20"/>
        <v>4344180</v>
      </c>
      <c r="N20" s="31">
        <f t="shared" si="20"/>
        <v>51044115</v>
      </c>
      <c r="O20" s="31">
        <f t="shared" si="20"/>
        <v>129000000</v>
      </c>
      <c r="P20" s="31">
        <f>SUM(P21:P32)</f>
        <v>594267055</v>
      </c>
      <c r="R20" s="116"/>
    </row>
    <row r="21" spans="1:18" ht="14.25" x14ac:dyDescent="0.2">
      <c r="A21" s="106" t="s">
        <v>131</v>
      </c>
      <c r="B21" s="76" t="s">
        <v>105</v>
      </c>
      <c r="C21" s="37">
        <v>77747000</v>
      </c>
      <c r="D21" s="38">
        <f>8300000+4800000+5100000</f>
        <v>18200000</v>
      </c>
      <c r="E21" s="35">
        <f>D21*$E$2</f>
        <v>1456000</v>
      </c>
      <c r="F21" s="35">
        <f>D21*$F$2</f>
        <v>273000</v>
      </c>
      <c r="G21" s="35">
        <f>D21*$G$2</f>
        <v>182000</v>
      </c>
      <c r="H21" s="35">
        <f>SUM(E21:G21)</f>
        <v>1911000</v>
      </c>
      <c r="I21" s="35">
        <f>D21*$I$2</f>
        <v>3094000</v>
      </c>
      <c r="J21" s="35">
        <f t="shared" si="7"/>
        <v>91000</v>
      </c>
      <c r="K21" s="35">
        <f t="shared" si="8"/>
        <v>546000</v>
      </c>
      <c r="L21" s="35">
        <f>D21*$L$2</f>
        <v>182000</v>
      </c>
      <c r="M21" s="35">
        <f t="shared" si="10"/>
        <v>364000</v>
      </c>
      <c r="N21" s="35">
        <f t="shared" si="11"/>
        <v>4277000</v>
      </c>
      <c r="O21" s="38">
        <v>0</v>
      </c>
      <c r="P21" s="35">
        <f>C21-H21-O21</f>
        <v>75836000</v>
      </c>
    </row>
    <row r="22" spans="1:18" ht="14.25" x14ac:dyDescent="0.2">
      <c r="A22" s="106" t="s">
        <v>132</v>
      </c>
      <c r="B22" s="65" t="s">
        <v>58</v>
      </c>
      <c r="C22" s="37">
        <v>63126000</v>
      </c>
      <c r="D22" s="38">
        <f>4800000*3</f>
        <v>14400000</v>
      </c>
      <c r="E22" s="35">
        <f>D22*$E$2</f>
        <v>1152000</v>
      </c>
      <c r="F22" s="35">
        <f>D22*$F$2</f>
        <v>216000</v>
      </c>
      <c r="G22" s="35">
        <f>D22*$G$2</f>
        <v>144000</v>
      </c>
      <c r="H22" s="35">
        <f>SUM(E22:G22)</f>
        <v>1512000</v>
      </c>
      <c r="I22" s="35">
        <f>D22*$I$2</f>
        <v>2448000</v>
      </c>
      <c r="J22" s="35">
        <f t="shared" si="7"/>
        <v>72000</v>
      </c>
      <c r="K22" s="35">
        <f t="shared" si="8"/>
        <v>432000</v>
      </c>
      <c r="L22" s="35">
        <f>D22*$L$2</f>
        <v>144000</v>
      </c>
      <c r="M22" s="35">
        <f t="shared" si="10"/>
        <v>288000</v>
      </c>
      <c r="N22" s="35">
        <f t="shared" si="11"/>
        <v>3384000</v>
      </c>
      <c r="O22" s="38">
        <v>0</v>
      </c>
      <c r="P22" s="35">
        <f>C22-H22-O22</f>
        <v>61614000</v>
      </c>
    </row>
    <row r="23" spans="1:18" ht="14.25" x14ac:dyDescent="0.2">
      <c r="A23" s="106" t="s">
        <v>133</v>
      </c>
      <c r="B23" s="65" t="s">
        <v>62</v>
      </c>
      <c r="C23" s="37">
        <v>105255000</v>
      </c>
      <c r="D23" s="38">
        <f>5100000+4800000*2</f>
        <v>14700000</v>
      </c>
      <c r="E23" s="35">
        <f t="shared" ref="E23:E31" si="21">D23*$E$2</f>
        <v>1176000</v>
      </c>
      <c r="F23" s="35">
        <f t="shared" ref="F23:F31" si="22">D23*$F$2</f>
        <v>220500</v>
      </c>
      <c r="G23" s="35">
        <f t="shared" ref="G23:G31" si="23">D23*$G$2</f>
        <v>147000</v>
      </c>
      <c r="H23" s="35">
        <f t="shared" ref="H23:H26" si="24">SUM(E23:G23)</f>
        <v>1543500</v>
      </c>
      <c r="I23" s="35">
        <f t="shared" ref="I23:I31" si="25">D23*$I$2</f>
        <v>2499000</v>
      </c>
      <c r="J23" s="35">
        <f t="shared" si="7"/>
        <v>73500</v>
      </c>
      <c r="K23" s="35">
        <f t="shared" si="8"/>
        <v>441000</v>
      </c>
      <c r="L23" s="35">
        <f t="shared" ref="L23:L31" si="26">D23*$L$2</f>
        <v>147000</v>
      </c>
      <c r="M23" s="35">
        <f t="shared" si="10"/>
        <v>294000</v>
      </c>
      <c r="N23" s="35">
        <f t="shared" si="11"/>
        <v>3454500</v>
      </c>
      <c r="O23" s="38">
        <v>0</v>
      </c>
      <c r="P23" s="35">
        <f>C23-H23-O23</f>
        <v>103711500</v>
      </c>
    </row>
    <row r="24" spans="1:18" ht="14.25" x14ac:dyDescent="0.2">
      <c r="A24" s="106" t="s">
        <v>134</v>
      </c>
      <c r="B24" s="65" t="s">
        <v>59</v>
      </c>
      <c r="C24" s="37">
        <v>80715000</v>
      </c>
      <c r="D24" s="38">
        <f>4800000*4</f>
        <v>19200000</v>
      </c>
      <c r="E24" s="35">
        <f t="shared" si="21"/>
        <v>1536000</v>
      </c>
      <c r="F24" s="35">
        <f t="shared" si="22"/>
        <v>288000</v>
      </c>
      <c r="G24" s="35">
        <f t="shared" si="23"/>
        <v>192000</v>
      </c>
      <c r="H24" s="35">
        <f t="shared" si="24"/>
        <v>2016000</v>
      </c>
      <c r="I24" s="35">
        <f t="shared" si="25"/>
        <v>3264000.0000000005</v>
      </c>
      <c r="J24" s="35">
        <f t="shared" si="7"/>
        <v>96000</v>
      </c>
      <c r="K24" s="35">
        <f t="shared" si="8"/>
        <v>576000</v>
      </c>
      <c r="L24" s="35">
        <f t="shared" si="26"/>
        <v>192000</v>
      </c>
      <c r="M24" s="35">
        <f t="shared" si="10"/>
        <v>384000</v>
      </c>
      <c r="N24" s="35">
        <f t="shared" si="11"/>
        <v>4512000</v>
      </c>
      <c r="O24" s="38">
        <v>0</v>
      </c>
      <c r="P24" s="35">
        <f t="shared" ref="P24:P31" si="27">C24-H24-O24</f>
        <v>78699000</v>
      </c>
    </row>
    <row r="25" spans="1:18" ht="14.25" x14ac:dyDescent="0.2">
      <c r="A25" s="106" t="s">
        <v>135</v>
      </c>
      <c r="B25" s="65" t="s">
        <v>60</v>
      </c>
      <c r="C25" s="92">
        <v>29515000</v>
      </c>
      <c r="D25" s="38">
        <v>4800000</v>
      </c>
      <c r="E25" s="35">
        <f t="shared" si="21"/>
        <v>384000</v>
      </c>
      <c r="F25" s="35">
        <f t="shared" si="22"/>
        <v>72000</v>
      </c>
      <c r="G25" s="35">
        <f t="shared" si="23"/>
        <v>48000</v>
      </c>
      <c r="H25" s="35">
        <f t="shared" si="24"/>
        <v>504000</v>
      </c>
      <c r="I25" s="35">
        <f t="shared" si="25"/>
        <v>816000.00000000012</v>
      </c>
      <c r="J25" s="35">
        <f t="shared" si="7"/>
        <v>24000</v>
      </c>
      <c r="K25" s="35">
        <f t="shared" si="8"/>
        <v>144000</v>
      </c>
      <c r="L25" s="35">
        <f t="shared" si="26"/>
        <v>48000</v>
      </c>
      <c r="M25" s="35">
        <f t="shared" si="10"/>
        <v>96000</v>
      </c>
      <c r="N25" s="35">
        <f t="shared" si="11"/>
        <v>1128000</v>
      </c>
      <c r="O25" s="38">
        <v>0</v>
      </c>
      <c r="P25" s="35">
        <f t="shared" si="27"/>
        <v>29011000</v>
      </c>
    </row>
    <row r="26" spans="1:18" ht="14.25" x14ac:dyDescent="0.2">
      <c r="A26" s="106" t="s">
        <v>136</v>
      </c>
      <c r="B26" s="65" t="s">
        <v>61</v>
      </c>
      <c r="C26" s="37">
        <v>41282000</v>
      </c>
      <c r="D26" s="38">
        <v>14700000</v>
      </c>
      <c r="E26" s="35">
        <f t="shared" si="21"/>
        <v>1176000</v>
      </c>
      <c r="F26" s="35">
        <f t="shared" si="22"/>
        <v>220500</v>
      </c>
      <c r="G26" s="35">
        <f t="shared" si="23"/>
        <v>147000</v>
      </c>
      <c r="H26" s="35">
        <f t="shared" si="24"/>
        <v>1543500</v>
      </c>
      <c r="I26" s="35">
        <f t="shared" si="25"/>
        <v>2499000</v>
      </c>
      <c r="J26" s="35">
        <f t="shared" si="7"/>
        <v>73500</v>
      </c>
      <c r="K26" s="35">
        <f t="shared" si="8"/>
        <v>441000</v>
      </c>
      <c r="L26" s="35">
        <f t="shared" si="26"/>
        <v>147000</v>
      </c>
      <c r="M26" s="35">
        <f t="shared" si="10"/>
        <v>294000</v>
      </c>
      <c r="N26" s="35">
        <f t="shared" si="11"/>
        <v>3454500</v>
      </c>
      <c r="O26" s="38">
        <v>0</v>
      </c>
      <c r="P26" s="35">
        <f t="shared" si="27"/>
        <v>39738500</v>
      </c>
    </row>
    <row r="27" spans="1:18" ht="14.25" x14ac:dyDescent="0.2">
      <c r="A27" s="106" t="s">
        <v>137</v>
      </c>
      <c r="B27" s="76" t="s">
        <v>106</v>
      </c>
      <c r="C27" s="37">
        <v>45710000</v>
      </c>
      <c r="D27" s="38">
        <v>15000000</v>
      </c>
      <c r="E27" s="35">
        <f t="shared" si="21"/>
        <v>1200000</v>
      </c>
      <c r="F27" s="35">
        <f t="shared" si="22"/>
        <v>225000</v>
      </c>
      <c r="G27" s="35">
        <f t="shared" si="23"/>
        <v>150000</v>
      </c>
      <c r="H27" s="35">
        <f t="shared" ref="H27:H31" si="28">SUM(E27:G27)</f>
        <v>1575000</v>
      </c>
      <c r="I27" s="35">
        <f t="shared" si="25"/>
        <v>2550000</v>
      </c>
      <c r="J27" s="35">
        <f t="shared" si="7"/>
        <v>75000</v>
      </c>
      <c r="K27" s="35">
        <f t="shared" si="8"/>
        <v>450000</v>
      </c>
      <c r="L27" s="35">
        <f t="shared" si="26"/>
        <v>150000</v>
      </c>
      <c r="M27" s="35">
        <f t="shared" si="10"/>
        <v>300000</v>
      </c>
      <c r="N27" s="35">
        <f t="shared" si="11"/>
        <v>3525000</v>
      </c>
      <c r="O27" s="38">
        <v>13500000</v>
      </c>
      <c r="P27" s="35">
        <f t="shared" si="27"/>
        <v>30635000</v>
      </c>
    </row>
    <row r="28" spans="1:18" ht="14.25" x14ac:dyDescent="0.2">
      <c r="A28" s="106" t="s">
        <v>138</v>
      </c>
      <c r="B28" s="65" t="s">
        <v>22</v>
      </c>
      <c r="C28" s="37">
        <v>99179000</v>
      </c>
      <c r="D28" s="38">
        <v>28800000</v>
      </c>
      <c r="E28" s="35">
        <f t="shared" si="21"/>
        <v>2304000</v>
      </c>
      <c r="F28" s="35">
        <f t="shared" si="22"/>
        <v>432000</v>
      </c>
      <c r="G28" s="35">
        <f t="shared" si="23"/>
        <v>288000</v>
      </c>
      <c r="H28" s="35">
        <f t="shared" si="28"/>
        <v>3024000</v>
      </c>
      <c r="I28" s="35">
        <f t="shared" si="25"/>
        <v>4896000</v>
      </c>
      <c r="J28" s="35">
        <f t="shared" si="7"/>
        <v>144000</v>
      </c>
      <c r="K28" s="35">
        <f t="shared" si="8"/>
        <v>864000</v>
      </c>
      <c r="L28" s="35">
        <f t="shared" si="26"/>
        <v>288000</v>
      </c>
      <c r="M28" s="35">
        <f t="shared" si="10"/>
        <v>576000</v>
      </c>
      <c r="N28" s="35">
        <f t="shared" si="11"/>
        <v>6768000</v>
      </c>
      <c r="O28" s="38">
        <v>36000000</v>
      </c>
      <c r="P28" s="35">
        <f t="shared" si="27"/>
        <v>60155000</v>
      </c>
    </row>
    <row r="29" spans="1:18" ht="14.25" x14ac:dyDescent="0.2">
      <c r="A29" s="106" t="s">
        <v>139</v>
      </c>
      <c r="B29" s="76" t="s">
        <v>107</v>
      </c>
      <c r="C29" s="37">
        <v>23174000</v>
      </c>
      <c r="D29" s="38">
        <v>9600000</v>
      </c>
      <c r="E29" s="35">
        <f t="shared" si="21"/>
        <v>768000</v>
      </c>
      <c r="F29" s="35">
        <f t="shared" si="22"/>
        <v>144000</v>
      </c>
      <c r="G29" s="35">
        <f t="shared" si="23"/>
        <v>96000</v>
      </c>
      <c r="H29" s="35">
        <f t="shared" si="28"/>
        <v>1008000</v>
      </c>
      <c r="I29" s="35">
        <f t="shared" si="25"/>
        <v>1632000.0000000002</v>
      </c>
      <c r="J29" s="35">
        <f t="shared" si="7"/>
        <v>48000</v>
      </c>
      <c r="K29" s="35">
        <f t="shared" si="8"/>
        <v>288000</v>
      </c>
      <c r="L29" s="35">
        <f t="shared" si="26"/>
        <v>96000</v>
      </c>
      <c r="M29" s="35">
        <f t="shared" si="10"/>
        <v>192000</v>
      </c>
      <c r="N29" s="35">
        <f t="shared" ref="N29" si="29">SUM(I29:M29)</f>
        <v>2256000</v>
      </c>
      <c r="O29" s="38">
        <v>8000000</v>
      </c>
      <c r="P29" s="35">
        <f t="shared" si="27"/>
        <v>14166000</v>
      </c>
    </row>
    <row r="30" spans="1:18" ht="14.25" x14ac:dyDescent="0.2">
      <c r="A30" s="106" t="s">
        <v>140</v>
      </c>
      <c r="B30" s="65" t="s">
        <v>23</v>
      </c>
      <c r="C30" s="37">
        <v>112215000</v>
      </c>
      <c r="D30" s="38">
        <v>45770000</v>
      </c>
      <c r="E30" s="35">
        <f t="shared" si="21"/>
        <v>3661600</v>
      </c>
      <c r="F30" s="35">
        <f t="shared" si="22"/>
        <v>686550</v>
      </c>
      <c r="G30" s="35">
        <f t="shared" si="23"/>
        <v>457700</v>
      </c>
      <c r="H30" s="35">
        <f t="shared" si="28"/>
        <v>4805850</v>
      </c>
      <c r="I30" s="35">
        <f t="shared" si="25"/>
        <v>7780900.0000000009</v>
      </c>
      <c r="J30" s="35">
        <f t="shared" si="7"/>
        <v>228850</v>
      </c>
      <c r="K30" s="35">
        <f t="shared" si="8"/>
        <v>1373100</v>
      </c>
      <c r="L30" s="35">
        <f t="shared" si="26"/>
        <v>457700</v>
      </c>
      <c r="M30" s="35">
        <f t="shared" si="10"/>
        <v>915400</v>
      </c>
      <c r="N30" s="35">
        <f t="shared" si="11"/>
        <v>10755950</v>
      </c>
      <c r="O30" s="38">
        <v>47500000</v>
      </c>
      <c r="P30" s="35">
        <f t="shared" si="27"/>
        <v>59909150</v>
      </c>
    </row>
    <row r="31" spans="1:18" ht="14.25" x14ac:dyDescent="0.2">
      <c r="A31" s="106" t="s">
        <v>141</v>
      </c>
      <c r="B31" s="76" t="s">
        <v>108</v>
      </c>
      <c r="C31" s="37">
        <v>15486000</v>
      </c>
      <c r="D31" s="38">
        <v>4577000</v>
      </c>
      <c r="E31" s="35">
        <f t="shared" si="21"/>
        <v>366160</v>
      </c>
      <c r="F31" s="35">
        <f t="shared" si="22"/>
        <v>68655</v>
      </c>
      <c r="G31" s="35">
        <f t="shared" si="23"/>
        <v>45770</v>
      </c>
      <c r="H31" s="35">
        <f t="shared" si="28"/>
        <v>480585</v>
      </c>
      <c r="I31" s="35">
        <f t="shared" si="25"/>
        <v>778090</v>
      </c>
      <c r="J31" s="35">
        <f t="shared" si="7"/>
        <v>22885</v>
      </c>
      <c r="K31" s="35">
        <f t="shared" si="8"/>
        <v>137310</v>
      </c>
      <c r="L31" s="35">
        <f t="shared" si="26"/>
        <v>45770</v>
      </c>
      <c r="M31" s="35">
        <f t="shared" si="10"/>
        <v>91540</v>
      </c>
      <c r="N31" s="35">
        <f t="shared" ref="N31" si="30">SUM(I31:M31)</f>
        <v>1075595</v>
      </c>
      <c r="O31" s="38">
        <v>6000000</v>
      </c>
      <c r="P31" s="35">
        <f t="shared" si="27"/>
        <v>9005415</v>
      </c>
    </row>
    <row r="32" spans="1:18" ht="14.25" x14ac:dyDescent="0.2">
      <c r="A32" s="106" t="s">
        <v>142</v>
      </c>
      <c r="B32" s="65" t="s">
        <v>3</v>
      </c>
      <c r="C32" s="37">
        <v>52670000</v>
      </c>
      <c r="D32" s="38">
        <v>27462000</v>
      </c>
      <c r="E32" s="35">
        <f>D32*$E$2</f>
        <v>2196960</v>
      </c>
      <c r="F32" s="35">
        <f>D32*$F$2</f>
        <v>411930</v>
      </c>
      <c r="G32" s="35">
        <f>D32*$G$2</f>
        <v>274620</v>
      </c>
      <c r="H32" s="35">
        <f>SUM(E32:G32)</f>
        <v>2883510</v>
      </c>
      <c r="I32" s="35">
        <f>D32*$I$2</f>
        <v>4668540</v>
      </c>
      <c r="J32" s="35">
        <f>D32*$J$2</f>
        <v>137310</v>
      </c>
      <c r="K32" s="35">
        <f>D32*$K$2</f>
        <v>823860</v>
      </c>
      <c r="L32" s="35">
        <f>D32*$L$2</f>
        <v>274620</v>
      </c>
      <c r="M32" s="35">
        <f>D32*$M$2</f>
        <v>549240</v>
      </c>
      <c r="N32" s="35">
        <f>SUM(I32:M32)</f>
        <v>6453570</v>
      </c>
      <c r="O32" s="38">
        <v>18000000</v>
      </c>
      <c r="P32" s="35">
        <f>C32-H32-O32</f>
        <v>31786490</v>
      </c>
    </row>
    <row r="33" spans="1:18" s="32" customFormat="1" ht="12.75" x14ac:dyDescent="0.2">
      <c r="A33" s="103"/>
      <c r="B33" s="30" t="s">
        <v>24</v>
      </c>
      <c r="C33" s="31">
        <f>SUM(C34:C37)</f>
        <v>1423759116.6185687</v>
      </c>
      <c r="D33" s="31">
        <f t="shared" ref="D33:O33" si="31">SUM(D34:D37)</f>
        <v>461797000</v>
      </c>
      <c r="E33" s="31">
        <f t="shared" si="31"/>
        <v>36943760</v>
      </c>
      <c r="F33" s="31">
        <f t="shared" si="31"/>
        <v>6926955</v>
      </c>
      <c r="G33" s="31">
        <f t="shared" si="31"/>
        <v>4617970</v>
      </c>
      <c r="H33" s="31">
        <f t="shared" si="31"/>
        <v>48488685</v>
      </c>
      <c r="I33" s="31">
        <f t="shared" si="31"/>
        <v>78505490</v>
      </c>
      <c r="J33" s="31">
        <f>SUM(J34:J37)</f>
        <v>2308985</v>
      </c>
      <c r="K33" s="31">
        <f t="shared" si="31"/>
        <v>13853910</v>
      </c>
      <c r="L33" s="31">
        <f t="shared" si="31"/>
        <v>4617970</v>
      </c>
      <c r="M33" s="31">
        <f t="shared" si="31"/>
        <v>9235940</v>
      </c>
      <c r="N33" s="31">
        <f t="shared" si="31"/>
        <v>108522295</v>
      </c>
      <c r="O33" s="31">
        <f t="shared" si="31"/>
        <v>344500000</v>
      </c>
      <c r="P33" s="31">
        <f>SUM(P34:P37)</f>
        <v>1030770431.6185687</v>
      </c>
    </row>
    <row r="34" spans="1:18" ht="51.75" x14ac:dyDescent="0.25">
      <c r="A34" s="106" t="s">
        <v>143</v>
      </c>
      <c r="B34" s="40" t="s">
        <v>148</v>
      </c>
      <c r="C34" s="41">
        <v>668590000</v>
      </c>
      <c r="D34" s="42">
        <v>218693000</v>
      </c>
      <c r="E34" s="35">
        <f>D34*$E$2</f>
        <v>17495440</v>
      </c>
      <c r="F34" s="35">
        <f>D34*$F$2</f>
        <v>3280395</v>
      </c>
      <c r="G34" s="35">
        <f>D34*$G$2</f>
        <v>2186930</v>
      </c>
      <c r="H34" s="35">
        <f>SUM(E34:G34)</f>
        <v>22962765</v>
      </c>
      <c r="I34" s="35">
        <f>D34*$I$2</f>
        <v>37177810</v>
      </c>
      <c r="J34" s="35">
        <f t="shared" si="7"/>
        <v>1093465</v>
      </c>
      <c r="K34" s="35">
        <f t="shared" si="8"/>
        <v>6560790</v>
      </c>
      <c r="L34" s="35">
        <f>D34*$L$2</f>
        <v>2186930</v>
      </c>
      <c r="M34" s="35">
        <f t="shared" si="10"/>
        <v>4373860</v>
      </c>
      <c r="N34" s="35">
        <f>SUM(I34:M34)</f>
        <v>51392855</v>
      </c>
      <c r="O34" s="42">
        <v>164000000</v>
      </c>
      <c r="P34" s="36">
        <f>C34-H34-O34</f>
        <v>481627235</v>
      </c>
      <c r="R34" s="39"/>
    </row>
    <row r="35" spans="1:18" ht="14.25" x14ac:dyDescent="0.25">
      <c r="A35" s="106" t="s">
        <v>144</v>
      </c>
      <c r="B35" s="33" t="s">
        <v>146</v>
      </c>
      <c r="C35" s="43">
        <v>200566444.83357045</v>
      </c>
      <c r="D35" s="42">
        <v>82386000</v>
      </c>
      <c r="E35" s="35">
        <f>D35*$E$2</f>
        <v>6590880</v>
      </c>
      <c r="F35" s="35">
        <f>D35*$F$2</f>
        <v>1235790</v>
      </c>
      <c r="G35" s="35">
        <f>D35*$G$2</f>
        <v>823860</v>
      </c>
      <c r="H35" s="35">
        <f>SUM(E35:G35)</f>
        <v>8650530</v>
      </c>
      <c r="I35" s="35">
        <f>D35*$I$2</f>
        <v>14005620.000000002</v>
      </c>
      <c r="J35" s="35">
        <f>D35*$J$2</f>
        <v>411930</v>
      </c>
      <c r="K35" s="35">
        <f>D35*$K$2</f>
        <v>2471580</v>
      </c>
      <c r="L35" s="35">
        <f>D35*$L$2</f>
        <v>823860</v>
      </c>
      <c r="M35" s="35">
        <f t="shared" si="10"/>
        <v>1647720</v>
      </c>
      <c r="N35" s="35">
        <f>SUM(I35:M35)</f>
        <v>19360710</v>
      </c>
      <c r="O35" s="42">
        <v>47500000</v>
      </c>
      <c r="P35" s="36">
        <f>C35-H35-O35</f>
        <v>144415914.83357045</v>
      </c>
      <c r="R35" s="39"/>
    </row>
    <row r="36" spans="1:18" ht="14.25" x14ac:dyDescent="0.25">
      <c r="A36" s="106" t="s">
        <v>144</v>
      </c>
      <c r="B36" s="33" t="s">
        <v>41</v>
      </c>
      <c r="C36" s="43">
        <v>282975279.95807511</v>
      </c>
      <c r="D36" s="42">
        <v>68655000</v>
      </c>
      <c r="E36" s="35">
        <f>D36*$E$2</f>
        <v>5492400</v>
      </c>
      <c r="F36" s="35">
        <f>D36*$F$2</f>
        <v>1029825</v>
      </c>
      <c r="G36" s="35">
        <f>D36*$G$2</f>
        <v>686550</v>
      </c>
      <c r="H36" s="35">
        <f>SUM(E36:G36)</f>
        <v>7208775</v>
      </c>
      <c r="I36" s="35">
        <f>D36*$I$2</f>
        <v>11671350</v>
      </c>
      <c r="J36" s="35">
        <f>D36*$J$2</f>
        <v>343275</v>
      </c>
      <c r="K36" s="35">
        <f>D36*$K$2</f>
        <v>2059650</v>
      </c>
      <c r="L36" s="35">
        <f>D36*$L$2</f>
        <v>686550</v>
      </c>
      <c r="M36" s="35">
        <f t="shared" si="10"/>
        <v>1373100</v>
      </c>
      <c r="N36" s="35">
        <f>SUM(I36:M36)</f>
        <v>16133925</v>
      </c>
      <c r="O36" s="42">
        <v>64000000</v>
      </c>
      <c r="P36" s="36">
        <f>C36-H36-O36</f>
        <v>211766504.95807511</v>
      </c>
      <c r="R36" s="39"/>
    </row>
    <row r="37" spans="1:18" ht="14.25" x14ac:dyDescent="0.25">
      <c r="A37" s="106" t="s">
        <v>145</v>
      </c>
      <c r="B37" s="33" t="s">
        <v>42</v>
      </c>
      <c r="C37" s="41">
        <v>271627391.82692307</v>
      </c>
      <c r="D37" s="42">
        <v>92063000</v>
      </c>
      <c r="E37" s="35">
        <f t="shared" ref="E37" si="32">D37*$E$2</f>
        <v>7365040</v>
      </c>
      <c r="F37" s="35">
        <f t="shared" ref="F37" si="33">D37*$F$2</f>
        <v>1380945</v>
      </c>
      <c r="G37" s="35">
        <f t="shared" ref="G37" si="34">D37*$G$2</f>
        <v>920630</v>
      </c>
      <c r="H37" s="35">
        <f t="shared" ref="H37" si="35">SUM(E37:G37)</f>
        <v>9666615</v>
      </c>
      <c r="I37" s="35">
        <f t="shared" ref="I37" si="36">D37*$I$2</f>
        <v>15650710.000000002</v>
      </c>
      <c r="J37" s="35">
        <f t="shared" si="7"/>
        <v>460315</v>
      </c>
      <c r="K37" s="35">
        <f t="shared" si="8"/>
        <v>2761890</v>
      </c>
      <c r="L37" s="35">
        <f t="shared" ref="L37" si="37">D37*$L$2</f>
        <v>920630</v>
      </c>
      <c r="M37" s="35">
        <f t="shared" si="10"/>
        <v>1841260</v>
      </c>
      <c r="N37" s="35">
        <f>SUM(I37:M37)</f>
        <v>21634805</v>
      </c>
      <c r="O37" s="42">
        <v>69000000</v>
      </c>
      <c r="P37" s="54">
        <f>C37-H37-O37</f>
        <v>192960776.82692307</v>
      </c>
      <c r="R37" s="39"/>
    </row>
    <row r="38" spans="1:18" ht="12.75" x14ac:dyDescent="0.2">
      <c r="B38" s="29" t="s">
        <v>4</v>
      </c>
      <c r="C38" s="28">
        <f t="shared" ref="C38:O38" si="38">+C4+C20+C33</f>
        <v>3245241705.0801067</v>
      </c>
      <c r="D38" s="28">
        <f t="shared" si="38"/>
        <v>904683000</v>
      </c>
      <c r="E38" s="28">
        <f t="shared" si="38"/>
        <v>71710640</v>
      </c>
      <c r="F38" s="28">
        <f t="shared" si="38"/>
        <v>13445745</v>
      </c>
      <c r="G38" s="28">
        <f t="shared" si="38"/>
        <v>8963830</v>
      </c>
      <c r="H38" s="28">
        <f t="shared" si="38"/>
        <v>94120215</v>
      </c>
      <c r="I38" s="28">
        <f t="shared" si="38"/>
        <v>152385110</v>
      </c>
      <c r="J38" s="28">
        <f t="shared" si="38"/>
        <v>4523415</v>
      </c>
      <c r="K38" s="28">
        <f t="shared" si="38"/>
        <v>26891490</v>
      </c>
      <c r="L38" s="28">
        <f t="shared" si="38"/>
        <v>8963830</v>
      </c>
      <c r="M38" s="28">
        <f t="shared" si="38"/>
        <v>17927660</v>
      </c>
      <c r="N38" s="28">
        <f t="shared" si="38"/>
        <v>210691505</v>
      </c>
      <c r="O38" s="28">
        <f t="shared" si="38"/>
        <v>530750000</v>
      </c>
      <c r="P38" s="28">
        <f>+P4+P20+P33</f>
        <v>2620371490.0801067</v>
      </c>
    </row>
    <row r="39" spans="1:18" ht="14.25" customHeight="1" x14ac:dyDescent="0.2">
      <c r="M39" s="39"/>
      <c r="N39" s="39"/>
      <c r="P39" s="74">
        <v>2620477000</v>
      </c>
    </row>
    <row r="40" spans="1:18" ht="12.75" x14ac:dyDescent="0.2">
      <c r="P40" s="39">
        <f>P39-P38</f>
        <v>105509.91989326477</v>
      </c>
    </row>
    <row r="41" spans="1:18" ht="12.75" x14ac:dyDescent="0.2">
      <c r="B41" s="25"/>
      <c r="C41" s="102"/>
    </row>
    <row r="42" spans="1:18" ht="12.75" x14ac:dyDescent="0.2">
      <c r="B42" s="25"/>
      <c r="C42" s="102"/>
      <c r="M42" s="25"/>
      <c r="N42" s="74"/>
      <c r="O42" s="74"/>
      <c r="P42" s="74"/>
    </row>
    <row r="43" spans="1:18" ht="12.75" x14ac:dyDescent="0.2">
      <c r="B43" s="25"/>
      <c r="C43" s="102"/>
      <c r="L43" s="74"/>
      <c r="M43" s="74"/>
      <c r="N43" s="74"/>
      <c r="O43" s="74"/>
      <c r="P43" s="74"/>
    </row>
    <row r="44" spans="1:18" ht="12.75" x14ac:dyDescent="0.2">
      <c r="B44" s="25"/>
      <c r="C44" s="102"/>
      <c r="M44" s="25"/>
      <c r="N44" s="74"/>
      <c r="O44" s="74"/>
      <c r="P44" s="74"/>
    </row>
    <row r="45" spans="1:18" ht="12.75" x14ac:dyDescent="0.2">
      <c r="B45" s="25"/>
      <c r="C45" s="102"/>
      <c r="M45" s="25"/>
      <c r="N45" s="74"/>
      <c r="O45" s="74"/>
      <c r="P45" s="74"/>
    </row>
    <row r="46" spans="1:18" ht="12.75" x14ac:dyDescent="0.2">
      <c r="B46" s="25"/>
      <c r="C46" s="102"/>
      <c r="M46" s="25"/>
      <c r="N46" s="74"/>
      <c r="O46" s="74"/>
      <c r="P46" s="74"/>
    </row>
    <row r="47" spans="1:18" ht="12.75" x14ac:dyDescent="0.2">
      <c r="B47" s="25"/>
      <c r="C47" s="102"/>
      <c r="K47" s="39"/>
      <c r="P47" s="74"/>
    </row>
    <row r="48" spans="1:18" ht="12.75" x14ac:dyDescent="0.2">
      <c r="B48" s="25"/>
      <c r="C48" s="102"/>
      <c r="P48" s="74"/>
    </row>
    <row r="49" spans="2:18" ht="12.75" x14ac:dyDescent="0.2">
      <c r="B49" s="25"/>
      <c r="C49" s="102"/>
      <c r="P49" s="74"/>
    </row>
    <row r="50" spans="2:18" ht="12.75" x14ac:dyDescent="0.2">
      <c r="B50" s="25"/>
      <c r="C50" s="102"/>
      <c r="P50" s="74"/>
    </row>
    <row r="51" spans="2:18" ht="12.75" x14ac:dyDescent="0.2">
      <c r="B51" s="39"/>
      <c r="P51" s="74"/>
    </row>
    <row r="52" spans="2:18" ht="12.75" x14ac:dyDescent="0.2">
      <c r="P52" s="74"/>
    </row>
    <row r="53" spans="2:18" ht="12.75" x14ac:dyDescent="0.2"/>
    <row r="54" spans="2:18" s="98" customFormat="1" ht="12.75" x14ac:dyDescent="0.2">
      <c r="K54" s="24"/>
      <c r="L54" s="24"/>
      <c r="M54" s="24"/>
      <c r="R54" s="24"/>
    </row>
    <row r="55" spans="2:18" ht="12.75" x14ac:dyDescent="0.2">
      <c r="O55" s="39"/>
      <c r="P55" s="74"/>
    </row>
    <row r="56" spans="2:18" ht="12.75" x14ac:dyDescent="0.2">
      <c r="P56" s="74"/>
    </row>
    <row r="57" spans="2:18" ht="12.75" x14ac:dyDescent="0.2">
      <c r="P57" s="74"/>
    </row>
    <row r="58" spans="2:18" s="98" customFormat="1" ht="12.75" x14ac:dyDescent="0.2">
      <c r="K58" s="24"/>
      <c r="L58" s="24"/>
      <c r="M58" s="24"/>
      <c r="P58" s="107"/>
      <c r="R58" s="24"/>
    </row>
    <row r="59" spans="2:18" s="118" customFormat="1" ht="13.5" x14ac:dyDescent="0.25">
      <c r="C59" s="119"/>
      <c r="K59" s="24"/>
      <c r="L59" s="24"/>
      <c r="M59" s="24"/>
      <c r="R59" s="24"/>
    </row>
    <row r="60" spans="2:18" ht="12.75" x14ac:dyDescent="0.2">
      <c r="N60" s="32"/>
      <c r="O60" s="32"/>
    </row>
    <row r="61" spans="2:18" ht="12.75" x14ac:dyDescent="0.2"/>
    <row r="62" spans="2:18" s="98" customFormat="1" ht="12.75" x14ac:dyDescent="0.2">
      <c r="C62" s="117"/>
      <c r="K62" s="24"/>
      <c r="L62" s="24"/>
      <c r="M62" s="24"/>
      <c r="N62" s="120"/>
      <c r="O62" s="120"/>
    </row>
    <row r="63" spans="2:18" ht="12.75" x14ac:dyDescent="0.2">
      <c r="N63" s="32"/>
      <c r="O63" s="32"/>
    </row>
    <row r="64" spans="2:18" ht="12.75" x14ac:dyDescent="0.2">
      <c r="K64" s="39"/>
      <c r="L64" s="39"/>
    </row>
    <row r="65" ht="12.75" x14ac:dyDescent="0.2"/>
    <row r="66" ht="12.75" x14ac:dyDescent="0.2"/>
    <row r="67" ht="12.75" x14ac:dyDescent="0.2"/>
    <row r="68" ht="12.75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opLeftCell="A13" workbookViewId="0">
      <selection activeCell="C24" sqref="C24"/>
    </sheetView>
  </sheetViews>
  <sheetFormatPr defaultRowHeight="15" x14ac:dyDescent="0.25"/>
  <cols>
    <col min="1" max="1" width="2.7109375" customWidth="1"/>
    <col min="2" max="2" width="30.7109375" customWidth="1"/>
    <col min="3" max="3" width="21.42578125" style="70" customWidth="1"/>
    <col min="4" max="4" width="21.42578125" customWidth="1"/>
  </cols>
  <sheetData>
    <row r="1" spans="2:5" ht="27.6" customHeight="1" x14ac:dyDescent="0.35">
      <c r="B1" s="109" t="s">
        <v>102</v>
      </c>
      <c r="C1" s="109"/>
      <c r="D1" s="109"/>
    </row>
    <row r="2" spans="2:5" x14ac:dyDescent="0.25">
      <c r="B2" s="18"/>
      <c r="C2" s="108" t="s">
        <v>72</v>
      </c>
      <c r="D2" s="108"/>
    </row>
    <row r="3" spans="2:5" x14ac:dyDescent="0.25">
      <c r="B3" s="18" t="s">
        <v>52</v>
      </c>
      <c r="C3" s="72" t="s">
        <v>53</v>
      </c>
      <c r="D3" s="19" t="s">
        <v>54</v>
      </c>
    </row>
    <row r="4" spans="2:5" x14ac:dyDescent="0.25">
      <c r="B4" s="71" t="s">
        <v>73</v>
      </c>
      <c r="C4" s="73">
        <v>400000000</v>
      </c>
      <c r="D4" s="71"/>
    </row>
    <row r="5" spans="2:5" x14ac:dyDescent="0.25">
      <c r="B5" s="71" t="s">
        <v>74</v>
      </c>
      <c r="C5" s="73">
        <v>144000000</v>
      </c>
      <c r="D5" s="71"/>
    </row>
    <row r="6" spans="2:5" x14ac:dyDescent="0.25">
      <c r="B6" s="71" t="s">
        <v>75</v>
      </c>
      <c r="C6" s="73">
        <v>12000000</v>
      </c>
      <c r="D6" s="71"/>
    </row>
    <row r="7" spans="2:5" x14ac:dyDescent="0.25">
      <c r="B7" s="71" t="s">
        <v>76</v>
      </c>
      <c r="C7" s="73">
        <v>134000000</v>
      </c>
      <c r="D7" s="71"/>
    </row>
    <row r="8" spans="2:5" x14ac:dyDescent="0.25">
      <c r="B8" s="71" t="s">
        <v>77</v>
      </c>
      <c r="C8" s="73">
        <v>54000000</v>
      </c>
      <c r="D8" s="71"/>
    </row>
    <row r="9" spans="2:5" x14ac:dyDescent="0.25">
      <c r="B9" s="71" t="s">
        <v>78</v>
      </c>
      <c r="C9" s="73">
        <v>74000000</v>
      </c>
      <c r="D9" s="71"/>
    </row>
    <row r="10" spans="2:5" x14ac:dyDescent="0.25">
      <c r="B10" s="71" t="s">
        <v>79</v>
      </c>
      <c r="C10" s="73">
        <v>98000000</v>
      </c>
      <c r="D10" s="71"/>
    </row>
    <row r="11" spans="2:5" x14ac:dyDescent="0.25">
      <c r="B11" s="71" t="s">
        <v>80</v>
      </c>
      <c r="C11" s="73">
        <v>124000000</v>
      </c>
      <c r="D11" s="71"/>
      <c r="E11">
        <f>50+20+69</f>
        <v>139</v>
      </c>
    </row>
    <row r="12" spans="2:5" x14ac:dyDescent="0.25">
      <c r="B12" s="71" t="s">
        <v>81</v>
      </c>
      <c r="C12" s="73">
        <v>60000000</v>
      </c>
      <c r="D12" s="71"/>
    </row>
    <row r="13" spans="2:5" x14ac:dyDescent="0.25">
      <c r="B13" s="71" t="s">
        <v>98</v>
      </c>
      <c r="C13" s="73">
        <v>50000000</v>
      </c>
      <c r="D13" s="71"/>
    </row>
    <row r="14" spans="2:5" x14ac:dyDescent="0.25">
      <c r="B14" s="71" t="s">
        <v>82</v>
      </c>
      <c r="C14" s="73">
        <v>44000000</v>
      </c>
      <c r="D14" s="71"/>
    </row>
    <row r="15" spans="2:5" x14ac:dyDescent="0.25">
      <c r="B15" s="71" t="s">
        <v>83</v>
      </c>
      <c r="C15" s="73">
        <v>81000000</v>
      </c>
      <c r="D15" s="71"/>
    </row>
    <row r="16" spans="2:5" x14ac:dyDescent="0.25">
      <c r="B16" s="71" t="s">
        <v>84</v>
      </c>
      <c r="C16" s="73">
        <v>126000000</v>
      </c>
      <c r="D16" s="71"/>
    </row>
    <row r="17" spans="2:4" x14ac:dyDescent="0.25">
      <c r="B17" s="71" t="s">
        <v>99</v>
      </c>
      <c r="C17" s="73">
        <v>15000000</v>
      </c>
      <c r="D17" s="71"/>
    </row>
    <row r="18" spans="2:4" x14ac:dyDescent="0.25">
      <c r="B18" s="71" t="s">
        <v>100</v>
      </c>
      <c r="C18" s="73">
        <v>15000000</v>
      </c>
      <c r="D18" s="71"/>
    </row>
    <row r="19" spans="2:4" x14ac:dyDescent="0.25">
      <c r="B19" s="71" t="s">
        <v>101</v>
      </c>
      <c r="C19" s="73">
        <v>15000000</v>
      </c>
      <c r="D19" s="71"/>
    </row>
    <row r="20" spans="2:4" x14ac:dyDescent="0.25">
      <c r="B20" s="71" t="s">
        <v>85</v>
      </c>
      <c r="C20" s="73">
        <v>15000000</v>
      </c>
      <c r="D20" s="71"/>
    </row>
    <row r="21" spans="2:4" x14ac:dyDescent="0.25">
      <c r="B21" s="71" t="s">
        <v>86</v>
      </c>
      <c r="C21" s="73">
        <v>38000000</v>
      </c>
      <c r="D21" s="71"/>
    </row>
    <row r="22" spans="2:4" x14ac:dyDescent="0.25">
      <c r="B22" s="71" t="s">
        <v>87</v>
      </c>
      <c r="C22" s="73">
        <v>25000000</v>
      </c>
      <c r="D22" s="71"/>
    </row>
    <row r="23" spans="2:4" x14ac:dyDescent="0.25">
      <c r="B23" s="71" t="s">
        <v>88</v>
      </c>
      <c r="C23" s="73">
        <v>25000000</v>
      </c>
      <c r="D23" s="71"/>
    </row>
    <row r="24" spans="2:4" x14ac:dyDescent="0.25">
      <c r="B24" s="71" t="s">
        <v>55</v>
      </c>
      <c r="C24" s="73">
        <v>40000000</v>
      </c>
      <c r="D24" s="71"/>
    </row>
    <row r="25" spans="2:4" x14ac:dyDescent="0.25">
      <c r="B25" s="71" t="s">
        <v>56</v>
      </c>
      <c r="C25" s="73">
        <v>112000000</v>
      </c>
      <c r="D25" s="71"/>
    </row>
    <row r="26" spans="2:4" x14ac:dyDescent="0.25">
      <c r="B26" s="71" t="s">
        <v>89</v>
      </c>
      <c r="C26" s="73">
        <v>92000000</v>
      </c>
      <c r="D26" s="71"/>
    </row>
    <row r="27" spans="2:4" x14ac:dyDescent="0.25">
      <c r="B27" s="71" t="s">
        <v>90</v>
      </c>
      <c r="C27" s="73">
        <v>94000000</v>
      </c>
      <c r="D27" s="71"/>
    </row>
    <row r="28" spans="2:4" x14ac:dyDescent="0.25">
      <c r="B28" s="71" t="s">
        <v>91</v>
      </c>
      <c r="C28" s="73">
        <v>82000000</v>
      </c>
      <c r="D28" s="71"/>
    </row>
    <row r="29" spans="2:4" x14ac:dyDescent="0.25">
      <c r="B29" s="71" t="s">
        <v>92</v>
      </c>
      <c r="C29" s="73">
        <v>98000000</v>
      </c>
      <c r="D29" s="71"/>
    </row>
    <row r="30" spans="2:4" x14ac:dyDescent="0.25">
      <c r="B30" s="71" t="s">
        <v>93</v>
      </c>
      <c r="C30" s="73">
        <v>234000000</v>
      </c>
      <c r="D30" s="71"/>
    </row>
    <row r="31" spans="2:4" x14ac:dyDescent="0.25">
      <c r="B31" s="71" t="s">
        <v>94</v>
      </c>
      <c r="C31" s="73">
        <v>42000000</v>
      </c>
      <c r="D31" s="71"/>
    </row>
    <row r="32" spans="2:4" x14ac:dyDescent="0.25">
      <c r="B32" s="71" t="s">
        <v>95</v>
      </c>
      <c r="C32" s="73">
        <v>15000000</v>
      </c>
      <c r="D32" s="71"/>
    </row>
    <row r="33" spans="2:4" x14ac:dyDescent="0.25">
      <c r="B33" s="71" t="s">
        <v>96</v>
      </c>
      <c r="C33" s="73">
        <v>144000000</v>
      </c>
      <c r="D33" s="71"/>
    </row>
    <row r="34" spans="2:4" x14ac:dyDescent="0.25">
      <c r="B34" s="71" t="s">
        <v>97</v>
      </c>
      <c r="C34" s="73">
        <v>32000000</v>
      </c>
      <c r="D34" s="71"/>
    </row>
    <row r="35" spans="2:4" x14ac:dyDescent="0.25">
      <c r="C35" s="1">
        <f>SUM(C4:C34)</f>
        <v>2534000000</v>
      </c>
    </row>
  </sheetData>
  <mergeCells count="2">
    <mergeCell ref="C2:D2"/>
    <mergeCell ref="B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36"/>
  <sheetViews>
    <sheetView workbookViewId="0">
      <selection activeCell="D29" sqref="D29"/>
    </sheetView>
  </sheetViews>
  <sheetFormatPr defaultRowHeight="15" x14ac:dyDescent="0.25"/>
  <cols>
    <col min="1" max="1" width="40" style="82" customWidth="1"/>
    <col min="2" max="2" width="20.28515625" style="82" customWidth="1"/>
    <col min="3" max="4" width="18.42578125" style="82" customWidth="1"/>
    <col min="5" max="5" width="9.140625" style="82"/>
    <col min="6" max="6" width="11" style="82" bestFit="1" customWidth="1"/>
    <col min="7" max="16384" width="9.140625" style="82"/>
  </cols>
  <sheetData>
    <row r="1" spans="1:6" x14ac:dyDescent="0.25">
      <c r="B1" s="83">
        <f>SUM(B4:B35)</f>
        <v>2534000000</v>
      </c>
      <c r="C1" s="83">
        <f>SUM(C4:C35)</f>
        <v>4529112000</v>
      </c>
    </row>
    <row r="2" spans="1:6" ht="20.25" customHeight="1" x14ac:dyDescent="0.25">
      <c r="A2" s="113" t="s">
        <v>116</v>
      </c>
      <c r="B2" s="110" t="s">
        <v>72</v>
      </c>
      <c r="C2" s="111"/>
      <c r="D2" s="112"/>
    </row>
    <row r="3" spans="1:6" ht="15.75" x14ac:dyDescent="0.25">
      <c r="A3" s="114"/>
      <c r="B3" s="77" t="s">
        <v>53</v>
      </c>
      <c r="C3" s="77" t="s">
        <v>54</v>
      </c>
      <c r="D3" s="77" t="s">
        <v>113</v>
      </c>
    </row>
    <row r="4" spans="1:6" ht="15.75" x14ac:dyDescent="0.25">
      <c r="A4" s="84" t="s">
        <v>73</v>
      </c>
      <c r="B4" s="85">
        <v>400000000</v>
      </c>
      <c r="C4" s="85">
        <v>1768000000</v>
      </c>
      <c r="D4" s="79">
        <f>C4+B4</f>
        <v>2168000000</v>
      </c>
    </row>
    <row r="5" spans="1:6" ht="15.75" x14ac:dyDescent="0.25">
      <c r="A5" s="86" t="s">
        <v>74</v>
      </c>
      <c r="B5" s="87">
        <v>144000000</v>
      </c>
      <c r="C5" s="87">
        <v>194960000</v>
      </c>
      <c r="D5" s="79">
        <f t="shared" ref="D5:D35" si="0">C5+B5</f>
        <v>338960000</v>
      </c>
    </row>
    <row r="6" spans="1:6" ht="15.75" x14ac:dyDescent="0.25">
      <c r="A6" s="89" t="s">
        <v>75</v>
      </c>
      <c r="B6" s="87">
        <v>12000000</v>
      </c>
      <c r="C6" s="87">
        <v>17150000</v>
      </c>
      <c r="D6" s="79">
        <f t="shared" si="0"/>
        <v>29150000</v>
      </c>
    </row>
    <row r="7" spans="1:6" ht="15.75" x14ac:dyDescent="0.25">
      <c r="A7" s="86" t="s">
        <v>76</v>
      </c>
      <c r="B7" s="87">
        <v>134000000</v>
      </c>
      <c r="C7" s="87">
        <v>472880000</v>
      </c>
      <c r="D7" s="79">
        <f t="shared" si="0"/>
        <v>606880000</v>
      </c>
      <c r="F7" s="83"/>
    </row>
    <row r="8" spans="1:6" ht="15.75" x14ac:dyDescent="0.25">
      <c r="A8" s="86" t="s">
        <v>77</v>
      </c>
      <c r="B8" s="87">
        <v>54000000</v>
      </c>
      <c r="C8" s="87">
        <v>141240000</v>
      </c>
      <c r="D8" s="79">
        <f t="shared" si="0"/>
        <v>195240000</v>
      </c>
    </row>
    <row r="9" spans="1:6" ht="15.75" x14ac:dyDescent="0.25">
      <c r="A9" s="86" t="s">
        <v>78</v>
      </c>
      <c r="B9" s="87">
        <v>74000000</v>
      </c>
      <c r="C9" s="87">
        <v>119970000</v>
      </c>
      <c r="D9" s="79">
        <f t="shared" si="0"/>
        <v>193970000</v>
      </c>
    </row>
    <row r="10" spans="1:6" ht="15.75" x14ac:dyDescent="0.25">
      <c r="A10" s="86" t="s">
        <v>79</v>
      </c>
      <c r="B10" s="87">
        <v>98000000</v>
      </c>
      <c r="C10" s="87">
        <v>146640000</v>
      </c>
      <c r="D10" s="79">
        <f t="shared" si="0"/>
        <v>244640000</v>
      </c>
    </row>
    <row r="11" spans="1:6" ht="15.75" x14ac:dyDescent="0.25">
      <c r="A11" s="86" t="s">
        <v>109</v>
      </c>
      <c r="B11" s="87">
        <f>12000000+50000000</f>
        <v>62000000</v>
      </c>
      <c r="C11" s="87">
        <v>102920000</v>
      </c>
      <c r="D11" s="79">
        <f t="shared" si="0"/>
        <v>164920000</v>
      </c>
    </row>
    <row r="12" spans="1:6" ht="15.75" x14ac:dyDescent="0.25">
      <c r="A12" s="86" t="s">
        <v>110</v>
      </c>
      <c r="B12" s="87">
        <v>77000000</v>
      </c>
      <c r="C12" s="87">
        <v>30560000</v>
      </c>
      <c r="D12" s="79">
        <f t="shared" si="0"/>
        <v>107560000</v>
      </c>
    </row>
    <row r="13" spans="1:6" ht="15.75" x14ac:dyDescent="0.25">
      <c r="A13" s="86" t="s">
        <v>81</v>
      </c>
      <c r="B13" s="87">
        <v>60000000</v>
      </c>
      <c r="C13" s="87">
        <v>52910000</v>
      </c>
      <c r="D13" s="79">
        <f t="shared" si="0"/>
        <v>112910000</v>
      </c>
    </row>
    <row r="14" spans="1:6" ht="15.75" x14ac:dyDescent="0.25">
      <c r="A14" s="86" t="s">
        <v>98</v>
      </c>
      <c r="B14" s="87">
        <v>50000000</v>
      </c>
      <c r="C14" s="87">
        <f>255120000+20000000+2622000</f>
        <v>277742000</v>
      </c>
      <c r="D14" s="79">
        <f t="shared" si="0"/>
        <v>327742000</v>
      </c>
    </row>
    <row r="15" spans="1:6" ht="15.75" x14ac:dyDescent="0.25">
      <c r="A15" s="86" t="s">
        <v>111</v>
      </c>
      <c r="B15" s="87">
        <v>44000000</v>
      </c>
      <c r="C15" s="87">
        <v>57720000</v>
      </c>
      <c r="D15" s="79">
        <f t="shared" si="0"/>
        <v>101720000</v>
      </c>
    </row>
    <row r="16" spans="1:6" ht="15.75" x14ac:dyDescent="0.25">
      <c r="A16" s="86" t="s">
        <v>83</v>
      </c>
      <c r="B16" s="87">
        <v>81000000</v>
      </c>
      <c r="C16" s="87">
        <v>102880000</v>
      </c>
      <c r="D16" s="79">
        <f t="shared" si="0"/>
        <v>183880000</v>
      </c>
    </row>
    <row r="17" spans="1:4" ht="15.75" x14ac:dyDescent="0.25">
      <c r="A17" s="86" t="s">
        <v>84</v>
      </c>
      <c r="B17" s="87">
        <v>126000000</v>
      </c>
      <c r="C17" s="87">
        <v>107650000</v>
      </c>
      <c r="D17" s="79">
        <f t="shared" si="0"/>
        <v>233650000</v>
      </c>
    </row>
    <row r="18" spans="1:4" ht="15.75" x14ac:dyDescent="0.25">
      <c r="A18" s="86" t="s">
        <v>99</v>
      </c>
      <c r="B18" s="87">
        <v>15000000</v>
      </c>
      <c r="C18" s="87">
        <v>17060000</v>
      </c>
      <c r="D18" s="79">
        <f t="shared" si="0"/>
        <v>32060000</v>
      </c>
    </row>
    <row r="19" spans="1:4" ht="15.75" x14ac:dyDescent="0.25">
      <c r="A19" s="90" t="s">
        <v>100</v>
      </c>
      <c r="B19" s="87">
        <v>15000000</v>
      </c>
      <c r="C19" s="87">
        <v>19620000</v>
      </c>
      <c r="D19" s="79">
        <f t="shared" si="0"/>
        <v>34620000</v>
      </c>
    </row>
    <row r="20" spans="1:4" ht="15.75" x14ac:dyDescent="0.25">
      <c r="A20" s="86" t="s">
        <v>101</v>
      </c>
      <c r="B20" s="87">
        <v>15000000</v>
      </c>
      <c r="C20" s="87">
        <v>21860000</v>
      </c>
      <c r="D20" s="79">
        <f t="shared" si="0"/>
        <v>36860000</v>
      </c>
    </row>
    <row r="21" spans="1:4" ht="15.75" x14ac:dyDescent="0.25">
      <c r="A21" s="86" t="s">
        <v>114</v>
      </c>
      <c r="B21" s="85">
        <v>0</v>
      </c>
      <c r="C21" s="87">
        <v>5000000</v>
      </c>
      <c r="D21" s="79">
        <f t="shared" si="0"/>
        <v>5000000</v>
      </c>
    </row>
    <row r="22" spans="1:4" ht="15.75" x14ac:dyDescent="0.25">
      <c r="A22" s="86" t="s">
        <v>85</v>
      </c>
      <c r="B22" s="87">
        <v>15000000</v>
      </c>
      <c r="C22" s="87">
        <v>34110000</v>
      </c>
      <c r="D22" s="79">
        <f t="shared" si="0"/>
        <v>49110000</v>
      </c>
    </row>
    <row r="23" spans="1:4" ht="15.75" x14ac:dyDescent="0.25">
      <c r="A23" s="86" t="s">
        <v>86</v>
      </c>
      <c r="B23" s="87">
        <v>38000000</v>
      </c>
      <c r="C23" s="87">
        <v>107240000</v>
      </c>
      <c r="D23" s="79">
        <f t="shared" si="0"/>
        <v>145240000</v>
      </c>
    </row>
    <row r="24" spans="1:4" ht="15.75" x14ac:dyDescent="0.25">
      <c r="A24" s="86" t="s">
        <v>87</v>
      </c>
      <c r="B24" s="87">
        <v>25000000</v>
      </c>
      <c r="C24" s="87">
        <v>30120000</v>
      </c>
      <c r="D24" s="79">
        <f t="shared" si="0"/>
        <v>55120000</v>
      </c>
    </row>
    <row r="25" spans="1:4" ht="15.75" x14ac:dyDescent="0.25">
      <c r="A25" s="86" t="s">
        <v>88</v>
      </c>
      <c r="B25" s="87">
        <v>25000000</v>
      </c>
      <c r="C25" s="87">
        <v>28070000</v>
      </c>
      <c r="D25" s="79">
        <f t="shared" si="0"/>
        <v>53070000</v>
      </c>
    </row>
    <row r="26" spans="1:4" ht="15.75" x14ac:dyDescent="0.25">
      <c r="A26" s="86" t="s">
        <v>92</v>
      </c>
      <c r="B26" s="87">
        <v>98000000</v>
      </c>
      <c r="C26" s="87">
        <v>47680000</v>
      </c>
      <c r="D26" s="79">
        <f t="shared" si="0"/>
        <v>145680000</v>
      </c>
    </row>
    <row r="27" spans="1:4" ht="15.75" x14ac:dyDescent="0.25">
      <c r="A27" s="86" t="s">
        <v>115</v>
      </c>
      <c r="B27" s="87">
        <v>234000000</v>
      </c>
      <c r="C27" s="87">
        <v>183440000</v>
      </c>
      <c r="D27" s="79">
        <f t="shared" si="0"/>
        <v>417440000</v>
      </c>
    </row>
    <row r="28" spans="1:4" ht="15.75" x14ac:dyDescent="0.25">
      <c r="A28" s="86" t="s">
        <v>94</v>
      </c>
      <c r="B28" s="87">
        <v>42000000</v>
      </c>
      <c r="C28" s="87">
        <v>27270000</v>
      </c>
      <c r="D28" s="79">
        <f t="shared" si="0"/>
        <v>69270000</v>
      </c>
    </row>
    <row r="29" spans="1:4" ht="15.75" x14ac:dyDescent="0.25">
      <c r="A29" s="86" t="s">
        <v>96</v>
      </c>
      <c r="B29" s="87">
        <v>144000000</v>
      </c>
      <c r="C29" s="87">
        <v>28030000</v>
      </c>
      <c r="D29" s="79">
        <f t="shared" si="0"/>
        <v>172030000</v>
      </c>
    </row>
    <row r="30" spans="1:4" ht="15.75" x14ac:dyDescent="0.25">
      <c r="A30" s="88" t="s">
        <v>112</v>
      </c>
      <c r="B30" s="87">
        <v>32000000</v>
      </c>
      <c r="C30" s="87">
        <v>46100000</v>
      </c>
      <c r="D30" s="79">
        <f t="shared" si="0"/>
        <v>78100000</v>
      </c>
    </row>
    <row r="31" spans="1:4" ht="15.75" x14ac:dyDescent="0.25">
      <c r="A31" s="86" t="s">
        <v>55</v>
      </c>
      <c r="B31" s="87">
        <v>40000000</v>
      </c>
      <c r="C31" s="87">
        <v>79290000</v>
      </c>
      <c r="D31" s="79">
        <f t="shared" si="0"/>
        <v>119290000</v>
      </c>
    </row>
    <row r="32" spans="1:4" ht="15.75" x14ac:dyDescent="0.25">
      <c r="A32" s="86" t="s">
        <v>56</v>
      </c>
      <c r="B32" s="87">
        <v>112000000</v>
      </c>
      <c r="C32" s="87">
        <v>121500000</v>
      </c>
      <c r="D32" s="79">
        <f t="shared" si="0"/>
        <v>233500000</v>
      </c>
    </row>
    <row r="33" spans="1:4" ht="15.75" x14ac:dyDescent="0.25">
      <c r="A33" s="86" t="s">
        <v>89</v>
      </c>
      <c r="B33" s="87">
        <v>92000000</v>
      </c>
      <c r="C33" s="87">
        <v>61000000</v>
      </c>
      <c r="D33" s="79">
        <f t="shared" si="0"/>
        <v>153000000</v>
      </c>
    </row>
    <row r="34" spans="1:4" ht="15.75" x14ac:dyDescent="0.25">
      <c r="A34" s="86" t="s">
        <v>90</v>
      </c>
      <c r="B34" s="87">
        <v>94000000</v>
      </c>
      <c r="C34" s="87">
        <v>34000000</v>
      </c>
      <c r="D34" s="79">
        <f t="shared" si="0"/>
        <v>128000000</v>
      </c>
    </row>
    <row r="35" spans="1:4" ht="15.75" x14ac:dyDescent="0.25">
      <c r="A35" s="86" t="s">
        <v>91</v>
      </c>
      <c r="B35" s="87">
        <v>82000000</v>
      </c>
      <c r="C35" s="87">
        <v>44500000</v>
      </c>
      <c r="D35" s="79">
        <f t="shared" si="0"/>
        <v>126500000</v>
      </c>
    </row>
    <row r="36" spans="1:4" ht="15.75" x14ac:dyDescent="0.25">
      <c r="A36" s="80"/>
      <c r="B36" s="80"/>
      <c r="C36" s="78">
        <f>SUM(C4:C35)</f>
        <v>4529112000</v>
      </c>
      <c r="D36" s="81"/>
    </row>
  </sheetData>
  <mergeCells count="2">
    <mergeCell ref="B2:D2"/>
    <mergeCell ref="A2:A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zoomScaleNormal="100" workbookViewId="0">
      <pane xSplit="3" ySplit="3" topLeftCell="H7" activePane="bottomRight" state="frozen"/>
      <selection pane="topRight" activeCell="D1" sqref="D1"/>
      <selection pane="bottomLeft" activeCell="A4" sqref="A4"/>
      <selection pane="bottomRight" activeCell="B21" sqref="B21"/>
    </sheetView>
  </sheetViews>
  <sheetFormatPr defaultColWidth="36.42578125" defaultRowHeight="12.75" x14ac:dyDescent="0.2"/>
  <cols>
    <col min="1" max="1" width="33.5703125" style="24" customWidth="1"/>
    <col min="2" max="2" width="14.28515625" style="44" customWidth="1"/>
    <col min="3" max="3" width="14.85546875" style="24" customWidth="1"/>
    <col min="4" max="7" width="12" style="24" customWidth="1"/>
    <col min="8" max="8" width="13.42578125" style="24" customWidth="1"/>
    <col min="9" max="9" width="11.42578125" style="24" customWidth="1"/>
    <col min="10" max="10" width="13" style="24" customWidth="1"/>
    <col min="11" max="11" width="10.7109375" style="24" customWidth="1"/>
    <col min="12" max="12" width="12.28515625" style="24" customWidth="1"/>
    <col min="13" max="13" width="12.7109375" style="24" customWidth="1"/>
    <col min="14" max="14" width="12.42578125" style="24" customWidth="1"/>
    <col min="15" max="15" width="16.28515625" style="24" customWidth="1"/>
    <col min="16" max="16" width="9.5703125" style="24" customWidth="1"/>
    <col min="17" max="17" width="9.140625" style="24" customWidth="1"/>
    <col min="18" max="16384" width="36.42578125" style="24"/>
  </cols>
  <sheetData>
    <row r="1" spans="1:17" x14ac:dyDescent="0.2">
      <c r="A1" s="20"/>
      <c r="B1" s="21"/>
      <c r="C1" s="20"/>
      <c r="D1" s="20"/>
      <c r="E1" s="20"/>
      <c r="F1" s="20"/>
      <c r="G1" s="22">
        <f>SUM(D2:F2)</f>
        <v>0.105</v>
      </c>
      <c r="H1" s="23"/>
      <c r="I1" s="23"/>
      <c r="J1" s="20" t="s">
        <v>21</v>
      </c>
      <c r="K1" s="22">
        <f>SUM(H2:K2)</f>
        <v>0.21500000000000002</v>
      </c>
      <c r="L1" s="20"/>
      <c r="M1" s="20"/>
      <c r="N1" s="20"/>
      <c r="O1" s="20"/>
    </row>
    <row r="2" spans="1:17" x14ac:dyDescent="0.2">
      <c r="A2" s="20"/>
      <c r="B2" s="21"/>
      <c r="C2" s="20"/>
      <c r="D2" s="47">
        <v>0.08</v>
      </c>
      <c r="E2" s="48">
        <v>1.4999999999999999E-2</v>
      </c>
      <c r="F2" s="47">
        <v>0.01</v>
      </c>
      <c r="G2" s="49"/>
      <c r="H2" s="50">
        <v>0.17</v>
      </c>
      <c r="I2" s="50">
        <v>5.0000000000000001E-3</v>
      </c>
      <c r="J2" s="51">
        <v>0.03</v>
      </c>
      <c r="K2" s="51">
        <v>0.01</v>
      </c>
      <c r="L2" s="26">
        <v>0.02</v>
      </c>
      <c r="M2" s="20">
        <f>SUM(H2:L2)</f>
        <v>0.23500000000000001</v>
      </c>
      <c r="N2" s="20"/>
      <c r="O2" s="20"/>
    </row>
    <row r="3" spans="1:17" x14ac:dyDescent="0.2">
      <c r="A3" s="27" t="s">
        <v>64</v>
      </c>
      <c r="B3" s="28" t="s">
        <v>17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16</v>
      </c>
      <c r="H3" s="29" t="s">
        <v>12</v>
      </c>
      <c r="I3" s="29" t="s">
        <v>40</v>
      </c>
      <c r="J3" s="29" t="s">
        <v>13</v>
      </c>
      <c r="K3" s="29" t="s">
        <v>14</v>
      </c>
      <c r="L3" s="29" t="s">
        <v>15</v>
      </c>
      <c r="M3" s="29" t="s">
        <v>26</v>
      </c>
      <c r="N3" s="29" t="s">
        <v>0</v>
      </c>
      <c r="O3" s="29" t="s">
        <v>18</v>
      </c>
    </row>
    <row r="4" spans="1:17" s="32" customFormat="1" x14ac:dyDescent="0.2">
      <c r="A4" s="30" t="s">
        <v>1</v>
      </c>
      <c r="B4" s="31">
        <f>B5+B6+B11+B12+B13+B14+B15+B16+B17+B18+B19</f>
        <v>1039155179.7435896</v>
      </c>
      <c r="C4" s="31">
        <f>C5+C6+C11+C12+C13+C14+C15+C16+C17+C18+C19</f>
        <v>212977000</v>
      </c>
      <c r="D4" s="31">
        <f t="shared" ref="D4:N4" si="0">D5+D6+D11+D12+D13+D14+D15+D16+D17+D18+D19</f>
        <v>16374160</v>
      </c>
      <c r="E4" s="31">
        <f t="shared" si="0"/>
        <v>3070155</v>
      </c>
      <c r="F4" s="31">
        <f t="shared" si="0"/>
        <v>2046770</v>
      </c>
      <c r="G4" s="31">
        <f t="shared" si="0"/>
        <v>21491085</v>
      </c>
      <c r="H4" s="31">
        <f t="shared" si="0"/>
        <v>34795090</v>
      </c>
      <c r="I4" s="31">
        <f t="shared" si="0"/>
        <v>1064885</v>
      </c>
      <c r="J4" s="31">
        <f t="shared" si="0"/>
        <v>6140310</v>
      </c>
      <c r="K4" s="31">
        <f t="shared" si="0"/>
        <v>2046770</v>
      </c>
      <c r="L4" s="31">
        <f t="shared" si="0"/>
        <v>4093540</v>
      </c>
      <c r="M4" s="31">
        <f t="shared" si="0"/>
        <v>48140595</v>
      </c>
      <c r="N4" s="31">
        <f t="shared" si="0"/>
        <v>46000000</v>
      </c>
      <c r="O4" s="31">
        <f>O5+O6+O11+O12+O13+O14+O15+O16+O17+O18+O19</f>
        <v>971664094.74358964</v>
      </c>
      <c r="P4" s="62"/>
      <c r="Q4" s="62"/>
    </row>
    <row r="5" spans="1:17" ht="14.25" x14ac:dyDescent="0.2">
      <c r="A5" s="33" t="s">
        <v>5</v>
      </c>
      <c r="B5" s="52">
        <v>282240000</v>
      </c>
      <c r="C5" s="34">
        <v>11900000</v>
      </c>
      <c r="D5" s="35">
        <f>C5*$D$2</f>
        <v>952000</v>
      </c>
      <c r="E5" s="35">
        <f>C5*$E$2</f>
        <v>178500</v>
      </c>
      <c r="F5" s="35">
        <f>C5*$F$2</f>
        <v>119000</v>
      </c>
      <c r="G5" s="35">
        <f>SUM(D5:F5)</f>
        <v>1249500</v>
      </c>
      <c r="H5" s="35">
        <f>C5*$H$2</f>
        <v>2023000.0000000002</v>
      </c>
      <c r="I5" s="35">
        <f>C5*$I$2</f>
        <v>59500</v>
      </c>
      <c r="J5" s="35">
        <f>C5*$J$2</f>
        <v>357000</v>
      </c>
      <c r="K5" s="35">
        <f>C5*$K$2</f>
        <v>119000</v>
      </c>
      <c r="L5" s="35">
        <f>C5*$L$2</f>
        <v>238000</v>
      </c>
      <c r="M5" s="35">
        <f>SUM(H5:L5)</f>
        <v>2796500</v>
      </c>
      <c r="N5" s="34">
        <v>0</v>
      </c>
      <c r="O5" s="36">
        <f>B5-G5-N5</f>
        <v>280990500</v>
      </c>
      <c r="P5" s="61"/>
      <c r="Q5" s="59"/>
    </row>
    <row r="6" spans="1:17" s="69" customFormat="1" ht="15.75" x14ac:dyDescent="0.2">
      <c r="A6" s="33" t="s">
        <v>65</v>
      </c>
      <c r="B6" s="66">
        <f>SUM(B7:B10)</f>
        <v>183159789.7435897</v>
      </c>
      <c r="C6" s="66">
        <f>SUM(C7:C10)</f>
        <v>46877000</v>
      </c>
      <c r="D6" s="66">
        <f t="shared" ref="D6:O6" si="1">SUM(D7:D10)</f>
        <v>3750160</v>
      </c>
      <c r="E6" s="66">
        <f t="shared" si="1"/>
        <v>703155</v>
      </c>
      <c r="F6" s="66">
        <f t="shared" si="1"/>
        <v>468770</v>
      </c>
      <c r="G6" s="66">
        <f t="shared" si="1"/>
        <v>4922085</v>
      </c>
      <c r="H6" s="66">
        <f t="shared" si="1"/>
        <v>7969090</v>
      </c>
      <c r="I6" s="66">
        <f t="shared" si="1"/>
        <v>234385</v>
      </c>
      <c r="J6" s="66">
        <f t="shared" si="1"/>
        <v>1406310</v>
      </c>
      <c r="K6" s="66">
        <f t="shared" si="1"/>
        <v>468770</v>
      </c>
      <c r="L6" s="66">
        <f t="shared" si="1"/>
        <v>937540</v>
      </c>
      <c r="M6" s="66">
        <f t="shared" si="1"/>
        <v>11016095</v>
      </c>
      <c r="N6" s="66">
        <f t="shared" si="1"/>
        <v>13000000</v>
      </c>
      <c r="O6" s="66">
        <f t="shared" si="1"/>
        <v>165237704.7435897</v>
      </c>
      <c r="P6" s="67"/>
      <c r="Q6" s="68"/>
    </row>
    <row r="7" spans="1:17" ht="14.25" x14ac:dyDescent="0.2">
      <c r="A7" s="65" t="s">
        <v>66</v>
      </c>
      <c r="B7" s="45">
        <f>75884020.5128205+2700000</f>
        <v>78584020.512820497</v>
      </c>
      <c r="C7" s="45">
        <v>27277000</v>
      </c>
      <c r="D7" s="35">
        <f t="shared" ref="D7" si="2">C7*$D$2</f>
        <v>2182160</v>
      </c>
      <c r="E7" s="35">
        <f t="shared" ref="E7" si="3">C7*$E$2</f>
        <v>409155</v>
      </c>
      <c r="F7" s="35">
        <f t="shared" ref="F7" si="4">C7*$F$2</f>
        <v>272770</v>
      </c>
      <c r="G7" s="35">
        <f t="shared" ref="G7" si="5">SUM(D7:F7)</f>
        <v>2864085</v>
      </c>
      <c r="H7" s="35">
        <f t="shared" ref="H7" si="6">C7*$H$2</f>
        <v>4637090</v>
      </c>
      <c r="I7" s="35">
        <f t="shared" ref="I7" si="7">C7*$I$2</f>
        <v>136385</v>
      </c>
      <c r="J7" s="35">
        <f t="shared" ref="J7" si="8">C7*$J$2</f>
        <v>818310</v>
      </c>
      <c r="K7" s="35">
        <f t="shared" ref="K7" si="9">C7*$K$2</f>
        <v>272770</v>
      </c>
      <c r="L7" s="35">
        <f t="shared" ref="L7" si="10">C7*$L$2</f>
        <v>545540</v>
      </c>
      <c r="M7" s="35">
        <f t="shared" ref="M7" si="11">SUM(H7:L7)</f>
        <v>6410095</v>
      </c>
      <c r="N7" s="58">
        <v>5000000</v>
      </c>
      <c r="O7" s="36">
        <f t="shared" ref="O7" si="12">B7-G7-N7</f>
        <v>70719935.512820497</v>
      </c>
      <c r="P7" s="61"/>
      <c r="Q7" s="59"/>
    </row>
    <row r="8" spans="1:17" ht="14.25" x14ac:dyDescent="0.2">
      <c r="A8" s="65" t="s">
        <v>68</v>
      </c>
      <c r="B8" s="45">
        <f>48032692.3076923+400000</f>
        <v>48432692.307692297</v>
      </c>
      <c r="C8" s="34">
        <v>10000000</v>
      </c>
      <c r="D8" s="35">
        <f t="shared" ref="D8" si="13">C8*$D$2</f>
        <v>800000</v>
      </c>
      <c r="E8" s="35">
        <f t="shared" ref="E8" si="14">C8*$E$2</f>
        <v>150000</v>
      </c>
      <c r="F8" s="35">
        <f t="shared" ref="F8" si="15">C8*$F$2</f>
        <v>100000</v>
      </c>
      <c r="G8" s="35">
        <f t="shared" ref="G8" si="16">SUM(D8:F8)</f>
        <v>1050000</v>
      </c>
      <c r="H8" s="35">
        <f t="shared" ref="H8" si="17">C8*$H$2</f>
        <v>1700000.0000000002</v>
      </c>
      <c r="I8" s="35">
        <f t="shared" ref="I8" si="18">C8*$I$2</f>
        <v>50000</v>
      </c>
      <c r="J8" s="35">
        <f t="shared" ref="J8" si="19">C8*$J$2</f>
        <v>300000</v>
      </c>
      <c r="K8" s="35">
        <f t="shared" ref="K8" si="20">C8*$K$2</f>
        <v>100000</v>
      </c>
      <c r="L8" s="35">
        <f t="shared" ref="L8" si="21">C8*$L$2</f>
        <v>200000</v>
      </c>
      <c r="M8" s="35">
        <f t="shared" ref="M8" si="22">SUM(H8:L8)</f>
        <v>2350000</v>
      </c>
      <c r="N8" s="58"/>
      <c r="O8" s="36">
        <f t="shared" ref="O8" si="23">B8-G8-N8</f>
        <v>47382692.307692297</v>
      </c>
      <c r="P8" s="61"/>
      <c r="Q8" s="59"/>
    </row>
    <row r="9" spans="1:17" ht="14.25" x14ac:dyDescent="0.2">
      <c r="A9" s="65" t="s">
        <v>69</v>
      </c>
      <c r="B9" s="45">
        <f>18487692.3076923+400000</f>
        <v>18887692.307692301</v>
      </c>
      <c r="C9" s="34">
        <v>4800000</v>
      </c>
      <c r="D9" s="35">
        <f t="shared" ref="D9" si="24">C9*$D$2</f>
        <v>384000</v>
      </c>
      <c r="E9" s="35">
        <f t="shared" ref="E9" si="25">C9*$E$2</f>
        <v>72000</v>
      </c>
      <c r="F9" s="35">
        <f t="shared" ref="F9" si="26">C9*$F$2</f>
        <v>48000</v>
      </c>
      <c r="G9" s="35">
        <f t="shared" ref="G9" si="27">SUM(D9:F9)</f>
        <v>504000</v>
      </c>
      <c r="H9" s="35">
        <f t="shared" ref="H9" si="28">C9*$H$2</f>
        <v>816000.00000000012</v>
      </c>
      <c r="I9" s="35">
        <f t="shared" ref="I9" si="29">C9*$I$2</f>
        <v>24000</v>
      </c>
      <c r="J9" s="35">
        <f t="shared" ref="J9" si="30">C9*$J$2</f>
        <v>144000</v>
      </c>
      <c r="K9" s="35">
        <f t="shared" ref="K9" si="31">C9*$K$2</f>
        <v>48000</v>
      </c>
      <c r="L9" s="35">
        <f t="shared" ref="L9" si="32">C9*$L$2</f>
        <v>96000</v>
      </c>
      <c r="M9" s="35">
        <f t="shared" ref="M9" si="33">SUM(H9:L9)</f>
        <v>1128000</v>
      </c>
      <c r="N9" s="58">
        <v>4000000</v>
      </c>
      <c r="O9" s="36">
        <f t="shared" ref="O9" si="34">B9-G9-N9</f>
        <v>14383692.307692301</v>
      </c>
      <c r="P9" s="61"/>
      <c r="Q9" s="59"/>
    </row>
    <row r="10" spans="1:17" ht="14.25" x14ac:dyDescent="0.2">
      <c r="A10" s="65" t="s">
        <v>67</v>
      </c>
      <c r="B10" s="45">
        <f>36655384.6153846+600000</f>
        <v>37255384.615384601</v>
      </c>
      <c r="C10" s="34">
        <v>4800000</v>
      </c>
      <c r="D10" s="35">
        <f t="shared" ref="D10" si="35">C10*$D$2</f>
        <v>384000</v>
      </c>
      <c r="E10" s="35">
        <f t="shared" ref="E10" si="36">C10*$E$2</f>
        <v>72000</v>
      </c>
      <c r="F10" s="35">
        <f t="shared" ref="F10" si="37">C10*$F$2</f>
        <v>48000</v>
      </c>
      <c r="G10" s="35">
        <f t="shared" ref="G10" si="38">SUM(D10:F10)</f>
        <v>504000</v>
      </c>
      <c r="H10" s="35">
        <f t="shared" ref="H10" si="39">C10*$H$2</f>
        <v>816000.00000000012</v>
      </c>
      <c r="I10" s="35">
        <f t="shared" ref="I10" si="40">C10*$I$2</f>
        <v>24000</v>
      </c>
      <c r="J10" s="35">
        <f t="shared" ref="J10" si="41">C10*$J$2</f>
        <v>144000</v>
      </c>
      <c r="K10" s="35">
        <f t="shared" ref="K10" si="42">C10*$K$2</f>
        <v>48000</v>
      </c>
      <c r="L10" s="35">
        <f t="shared" ref="L10" si="43">C10*$L$2</f>
        <v>96000</v>
      </c>
      <c r="M10" s="35">
        <f t="shared" ref="M10" si="44">SUM(H10:L10)</f>
        <v>1128000</v>
      </c>
      <c r="N10" s="58">
        <v>4000000</v>
      </c>
      <c r="O10" s="36">
        <f t="shared" ref="O10" si="45">B10-G10-N10</f>
        <v>32751384.615384601</v>
      </c>
      <c r="P10" s="61"/>
      <c r="Q10" s="59"/>
    </row>
    <row r="11" spans="1:17" ht="14.25" x14ac:dyDescent="0.2">
      <c r="A11" s="33" t="s">
        <v>25</v>
      </c>
      <c r="B11" s="45">
        <v>143597377</v>
      </c>
      <c r="C11" s="34">
        <f>38000000-C12+5100000</f>
        <v>34800000</v>
      </c>
      <c r="D11" s="35">
        <f>C11*$D$2</f>
        <v>2784000</v>
      </c>
      <c r="E11" s="35">
        <f t="shared" ref="E11:E19" si="46">C11*$E$2</f>
        <v>522000</v>
      </c>
      <c r="F11" s="35">
        <f t="shared" ref="F11:F19" si="47">C11*$F$2</f>
        <v>348000</v>
      </c>
      <c r="G11" s="35">
        <f t="shared" ref="G11:G18" si="48">SUM(D11:F11)</f>
        <v>3654000</v>
      </c>
      <c r="H11" s="35">
        <f t="shared" ref="H11:H19" si="49">C11*$H$2</f>
        <v>5916000</v>
      </c>
      <c r="I11" s="35">
        <f t="shared" ref="I11:I33" si="50">C11*$I$2</f>
        <v>174000</v>
      </c>
      <c r="J11" s="35">
        <f t="shared" ref="J11:J33" si="51">C11*$J$2</f>
        <v>1044000</v>
      </c>
      <c r="K11" s="35">
        <f t="shared" ref="K11:K19" si="52">C11*$K$2</f>
        <v>348000</v>
      </c>
      <c r="L11" s="35">
        <f t="shared" ref="L11:L33" si="53">C11*$L$2</f>
        <v>696000</v>
      </c>
      <c r="M11" s="35">
        <f t="shared" ref="M11:M29" si="54">SUM(H11:L11)</f>
        <v>8178000</v>
      </c>
      <c r="N11" s="58">
        <v>5000000</v>
      </c>
      <c r="O11" s="36">
        <f>B11-G11-N11</f>
        <v>134943377</v>
      </c>
      <c r="P11" s="61"/>
      <c r="Q11" s="59"/>
    </row>
    <row r="12" spans="1:17" ht="14.25" x14ac:dyDescent="0.2">
      <c r="A12" s="33" t="s">
        <v>25</v>
      </c>
      <c r="B12" s="45">
        <v>0</v>
      </c>
      <c r="C12" s="46">
        <v>8300000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f t="shared" si="50"/>
        <v>41500</v>
      </c>
      <c r="J12" s="35">
        <v>0</v>
      </c>
      <c r="K12" s="35">
        <v>0</v>
      </c>
      <c r="L12" s="35">
        <v>0</v>
      </c>
      <c r="M12" s="35">
        <f t="shared" si="54"/>
        <v>41500</v>
      </c>
      <c r="N12" s="55">
        <v>0</v>
      </c>
      <c r="O12" s="35">
        <v>0</v>
      </c>
      <c r="P12" s="61"/>
      <c r="Q12" s="59"/>
    </row>
    <row r="13" spans="1:17" ht="14.25" x14ac:dyDescent="0.2">
      <c r="A13" s="33" t="s">
        <v>7</v>
      </c>
      <c r="B13" s="45">
        <v>74894383</v>
      </c>
      <c r="C13" s="34">
        <v>27500000</v>
      </c>
      <c r="D13" s="35">
        <f t="shared" ref="D13:D19" si="55">C13*$D$2</f>
        <v>2200000</v>
      </c>
      <c r="E13" s="35">
        <f t="shared" si="46"/>
        <v>412500</v>
      </c>
      <c r="F13" s="35">
        <f t="shared" si="47"/>
        <v>275000</v>
      </c>
      <c r="G13" s="35">
        <f t="shared" si="48"/>
        <v>2887500</v>
      </c>
      <c r="H13" s="35">
        <f t="shared" si="49"/>
        <v>4675000</v>
      </c>
      <c r="I13" s="35">
        <f t="shared" si="50"/>
        <v>137500</v>
      </c>
      <c r="J13" s="35">
        <f t="shared" si="51"/>
        <v>825000</v>
      </c>
      <c r="K13" s="35">
        <f t="shared" si="52"/>
        <v>275000</v>
      </c>
      <c r="L13" s="35">
        <f t="shared" si="53"/>
        <v>550000</v>
      </c>
      <c r="M13" s="35">
        <f t="shared" si="54"/>
        <v>6462500</v>
      </c>
      <c r="N13" s="58">
        <v>8000000</v>
      </c>
      <c r="O13" s="36">
        <f t="shared" ref="O13:O19" si="56">B13-G13-N13</f>
        <v>64006883</v>
      </c>
      <c r="P13" s="61"/>
      <c r="Q13" s="59"/>
    </row>
    <row r="14" spans="1:17" ht="14.25" x14ac:dyDescent="0.2">
      <c r="A14" s="33" t="s">
        <v>19</v>
      </c>
      <c r="B14" s="45">
        <v>88563846</v>
      </c>
      <c r="C14" s="34">
        <v>23300000</v>
      </c>
      <c r="D14" s="35">
        <f t="shared" si="55"/>
        <v>1864000</v>
      </c>
      <c r="E14" s="35">
        <f t="shared" si="46"/>
        <v>349500</v>
      </c>
      <c r="F14" s="35">
        <f t="shared" si="47"/>
        <v>233000</v>
      </c>
      <c r="G14" s="35">
        <f t="shared" si="48"/>
        <v>2446500</v>
      </c>
      <c r="H14" s="35">
        <f t="shared" si="49"/>
        <v>3961000.0000000005</v>
      </c>
      <c r="I14" s="35">
        <f t="shared" si="50"/>
        <v>116500</v>
      </c>
      <c r="J14" s="35">
        <f t="shared" si="51"/>
        <v>699000</v>
      </c>
      <c r="K14" s="35">
        <f t="shared" si="52"/>
        <v>233000</v>
      </c>
      <c r="L14" s="35">
        <f t="shared" si="53"/>
        <v>466000</v>
      </c>
      <c r="M14" s="35">
        <f t="shared" si="54"/>
        <v>5475500</v>
      </c>
      <c r="N14" s="58">
        <v>10000000</v>
      </c>
      <c r="O14" s="36">
        <f t="shared" si="56"/>
        <v>76117346</v>
      </c>
      <c r="P14" s="61"/>
      <c r="Q14" s="59"/>
    </row>
    <row r="15" spans="1:17" ht="14.25" x14ac:dyDescent="0.2">
      <c r="A15" s="33" t="s">
        <v>20</v>
      </c>
      <c r="B15" s="45">
        <v>92051683</v>
      </c>
      <c r="C15" s="34">
        <v>25800000</v>
      </c>
      <c r="D15" s="35">
        <f t="shared" si="55"/>
        <v>2064000</v>
      </c>
      <c r="E15" s="35">
        <f t="shared" si="46"/>
        <v>387000</v>
      </c>
      <c r="F15" s="35">
        <f t="shared" si="47"/>
        <v>258000</v>
      </c>
      <c r="G15" s="35">
        <f t="shared" si="48"/>
        <v>2709000</v>
      </c>
      <c r="H15" s="35">
        <f t="shared" si="49"/>
        <v>4386000</v>
      </c>
      <c r="I15" s="35">
        <f t="shared" si="50"/>
        <v>129000</v>
      </c>
      <c r="J15" s="35">
        <f t="shared" si="51"/>
        <v>774000</v>
      </c>
      <c r="K15" s="35">
        <f t="shared" si="52"/>
        <v>258000</v>
      </c>
      <c r="L15" s="35">
        <f t="shared" si="53"/>
        <v>516000</v>
      </c>
      <c r="M15" s="35">
        <f t="shared" si="54"/>
        <v>6063000</v>
      </c>
      <c r="N15" s="58">
        <v>6000000</v>
      </c>
      <c r="O15" s="36">
        <f t="shared" si="56"/>
        <v>83342683</v>
      </c>
      <c r="P15" s="61"/>
      <c r="Q15" s="59"/>
    </row>
    <row r="16" spans="1:17" ht="14.25" x14ac:dyDescent="0.2">
      <c r="A16" s="33" t="s">
        <v>6</v>
      </c>
      <c r="B16" s="45">
        <v>12169615</v>
      </c>
      <c r="C16" s="34">
        <v>5000000</v>
      </c>
      <c r="D16" s="35">
        <f t="shared" si="55"/>
        <v>400000</v>
      </c>
      <c r="E16" s="35">
        <f t="shared" si="46"/>
        <v>75000</v>
      </c>
      <c r="F16" s="35">
        <f t="shared" si="47"/>
        <v>50000</v>
      </c>
      <c r="G16" s="35">
        <f t="shared" si="48"/>
        <v>525000</v>
      </c>
      <c r="H16" s="35">
        <f t="shared" si="49"/>
        <v>850000.00000000012</v>
      </c>
      <c r="I16" s="35">
        <f t="shared" si="50"/>
        <v>25000</v>
      </c>
      <c r="J16" s="35">
        <f t="shared" si="51"/>
        <v>150000</v>
      </c>
      <c r="K16" s="35">
        <f t="shared" si="52"/>
        <v>50000</v>
      </c>
      <c r="L16" s="35">
        <f t="shared" si="53"/>
        <v>100000</v>
      </c>
      <c r="M16" s="35">
        <f t="shared" si="54"/>
        <v>1175000</v>
      </c>
      <c r="N16" s="58">
        <v>0</v>
      </c>
      <c r="O16" s="36">
        <f t="shared" si="56"/>
        <v>11644615</v>
      </c>
      <c r="P16" s="61"/>
      <c r="Q16" s="59"/>
    </row>
    <row r="17" spans="1:17" ht="14.25" x14ac:dyDescent="0.2">
      <c r="A17" s="56" t="s">
        <v>63</v>
      </c>
      <c r="B17" s="45">
        <v>6603077</v>
      </c>
      <c r="C17" s="34">
        <v>0</v>
      </c>
      <c r="D17" s="35">
        <f t="shared" si="55"/>
        <v>0</v>
      </c>
      <c r="E17" s="35">
        <f t="shared" si="46"/>
        <v>0</v>
      </c>
      <c r="F17" s="35">
        <f t="shared" si="47"/>
        <v>0</v>
      </c>
      <c r="G17" s="35">
        <f t="shared" ref="G17" si="57">SUM(D17:F17)</f>
        <v>0</v>
      </c>
      <c r="H17" s="35">
        <f t="shared" si="49"/>
        <v>0</v>
      </c>
      <c r="I17" s="35">
        <f t="shared" si="50"/>
        <v>0</v>
      </c>
      <c r="J17" s="35">
        <f t="shared" si="51"/>
        <v>0</v>
      </c>
      <c r="K17" s="35">
        <f t="shared" si="52"/>
        <v>0</v>
      </c>
      <c r="L17" s="35">
        <f t="shared" si="53"/>
        <v>0</v>
      </c>
      <c r="M17" s="35">
        <f t="shared" si="54"/>
        <v>0</v>
      </c>
      <c r="N17" s="34">
        <v>0</v>
      </c>
      <c r="O17" s="36">
        <f t="shared" si="56"/>
        <v>6603077</v>
      </c>
      <c r="P17" s="61"/>
      <c r="Q17" s="59"/>
    </row>
    <row r="18" spans="1:17" ht="14.25" x14ac:dyDescent="0.2">
      <c r="A18" s="33" t="s">
        <v>70</v>
      </c>
      <c r="B18" s="45">
        <v>73887524</v>
      </c>
      <c r="C18" s="34">
        <v>5000000</v>
      </c>
      <c r="D18" s="35">
        <f>C18*$D$2</f>
        <v>400000</v>
      </c>
      <c r="E18" s="35">
        <f t="shared" si="46"/>
        <v>75000</v>
      </c>
      <c r="F18" s="35">
        <f t="shared" si="47"/>
        <v>50000</v>
      </c>
      <c r="G18" s="35">
        <f t="shared" si="48"/>
        <v>525000</v>
      </c>
      <c r="H18" s="35">
        <f t="shared" si="49"/>
        <v>850000.00000000012</v>
      </c>
      <c r="I18" s="35">
        <f t="shared" si="50"/>
        <v>25000</v>
      </c>
      <c r="J18" s="35">
        <f t="shared" si="51"/>
        <v>150000</v>
      </c>
      <c r="K18" s="35">
        <f t="shared" si="52"/>
        <v>50000</v>
      </c>
      <c r="L18" s="35">
        <f t="shared" si="53"/>
        <v>100000</v>
      </c>
      <c r="M18" s="35">
        <f t="shared" si="54"/>
        <v>1175000</v>
      </c>
      <c r="N18" s="34">
        <v>0</v>
      </c>
      <c r="O18" s="36">
        <f t="shared" si="56"/>
        <v>73362524</v>
      </c>
      <c r="P18" s="61"/>
      <c r="Q18" s="59"/>
    </row>
    <row r="19" spans="1:17" s="25" customFormat="1" ht="14.25" x14ac:dyDescent="0.2">
      <c r="A19" s="33" t="s">
        <v>71</v>
      </c>
      <c r="B19" s="63">
        <v>81987885</v>
      </c>
      <c r="C19" s="57">
        <v>24500000</v>
      </c>
      <c r="D19" s="35">
        <f t="shared" si="55"/>
        <v>1960000</v>
      </c>
      <c r="E19" s="35">
        <f t="shared" si="46"/>
        <v>367500</v>
      </c>
      <c r="F19" s="35">
        <f t="shared" si="47"/>
        <v>245000</v>
      </c>
      <c r="G19" s="35">
        <f t="shared" ref="G19" si="58">SUM(D19:F19)</f>
        <v>2572500</v>
      </c>
      <c r="H19" s="35">
        <f t="shared" si="49"/>
        <v>4165000.0000000005</v>
      </c>
      <c r="I19" s="35">
        <f t="shared" si="50"/>
        <v>122500</v>
      </c>
      <c r="J19" s="35">
        <f t="shared" si="51"/>
        <v>735000</v>
      </c>
      <c r="K19" s="35">
        <f t="shared" si="52"/>
        <v>245000</v>
      </c>
      <c r="L19" s="35">
        <f t="shared" si="53"/>
        <v>490000</v>
      </c>
      <c r="M19" s="35">
        <f t="shared" si="54"/>
        <v>5757500</v>
      </c>
      <c r="N19" s="57">
        <v>4000000</v>
      </c>
      <c r="O19" s="36">
        <f t="shared" si="56"/>
        <v>75415385</v>
      </c>
      <c r="P19" s="60"/>
      <c r="Q19" s="60"/>
    </row>
    <row r="20" spans="1:17" s="32" customFormat="1" x14ac:dyDescent="0.2">
      <c r="A20" s="30" t="s">
        <v>2</v>
      </c>
      <c r="B20" s="31">
        <f>SUM(B21:B29)</f>
        <v>768785275</v>
      </c>
      <c r="C20" s="53">
        <f t="shared" ref="C20:N20" si="59">SUM(C21:C29)</f>
        <v>151493000</v>
      </c>
      <c r="D20" s="53">
        <f t="shared" si="59"/>
        <v>12119440</v>
      </c>
      <c r="E20" s="53">
        <f t="shared" si="59"/>
        <v>2272395</v>
      </c>
      <c r="F20" s="53">
        <f t="shared" si="59"/>
        <v>1514930</v>
      </c>
      <c r="G20" s="53">
        <f t="shared" si="59"/>
        <v>15906765</v>
      </c>
      <c r="H20" s="53">
        <f t="shared" si="59"/>
        <v>25753810</v>
      </c>
      <c r="I20" s="53">
        <f t="shared" si="59"/>
        <v>757465</v>
      </c>
      <c r="J20" s="53">
        <f t="shared" si="59"/>
        <v>4544790</v>
      </c>
      <c r="K20" s="53">
        <f t="shared" si="59"/>
        <v>1514930</v>
      </c>
      <c r="L20" s="53">
        <f t="shared" si="59"/>
        <v>3029860</v>
      </c>
      <c r="M20" s="53">
        <f t="shared" si="59"/>
        <v>35600855</v>
      </c>
      <c r="N20" s="53">
        <f t="shared" si="59"/>
        <v>135500000</v>
      </c>
      <c r="O20" s="31">
        <f>SUM(O21:O29)</f>
        <v>617378510</v>
      </c>
      <c r="P20" s="62"/>
      <c r="Q20" s="62"/>
    </row>
    <row r="21" spans="1:17" ht="14.25" x14ac:dyDescent="0.2">
      <c r="A21" s="65" t="s">
        <v>57</v>
      </c>
      <c r="B21" s="37">
        <v>72003462</v>
      </c>
      <c r="C21" s="38">
        <v>13100000</v>
      </c>
      <c r="D21" s="35">
        <f>C21*$D$2</f>
        <v>1048000</v>
      </c>
      <c r="E21" s="35">
        <f>C21*$E$2</f>
        <v>196500</v>
      </c>
      <c r="F21" s="35">
        <f>C21*$F$2</f>
        <v>131000</v>
      </c>
      <c r="G21" s="35">
        <f>SUM(D21:F21)</f>
        <v>1375500</v>
      </c>
      <c r="H21" s="35">
        <f>C21*$H$2</f>
        <v>2227000</v>
      </c>
      <c r="I21" s="35">
        <f t="shared" si="50"/>
        <v>65500</v>
      </c>
      <c r="J21" s="35">
        <f t="shared" si="51"/>
        <v>393000</v>
      </c>
      <c r="K21" s="35">
        <f>C21*$K$2</f>
        <v>131000</v>
      </c>
      <c r="L21" s="35">
        <f t="shared" si="53"/>
        <v>262000</v>
      </c>
      <c r="M21" s="35">
        <f t="shared" si="54"/>
        <v>3078500</v>
      </c>
      <c r="N21" s="38">
        <v>0</v>
      </c>
      <c r="O21" s="35">
        <f>B21-G21-N21</f>
        <v>70627962</v>
      </c>
      <c r="P21" s="59"/>
      <c r="Q21" s="59"/>
    </row>
    <row r="22" spans="1:17" ht="14.25" x14ac:dyDescent="0.2">
      <c r="A22" s="65" t="s">
        <v>58</v>
      </c>
      <c r="B22" s="37">
        <v>52681231</v>
      </c>
      <c r="C22" s="38">
        <v>14400000</v>
      </c>
      <c r="D22" s="35">
        <f>C22*$D$2</f>
        <v>1152000</v>
      </c>
      <c r="E22" s="35">
        <f>C22*$E$2</f>
        <v>216000</v>
      </c>
      <c r="F22" s="35">
        <f>C22*$F$2</f>
        <v>144000</v>
      </c>
      <c r="G22" s="35">
        <f>SUM(D22:F22)</f>
        <v>1512000</v>
      </c>
      <c r="H22" s="35">
        <f>C22*$H$2</f>
        <v>2448000</v>
      </c>
      <c r="I22" s="35">
        <f t="shared" si="50"/>
        <v>72000</v>
      </c>
      <c r="J22" s="35">
        <f t="shared" si="51"/>
        <v>432000</v>
      </c>
      <c r="K22" s="35">
        <f>C22*$K$2</f>
        <v>144000</v>
      </c>
      <c r="L22" s="35">
        <f t="shared" si="53"/>
        <v>288000</v>
      </c>
      <c r="M22" s="35">
        <f t="shared" si="54"/>
        <v>3384000</v>
      </c>
      <c r="N22" s="38">
        <v>0</v>
      </c>
      <c r="O22" s="35">
        <f>B22-G22-N22</f>
        <v>51169231</v>
      </c>
      <c r="P22" s="61"/>
      <c r="Q22" s="59"/>
    </row>
    <row r="23" spans="1:17" ht="14.25" x14ac:dyDescent="0.2">
      <c r="A23" s="65" t="s">
        <v>62</v>
      </c>
      <c r="B23" s="37">
        <v>56821985</v>
      </c>
      <c r="C23" s="38">
        <v>5100000</v>
      </c>
      <c r="D23" s="35">
        <f t="shared" ref="D23:D29" si="60">C23*$D$2</f>
        <v>408000</v>
      </c>
      <c r="E23" s="35">
        <f t="shared" ref="E23:E26" si="61">C23*$E$2</f>
        <v>76500</v>
      </c>
      <c r="F23" s="35">
        <f t="shared" ref="F23:F29" si="62">C23*$F$2</f>
        <v>51000</v>
      </c>
      <c r="G23" s="35">
        <f t="shared" ref="G23:G26" si="63">SUM(D23:F23)</f>
        <v>535500</v>
      </c>
      <c r="H23" s="35">
        <f t="shared" ref="H23:H29" si="64">C23*$H$2</f>
        <v>867000.00000000012</v>
      </c>
      <c r="I23" s="35">
        <f t="shared" si="50"/>
        <v>25500</v>
      </c>
      <c r="J23" s="35">
        <f t="shared" si="51"/>
        <v>153000</v>
      </c>
      <c r="K23" s="35">
        <f t="shared" ref="K23:K29" si="65">C23*$K$2</f>
        <v>51000</v>
      </c>
      <c r="L23" s="35">
        <f t="shared" si="53"/>
        <v>102000</v>
      </c>
      <c r="M23" s="35">
        <f t="shared" si="54"/>
        <v>1198500</v>
      </c>
      <c r="N23" s="38">
        <v>0</v>
      </c>
      <c r="O23" s="35">
        <f>B23-G23-N23</f>
        <v>56286485</v>
      </c>
      <c r="P23" s="61"/>
      <c r="Q23" s="59"/>
    </row>
    <row r="24" spans="1:17" ht="14.25" x14ac:dyDescent="0.2">
      <c r="A24" s="65" t="s">
        <v>59</v>
      </c>
      <c r="B24" s="37">
        <v>92586923</v>
      </c>
      <c r="C24" s="38">
        <v>9600000</v>
      </c>
      <c r="D24" s="35">
        <f t="shared" si="60"/>
        <v>768000</v>
      </c>
      <c r="E24" s="35">
        <f t="shared" si="61"/>
        <v>144000</v>
      </c>
      <c r="F24" s="35">
        <f t="shared" si="62"/>
        <v>96000</v>
      </c>
      <c r="G24" s="35">
        <f t="shared" si="63"/>
        <v>1008000</v>
      </c>
      <c r="H24" s="35">
        <f t="shared" si="64"/>
        <v>1632000.0000000002</v>
      </c>
      <c r="I24" s="35">
        <f t="shared" si="50"/>
        <v>48000</v>
      </c>
      <c r="J24" s="35">
        <f t="shared" si="51"/>
        <v>288000</v>
      </c>
      <c r="K24" s="35">
        <f t="shared" si="65"/>
        <v>96000</v>
      </c>
      <c r="L24" s="35">
        <f t="shared" si="53"/>
        <v>192000</v>
      </c>
      <c r="M24" s="35">
        <f t="shared" si="54"/>
        <v>2256000</v>
      </c>
      <c r="N24" s="38">
        <v>0</v>
      </c>
      <c r="O24" s="35">
        <f t="shared" ref="O24:O29" si="66">B24-G24-N24</f>
        <v>91578923</v>
      </c>
      <c r="P24" s="59"/>
      <c r="Q24" s="59"/>
    </row>
    <row r="25" spans="1:17" ht="14.25" x14ac:dyDescent="0.2">
      <c r="A25" s="65" t="s">
        <v>60</v>
      </c>
      <c r="B25" s="37">
        <v>79817692</v>
      </c>
      <c r="C25" s="38">
        <v>19500000</v>
      </c>
      <c r="D25" s="35">
        <f t="shared" si="60"/>
        <v>1560000</v>
      </c>
      <c r="E25" s="35">
        <f t="shared" si="61"/>
        <v>292500</v>
      </c>
      <c r="F25" s="35">
        <f t="shared" si="62"/>
        <v>195000</v>
      </c>
      <c r="G25" s="35">
        <f t="shared" si="63"/>
        <v>2047500</v>
      </c>
      <c r="H25" s="35">
        <f t="shared" si="64"/>
        <v>3315000.0000000005</v>
      </c>
      <c r="I25" s="35">
        <f t="shared" si="50"/>
        <v>97500</v>
      </c>
      <c r="J25" s="35">
        <f t="shared" si="51"/>
        <v>585000</v>
      </c>
      <c r="K25" s="35">
        <f t="shared" si="65"/>
        <v>195000</v>
      </c>
      <c r="L25" s="35">
        <f t="shared" si="53"/>
        <v>390000</v>
      </c>
      <c r="M25" s="35">
        <f t="shared" si="54"/>
        <v>4582500</v>
      </c>
      <c r="N25" s="38">
        <v>0</v>
      </c>
      <c r="O25" s="35">
        <f t="shared" si="66"/>
        <v>77770192</v>
      </c>
      <c r="P25" s="59"/>
      <c r="Q25" s="59"/>
    </row>
    <row r="26" spans="1:17" ht="14.25" x14ac:dyDescent="0.2">
      <c r="A26" s="65" t="s">
        <v>61</v>
      </c>
      <c r="B26" s="37">
        <v>14828077</v>
      </c>
      <c r="C26" s="38">
        <v>4800000</v>
      </c>
      <c r="D26" s="35">
        <f t="shared" si="60"/>
        <v>384000</v>
      </c>
      <c r="E26" s="35">
        <f t="shared" si="61"/>
        <v>72000</v>
      </c>
      <c r="F26" s="35">
        <f t="shared" si="62"/>
        <v>48000</v>
      </c>
      <c r="G26" s="35">
        <f t="shared" si="63"/>
        <v>504000</v>
      </c>
      <c r="H26" s="35">
        <f t="shared" si="64"/>
        <v>816000.00000000012</v>
      </c>
      <c r="I26" s="35">
        <f t="shared" si="50"/>
        <v>24000</v>
      </c>
      <c r="J26" s="35">
        <f t="shared" si="51"/>
        <v>144000</v>
      </c>
      <c r="K26" s="35">
        <f t="shared" si="65"/>
        <v>48000</v>
      </c>
      <c r="L26" s="35">
        <f t="shared" si="53"/>
        <v>96000</v>
      </c>
      <c r="M26" s="35">
        <f t="shared" si="54"/>
        <v>1128000</v>
      </c>
      <c r="N26" s="38">
        <v>0</v>
      </c>
      <c r="O26" s="35">
        <f t="shared" si="66"/>
        <v>14324077</v>
      </c>
      <c r="P26" s="59"/>
      <c r="Q26" s="59"/>
    </row>
    <row r="27" spans="1:17" ht="14.25" x14ac:dyDescent="0.2">
      <c r="A27" s="65" t="s">
        <v>3</v>
      </c>
      <c r="B27" s="37">
        <v>76545463</v>
      </c>
      <c r="C27" s="38">
        <v>32562000</v>
      </c>
      <c r="D27" s="35">
        <f t="shared" si="60"/>
        <v>2604960</v>
      </c>
      <c r="E27" s="35">
        <f>C27*$E$2</f>
        <v>488430</v>
      </c>
      <c r="F27" s="35">
        <f t="shared" si="62"/>
        <v>325620</v>
      </c>
      <c r="G27" s="35">
        <f t="shared" ref="G27:G29" si="67">SUM(D27:F27)</f>
        <v>3419010</v>
      </c>
      <c r="H27" s="35">
        <f t="shared" si="64"/>
        <v>5535540</v>
      </c>
      <c r="I27" s="35">
        <f t="shared" si="50"/>
        <v>162810</v>
      </c>
      <c r="J27" s="35">
        <f t="shared" si="51"/>
        <v>976860</v>
      </c>
      <c r="K27" s="35">
        <f t="shared" si="65"/>
        <v>325620</v>
      </c>
      <c r="L27" s="35">
        <f t="shared" si="53"/>
        <v>651240</v>
      </c>
      <c r="M27" s="35">
        <f t="shared" si="54"/>
        <v>7652070</v>
      </c>
      <c r="N27" s="38">
        <v>24000000</v>
      </c>
      <c r="O27" s="35">
        <f t="shared" si="66"/>
        <v>49126453</v>
      </c>
      <c r="P27" s="61"/>
      <c r="Q27" s="59"/>
    </row>
    <row r="28" spans="1:17" ht="14.25" x14ac:dyDescent="0.2">
      <c r="A28" s="65" t="s">
        <v>22</v>
      </c>
      <c r="B28" s="37">
        <v>177111689</v>
      </c>
      <c r="C28" s="38">
        <v>38700000</v>
      </c>
      <c r="D28" s="35">
        <f t="shared" si="60"/>
        <v>3096000</v>
      </c>
      <c r="E28" s="35">
        <f t="shared" ref="E28:E29" si="68">C28*$E$2</f>
        <v>580500</v>
      </c>
      <c r="F28" s="35">
        <f t="shared" si="62"/>
        <v>387000</v>
      </c>
      <c r="G28" s="35">
        <f t="shared" si="67"/>
        <v>4063500</v>
      </c>
      <c r="H28" s="35">
        <f t="shared" si="64"/>
        <v>6579000.0000000009</v>
      </c>
      <c r="I28" s="35">
        <f t="shared" si="50"/>
        <v>193500</v>
      </c>
      <c r="J28" s="35">
        <f t="shared" si="51"/>
        <v>1161000</v>
      </c>
      <c r="K28" s="35">
        <f t="shared" si="65"/>
        <v>387000</v>
      </c>
      <c r="L28" s="35">
        <f t="shared" si="53"/>
        <v>774000</v>
      </c>
      <c r="M28" s="35">
        <f t="shared" si="54"/>
        <v>9094500</v>
      </c>
      <c r="N28" s="38">
        <v>59500000</v>
      </c>
      <c r="O28" s="35">
        <f t="shared" si="66"/>
        <v>113548189</v>
      </c>
      <c r="P28" s="61"/>
      <c r="Q28" s="59"/>
    </row>
    <row r="29" spans="1:17" ht="14.25" x14ac:dyDescent="0.2">
      <c r="A29" s="65" t="s">
        <v>23</v>
      </c>
      <c r="B29" s="37">
        <v>146388753</v>
      </c>
      <c r="C29" s="38">
        <v>13731000</v>
      </c>
      <c r="D29" s="35">
        <f t="shared" si="60"/>
        <v>1098480</v>
      </c>
      <c r="E29" s="35">
        <f t="shared" si="68"/>
        <v>205965</v>
      </c>
      <c r="F29" s="35">
        <f t="shared" si="62"/>
        <v>137310</v>
      </c>
      <c r="G29" s="35">
        <f t="shared" si="67"/>
        <v>1441755</v>
      </c>
      <c r="H29" s="35">
        <f t="shared" si="64"/>
        <v>2334270</v>
      </c>
      <c r="I29" s="35">
        <f t="shared" si="50"/>
        <v>68655</v>
      </c>
      <c r="J29" s="35">
        <f t="shared" si="51"/>
        <v>411930</v>
      </c>
      <c r="K29" s="35">
        <f t="shared" si="65"/>
        <v>137310</v>
      </c>
      <c r="L29" s="35">
        <f t="shared" si="53"/>
        <v>274620</v>
      </c>
      <c r="M29" s="35">
        <f t="shared" si="54"/>
        <v>3226785</v>
      </c>
      <c r="N29" s="38">
        <v>52000000</v>
      </c>
      <c r="O29" s="35">
        <f t="shared" si="66"/>
        <v>92946998</v>
      </c>
      <c r="P29" s="61"/>
      <c r="Q29" s="59"/>
    </row>
    <row r="30" spans="1:17" s="32" customFormat="1" x14ac:dyDescent="0.2">
      <c r="A30" s="30" t="s">
        <v>24</v>
      </c>
      <c r="B30" s="31">
        <f>SUM(B31:B33)</f>
        <v>1364332528.23207</v>
      </c>
      <c r="C30" s="31">
        <f t="shared" ref="C30:N30" si="69">SUM(C31:C33)</f>
        <v>396081000</v>
      </c>
      <c r="D30" s="31">
        <f t="shared" si="69"/>
        <v>31686480</v>
      </c>
      <c r="E30" s="31">
        <f t="shared" si="69"/>
        <v>5941215</v>
      </c>
      <c r="F30" s="31">
        <f t="shared" si="69"/>
        <v>3960810</v>
      </c>
      <c r="G30" s="31">
        <f t="shared" si="69"/>
        <v>41588505</v>
      </c>
      <c r="H30" s="31">
        <f t="shared" si="69"/>
        <v>67333770</v>
      </c>
      <c r="I30" s="31">
        <f t="shared" si="69"/>
        <v>1980405</v>
      </c>
      <c r="J30" s="31">
        <f t="shared" si="69"/>
        <v>11882430</v>
      </c>
      <c r="K30" s="31">
        <f t="shared" si="69"/>
        <v>3960810</v>
      </c>
      <c r="L30" s="31">
        <f t="shared" si="69"/>
        <v>7921620</v>
      </c>
      <c r="M30" s="31">
        <f t="shared" si="69"/>
        <v>93079035</v>
      </c>
      <c r="N30" s="31">
        <f t="shared" si="69"/>
        <v>365100000</v>
      </c>
      <c r="O30" s="31">
        <f>SUM(O31:O33)</f>
        <v>957644023.23207009</v>
      </c>
      <c r="P30" s="62"/>
      <c r="Q30" s="62"/>
    </row>
    <row r="31" spans="1:17" ht="64.5" x14ac:dyDescent="0.25">
      <c r="A31" s="40" t="s">
        <v>43</v>
      </c>
      <c r="B31" s="41">
        <v>840402922.32390583</v>
      </c>
      <c r="C31" s="42">
        <v>257325000</v>
      </c>
      <c r="D31" s="35">
        <f>C31*$D$2</f>
        <v>20586000</v>
      </c>
      <c r="E31" s="35">
        <f>C31*$E$2</f>
        <v>3859875</v>
      </c>
      <c r="F31" s="35">
        <f>C31*$F$2</f>
        <v>2573250</v>
      </c>
      <c r="G31" s="35">
        <f>SUM(D31:F31)</f>
        <v>27019125</v>
      </c>
      <c r="H31" s="35">
        <f>C31*$H$2</f>
        <v>43745250</v>
      </c>
      <c r="I31" s="35">
        <f t="shared" si="50"/>
        <v>1286625</v>
      </c>
      <c r="J31" s="35">
        <f t="shared" si="51"/>
        <v>7719750</v>
      </c>
      <c r="K31" s="35">
        <f>C31*$K$2</f>
        <v>2573250</v>
      </c>
      <c r="L31" s="35">
        <f t="shared" si="53"/>
        <v>5146500</v>
      </c>
      <c r="M31" s="35">
        <f>SUM(H31:L31)</f>
        <v>60471375</v>
      </c>
      <c r="N31" s="42">
        <f>176100000+6000000</f>
        <v>182100000</v>
      </c>
      <c r="O31" s="36">
        <f>B31-G31-N31</f>
        <v>631283797.32390583</v>
      </c>
      <c r="P31" s="59"/>
      <c r="Q31" s="61"/>
    </row>
    <row r="32" spans="1:17" ht="14.25" x14ac:dyDescent="0.25">
      <c r="A32" s="33" t="s">
        <v>41</v>
      </c>
      <c r="B32" s="43">
        <v>285747681.99790788</v>
      </c>
      <c r="C32" s="42">
        <v>65001000</v>
      </c>
      <c r="D32" s="35">
        <f>C32*$D$2</f>
        <v>5200080</v>
      </c>
      <c r="E32" s="35">
        <f>C32*$E$2</f>
        <v>975015</v>
      </c>
      <c r="F32" s="35">
        <f>C32*$F$2</f>
        <v>650010</v>
      </c>
      <c r="G32" s="35">
        <f>SUM(D32:F32)</f>
        <v>6825105</v>
      </c>
      <c r="H32" s="35">
        <f>C32*$H$2</f>
        <v>11050170</v>
      </c>
      <c r="I32" s="35">
        <f>C32*$I$2</f>
        <v>325005</v>
      </c>
      <c r="J32" s="35">
        <f>C32*$J$2</f>
        <v>1950030</v>
      </c>
      <c r="K32" s="35">
        <f>C32*$K$2</f>
        <v>650010</v>
      </c>
      <c r="L32" s="35">
        <f t="shared" si="53"/>
        <v>1300020</v>
      </c>
      <c r="M32" s="35">
        <f>SUM(H32:L32)</f>
        <v>15275235</v>
      </c>
      <c r="N32" s="42">
        <v>102000000</v>
      </c>
      <c r="O32" s="36">
        <f>B32-G32-N32</f>
        <v>176922576.99790788</v>
      </c>
      <c r="P32" s="59"/>
      <c r="Q32" s="61"/>
    </row>
    <row r="33" spans="1:17" ht="14.25" x14ac:dyDescent="0.25">
      <c r="A33" s="33" t="s">
        <v>42</v>
      </c>
      <c r="B33" s="41">
        <v>238181923.91025642</v>
      </c>
      <c r="C33" s="42">
        <v>73755000</v>
      </c>
      <c r="D33" s="35">
        <f t="shared" ref="D33" si="70">C33*$D$2</f>
        <v>5900400</v>
      </c>
      <c r="E33" s="35">
        <f t="shared" ref="E33" si="71">C33*$E$2</f>
        <v>1106325</v>
      </c>
      <c r="F33" s="35">
        <f t="shared" ref="F33" si="72">C33*$F$2</f>
        <v>737550</v>
      </c>
      <c r="G33" s="35">
        <f t="shared" ref="G33" si="73">SUM(D33:F33)</f>
        <v>7744275</v>
      </c>
      <c r="H33" s="35">
        <f t="shared" ref="H33" si="74">C33*$H$2</f>
        <v>12538350</v>
      </c>
      <c r="I33" s="35">
        <f t="shared" si="50"/>
        <v>368775</v>
      </c>
      <c r="J33" s="35">
        <f t="shared" si="51"/>
        <v>2212650</v>
      </c>
      <c r="K33" s="35">
        <f t="shared" ref="K33" si="75">C33*$K$2</f>
        <v>737550</v>
      </c>
      <c r="L33" s="35">
        <f t="shared" si="53"/>
        <v>1475100</v>
      </c>
      <c r="M33" s="35">
        <f>SUM(H33:L33)</f>
        <v>17332425</v>
      </c>
      <c r="N33" s="42">
        <v>81000000</v>
      </c>
      <c r="O33" s="54">
        <f>B33-G33-N33</f>
        <v>149437648.91025642</v>
      </c>
      <c r="P33" s="59"/>
      <c r="Q33" s="61"/>
    </row>
    <row r="34" spans="1:17" x14ac:dyDescent="0.2">
      <c r="A34" s="29" t="s">
        <v>4</v>
      </c>
      <c r="B34" s="28">
        <f>+B4+B20+B30</f>
        <v>3172272982.9756594</v>
      </c>
      <c r="C34" s="28">
        <f t="shared" ref="C34:N34" si="76">+C4+C20+C30</f>
        <v>760551000</v>
      </c>
      <c r="D34" s="28">
        <f t="shared" si="76"/>
        <v>60180080</v>
      </c>
      <c r="E34" s="28">
        <f t="shared" si="76"/>
        <v>11283765</v>
      </c>
      <c r="F34" s="28">
        <f t="shared" si="76"/>
        <v>7522510</v>
      </c>
      <c r="G34" s="28">
        <f t="shared" si="76"/>
        <v>78986355</v>
      </c>
      <c r="H34" s="28">
        <f t="shared" si="76"/>
        <v>127882670</v>
      </c>
      <c r="I34" s="28">
        <f t="shared" si="76"/>
        <v>3802755</v>
      </c>
      <c r="J34" s="28">
        <f t="shared" si="76"/>
        <v>22567530</v>
      </c>
      <c r="K34" s="28">
        <f t="shared" si="76"/>
        <v>7522510</v>
      </c>
      <c r="L34" s="28">
        <f t="shared" si="76"/>
        <v>15045020</v>
      </c>
      <c r="M34" s="28">
        <f t="shared" si="76"/>
        <v>176820485</v>
      </c>
      <c r="N34" s="28">
        <f t="shared" si="76"/>
        <v>546600000</v>
      </c>
      <c r="O34" s="28">
        <f>+O4+O20+O30</f>
        <v>2546686627.9756598</v>
      </c>
      <c r="P34" s="59"/>
      <c r="Q34" s="61"/>
    </row>
    <row r="35" spans="1:17" x14ac:dyDescent="0.2">
      <c r="O35" s="25">
        <v>2546663000</v>
      </c>
    </row>
    <row r="36" spans="1:17" x14ac:dyDescent="0.2">
      <c r="C36" s="39"/>
      <c r="O36" s="39"/>
    </row>
    <row r="37" spans="1:17" s="59" customFormat="1" x14ac:dyDescent="0.2">
      <c r="B37" s="64"/>
    </row>
    <row r="38" spans="1:17" s="59" customFormat="1" x14ac:dyDescent="0.2">
      <c r="B38" s="64"/>
    </row>
    <row r="39" spans="1:17" s="59" customFormat="1" x14ac:dyDescent="0.2">
      <c r="B39" s="64"/>
    </row>
    <row r="40" spans="1:17" s="59" customFormat="1" x14ac:dyDescent="0.2">
      <c r="B40" s="64"/>
    </row>
    <row r="41" spans="1:17" s="59" customFormat="1" x14ac:dyDescent="0.2">
      <c r="B41" s="64"/>
    </row>
    <row r="42" spans="1:17" s="59" customFormat="1" x14ac:dyDescent="0.2">
      <c r="B42" s="64"/>
      <c r="H42" s="62"/>
      <c r="I42" s="62"/>
      <c r="J42" s="62"/>
      <c r="K42" s="62"/>
      <c r="L42" s="62"/>
    </row>
    <row r="43" spans="1:17" s="59" customFormat="1" x14ac:dyDescent="0.2">
      <c r="B43" s="64"/>
    </row>
    <row r="44" spans="1:17" s="59" customFormat="1" x14ac:dyDescent="0.2">
      <c r="B44" s="64"/>
    </row>
    <row r="45" spans="1:17" s="59" customFormat="1" x14ac:dyDescent="0.2">
      <c r="B45" s="64"/>
    </row>
    <row r="46" spans="1:17" s="59" customFormat="1" x14ac:dyDescent="0.2">
      <c r="B46" s="64"/>
    </row>
    <row r="47" spans="1:17" s="59" customFormat="1" x14ac:dyDescent="0.2">
      <c r="B47" s="64"/>
    </row>
    <row r="48" spans="1:17" s="59" customFormat="1" x14ac:dyDescent="0.2">
      <c r="B48" s="64"/>
    </row>
    <row r="49" spans="2:15" s="59" customFormat="1" x14ac:dyDescent="0.2">
      <c r="B49" s="64"/>
    </row>
    <row r="50" spans="2:15" s="59" customFormat="1" x14ac:dyDescent="0.2">
      <c r="B50" s="64"/>
    </row>
    <row r="51" spans="2:15" s="59" customFormat="1" x14ac:dyDescent="0.2">
      <c r="B51" s="64"/>
    </row>
    <row r="52" spans="2:15" s="59" customFormat="1" x14ac:dyDescent="0.2">
      <c r="B52" s="64"/>
      <c r="C52" s="64"/>
      <c r="D52" s="64"/>
      <c r="E52" s="64"/>
      <c r="G52" s="64"/>
      <c r="H52" s="64"/>
      <c r="I52" s="64"/>
      <c r="J52" s="64"/>
    </row>
    <row r="53" spans="2:15" s="59" customFormat="1" x14ac:dyDescent="0.2">
      <c r="B53" s="64"/>
    </row>
    <row r="54" spans="2:15" s="59" customFormat="1" x14ac:dyDescent="0.2">
      <c r="B54" s="64"/>
    </row>
    <row r="55" spans="2:15" s="59" customFormat="1" x14ac:dyDescent="0.2">
      <c r="B55" s="64"/>
    </row>
    <row r="56" spans="2:15" s="59" customFormat="1" x14ac:dyDescent="0.2">
      <c r="C56" s="64"/>
      <c r="H56" s="62"/>
      <c r="I56" s="62"/>
      <c r="J56" s="62"/>
      <c r="K56" s="62"/>
    </row>
    <row r="57" spans="2:15" s="59" customFormat="1" x14ac:dyDescent="0.2">
      <c r="B57" s="64"/>
      <c r="C57" s="64"/>
      <c r="D57" s="64"/>
      <c r="E57" s="64"/>
      <c r="F57" s="64"/>
    </row>
    <row r="58" spans="2:15" s="59" customFormat="1" x14ac:dyDescent="0.2">
      <c r="B58" s="64"/>
    </row>
    <row r="59" spans="2:15" s="59" customFormat="1" x14ac:dyDescent="0.2">
      <c r="O59" s="61"/>
    </row>
    <row r="60" spans="2:15" s="59" customFormat="1" x14ac:dyDescent="0.2">
      <c r="B60" s="64"/>
    </row>
    <row r="67" spans="8:12" x14ac:dyDescent="0.2">
      <c r="H67" s="32"/>
      <c r="J67" s="32"/>
      <c r="L67" s="32"/>
    </row>
  </sheetData>
  <pageMargins left="0.7" right="0.7" top="0.75" bottom="0.75" header="0.3" footer="0.3"/>
  <pageSetup paperSize="9" orientation="portrait" verticalDpi="0" r:id="rId1"/>
  <ignoredErrors>
    <ignoredError sqref="B6 N6" formulaRange="1"/>
    <ignoredError sqref="D6:M6 O6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B25" sqref="B25"/>
    </sheetView>
  </sheetViews>
  <sheetFormatPr defaultColWidth="36.42578125" defaultRowHeight="12.75" x14ac:dyDescent="0.2"/>
  <cols>
    <col min="1" max="1" width="33.5703125" style="24" customWidth="1"/>
    <col min="2" max="2" width="14.28515625" style="44" customWidth="1"/>
    <col min="3" max="3" width="14.85546875" style="24" customWidth="1"/>
    <col min="4" max="7" width="12" style="24" customWidth="1"/>
    <col min="8" max="8" width="13.42578125" style="24" customWidth="1"/>
    <col min="9" max="9" width="11.42578125" style="24" customWidth="1"/>
    <col min="10" max="10" width="13" style="24" customWidth="1"/>
    <col min="11" max="11" width="10.7109375" style="24" customWidth="1"/>
    <col min="12" max="12" width="12.28515625" style="24" customWidth="1"/>
    <col min="13" max="13" width="12.7109375" style="24" customWidth="1"/>
    <col min="14" max="14" width="12.42578125" style="24" customWidth="1"/>
    <col min="15" max="15" width="16.28515625" style="24" customWidth="1"/>
    <col min="16" max="16" width="9.5703125" style="24" customWidth="1"/>
    <col min="17" max="17" width="12.140625" style="24" customWidth="1"/>
    <col min="18" max="16384" width="36.42578125" style="24"/>
  </cols>
  <sheetData>
    <row r="1" spans="1:17" x14ac:dyDescent="0.2">
      <c r="A1" s="20"/>
      <c r="B1" s="21"/>
      <c r="C1" s="20"/>
      <c r="D1" s="20"/>
      <c r="E1" s="20"/>
      <c r="F1" s="20"/>
      <c r="G1" s="22">
        <f>SUM(D2:F2)</f>
        <v>0.105</v>
      </c>
      <c r="H1" s="23"/>
      <c r="I1" s="23"/>
      <c r="J1" s="20" t="s">
        <v>21</v>
      </c>
      <c r="K1" s="22">
        <f>SUM(H2:K2)</f>
        <v>0.21500000000000002</v>
      </c>
      <c r="L1" s="20"/>
      <c r="M1" s="20"/>
      <c r="N1" s="20"/>
      <c r="O1" s="20"/>
    </row>
    <row r="2" spans="1:17" x14ac:dyDescent="0.2">
      <c r="A2" s="20"/>
      <c r="B2" s="21"/>
      <c r="C2" s="20"/>
      <c r="D2" s="47">
        <v>0.08</v>
      </c>
      <c r="E2" s="48">
        <v>1.4999999999999999E-2</v>
      </c>
      <c r="F2" s="47">
        <v>0.01</v>
      </c>
      <c r="G2" s="49"/>
      <c r="H2" s="50">
        <v>0.17</v>
      </c>
      <c r="I2" s="50">
        <v>5.0000000000000001E-3</v>
      </c>
      <c r="J2" s="51">
        <v>0.03</v>
      </c>
      <c r="K2" s="51">
        <v>0.01</v>
      </c>
      <c r="L2" s="26">
        <v>0.02</v>
      </c>
      <c r="M2" s="20">
        <f>SUM(H2:L2)</f>
        <v>0.23500000000000001</v>
      </c>
      <c r="N2" s="20"/>
      <c r="O2" s="20"/>
    </row>
    <row r="3" spans="1:17" x14ac:dyDescent="0.2">
      <c r="A3" s="27" t="s">
        <v>64</v>
      </c>
      <c r="B3" s="28" t="s">
        <v>17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16</v>
      </c>
      <c r="H3" s="29" t="s">
        <v>12</v>
      </c>
      <c r="I3" s="29" t="s">
        <v>40</v>
      </c>
      <c r="J3" s="29" t="s">
        <v>13</v>
      </c>
      <c r="K3" s="29" t="s">
        <v>14</v>
      </c>
      <c r="L3" s="29" t="s">
        <v>15</v>
      </c>
      <c r="M3" s="29" t="s">
        <v>26</v>
      </c>
      <c r="N3" s="29" t="s">
        <v>0</v>
      </c>
      <c r="O3" s="29" t="s">
        <v>18</v>
      </c>
    </row>
    <row r="4" spans="1:17" s="32" customFormat="1" x14ac:dyDescent="0.2">
      <c r="A4" s="30" t="s">
        <v>1</v>
      </c>
      <c r="B4" s="31">
        <f>B5+B6+B11+B12+B13+B14+B15+B16+B17+B18+B19</f>
        <v>945686107.69230783</v>
      </c>
      <c r="C4" s="31">
        <f>C5+C6+C11+C12+C13+C14+C15+C16+C17+C18+C19</f>
        <v>222777000</v>
      </c>
      <c r="D4" s="31">
        <f t="shared" ref="D4:N4" si="0">D5+D6+D11+D12+D13+D14+D15+D16+D17+D18+D19</f>
        <v>17158160</v>
      </c>
      <c r="E4" s="31">
        <f t="shared" si="0"/>
        <v>3217155</v>
      </c>
      <c r="F4" s="31">
        <f t="shared" si="0"/>
        <v>2144770</v>
      </c>
      <c r="G4" s="31">
        <f t="shared" si="0"/>
        <v>22520085</v>
      </c>
      <c r="H4" s="31">
        <f t="shared" si="0"/>
        <v>36461090.000000007</v>
      </c>
      <c r="I4" s="31">
        <f t="shared" si="0"/>
        <v>1113885</v>
      </c>
      <c r="J4" s="31">
        <f t="shared" si="0"/>
        <v>6434310</v>
      </c>
      <c r="K4" s="31">
        <f t="shared" si="0"/>
        <v>2144770</v>
      </c>
      <c r="L4" s="31">
        <f t="shared" si="0"/>
        <v>4289540</v>
      </c>
      <c r="M4" s="31">
        <f t="shared" si="0"/>
        <v>50443595</v>
      </c>
      <c r="N4" s="31">
        <f t="shared" si="0"/>
        <v>68840000</v>
      </c>
      <c r="O4" s="31">
        <f>O5+O6+O11+O12+O13+O14+O15+O16+O17+O18+O19</f>
        <v>854326022.69230783</v>
      </c>
      <c r="P4" s="62"/>
      <c r="Q4" s="62"/>
    </row>
    <row r="5" spans="1:17" ht="14.25" x14ac:dyDescent="0.2">
      <c r="A5" s="33" t="s">
        <v>5</v>
      </c>
      <c r="B5" s="52">
        <v>255261538.46153843</v>
      </c>
      <c r="C5" s="34">
        <v>11900000</v>
      </c>
      <c r="D5" s="35">
        <f>C5*$D$2</f>
        <v>952000</v>
      </c>
      <c r="E5" s="35">
        <f>C5*$E$2</f>
        <v>178500</v>
      </c>
      <c r="F5" s="35">
        <f>C5*$F$2</f>
        <v>119000</v>
      </c>
      <c r="G5" s="35">
        <f>SUM(D5:F5)</f>
        <v>1249500</v>
      </c>
      <c r="H5" s="35">
        <f>C5*$H$2</f>
        <v>2023000.0000000002</v>
      </c>
      <c r="I5" s="35">
        <f>C5*$I$2</f>
        <v>59500</v>
      </c>
      <c r="J5" s="35">
        <f>C5*$J$2</f>
        <v>357000</v>
      </c>
      <c r="K5" s="35">
        <f>C5*$K$2</f>
        <v>119000</v>
      </c>
      <c r="L5" s="35">
        <f>C5*$L$2</f>
        <v>238000</v>
      </c>
      <c r="M5" s="35">
        <f>SUM(H5:L5)</f>
        <v>2796500</v>
      </c>
      <c r="N5" s="34">
        <v>0</v>
      </c>
      <c r="O5" s="36">
        <f>B5-G5-N5</f>
        <v>254012038.46153843</v>
      </c>
      <c r="P5" s="61"/>
      <c r="Q5" s="59"/>
    </row>
    <row r="6" spans="1:17" s="69" customFormat="1" ht="15.75" x14ac:dyDescent="0.2">
      <c r="A6" s="33" t="s">
        <v>65</v>
      </c>
      <c r="B6" s="66">
        <f>SUM(B7:B10)</f>
        <v>165941753.84615383</v>
      </c>
      <c r="C6" s="66">
        <f>SUM(C7:C10)</f>
        <v>46877000</v>
      </c>
      <c r="D6" s="66">
        <f t="shared" ref="D6:O6" si="1">SUM(D7:D10)</f>
        <v>3750160</v>
      </c>
      <c r="E6" s="66">
        <f t="shared" si="1"/>
        <v>703155</v>
      </c>
      <c r="F6" s="66">
        <f t="shared" si="1"/>
        <v>468770</v>
      </c>
      <c r="G6" s="66">
        <f t="shared" si="1"/>
        <v>4922085</v>
      </c>
      <c r="H6" s="66">
        <f t="shared" si="1"/>
        <v>7969090.0000000009</v>
      </c>
      <c r="I6" s="66">
        <f t="shared" si="1"/>
        <v>234385</v>
      </c>
      <c r="J6" s="66">
        <f t="shared" si="1"/>
        <v>1406310</v>
      </c>
      <c r="K6" s="66">
        <f t="shared" si="1"/>
        <v>468770</v>
      </c>
      <c r="L6" s="66">
        <f t="shared" si="1"/>
        <v>937540</v>
      </c>
      <c r="M6" s="66">
        <f t="shared" si="1"/>
        <v>11016095</v>
      </c>
      <c r="N6" s="66">
        <f t="shared" si="1"/>
        <v>10000000</v>
      </c>
      <c r="O6" s="75">
        <f t="shared" si="1"/>
        <v>151019668.84615383</v>
      </c>
      <c r="P6" s="67"/>
      <c r="Q6" s="68"/>
    </row>
    <row r="7" spans="1:17" ht="14.25" x14ac:dyDescent="0.2">
      <c r="A7" s="65" t="s">
        <v>66</v>
      </c>
      <c r="B7" s="45">
        <v>66024523.076923065</v>
      </c>
      <c r="C7" s="45">
        <f>27277000-4577000</f>
        <v>22700000</v>
      </c>
      <c r="D7" s="35">
        <f t="shared" ref="D7:D10" si="2">C7*$D$2</f>
        <v>1816000</v>
      </c>
      <c r="E7" s="35">
        <f t="shared" ref="E7:E19" si="3">C7*$E$2</f>
        <v>340500</v>
      </c>
      <c r="F7" s="35">
        <f t="shared" ref="F7:F19" si="4">C7*$F$2</f>
        <v>227000</v>
      </c>
      <c r="G7" s="35">
        <f t="shared" ref="G7" si="5">SUM(D7:F7)</f>
        <v>2383500</v>
      </c>
      <c r="H7" s="35">
        <f t="shared" ref="H7:H19" si="6">C7*$H$2</f>
        <v>3859000.0000000005</v>
      </c>
      <c r="I7" s="35">
        <f t="shared" ref="I7:I33" si="7">C7*$I$2</f>
        <v>113500</v>
      </c>
      <c r="J7" s="35">
        <f t="shared" ref="J7:J33" si="8">C7*$J$2</f>
        <v>681000</v>
      </c>
      <c r="K7" s="35">
        <f t="shared" ref="K7:K19" si="9">C7*$K$2</f>
        <v>227000</v>
      </c>
      <c r="L7" s="35">
        <f t="shared" ref="L7:L33" si="10">C7*$L$2</f>
        <v>454000</v>
      </c>
      <c r="M7" s="35">
        <f t="shared" ref="M7:M10" si="11">SUM(H7:L7)</f>
        <v>5334500</v>
      </c>
      <c r="N7" s="58">
        <v>4000000</v>
      </c>
      <c r="O7" s="36">
        <f t="shared" ref="O7:O10" si="12">B7-G7-N7</f>
        <v>59641023.076923065</v>
      </c>
      <c r="P7" s="61"/>
      <c r="Q7" s="59"/>
    </row>
    <row r="8" spans="1:17" ht="14.25" x14ac:dyDescent="0.2">
      <c r="A8" s="65" t="s">
        <v>68</v>
      </c>
      <c r="B8" s="45">
        <v>44289230.769230768</v>
      </c>
      <c r="C8" s="34">
        <v>10000000</v>
      </c>
      <c r="D8" s="35">
        <f t="shared" si="2"/>
        <v>800000</v>
      </c>
      <c r="E8" s="35">
        <f t="shared" si="3"/>
        <v>150000</v>
      </c>
      <c r="F8" s="35">
        <f t="shared" si="4"/>
        <v>100000</v>
      </c>
      <c r="G8" s="35">
        <f t="shared" ref="G8:G9" si="13">SUM(D8:F8)</f>
        <v>1050000</v>
      </c>
      <c r="H8" s="35">
        <f t="shared" si="6"/>
        <v>1700000.0000000002</v>
      </c>
      <c r="I8" s="35">
        <f t="shared" si="7"/>
        <v>50000</v>
      </c>
      <c r="J8" s="35">
        <f t="shared" si="8"/>
        <v>300000</v>
      </c>
      <c r="K8" s="35">
        <f t="shared" si="9"/>
        <v>100000</v>
      </c>
      <c r="L8" s="35">
        <f t="shared" si="10"/>
        <v>200000</v>
      </c>
      <c r="M8" s="35">
        <f t="shared" si="11"/>
        <v>2350000</v>
      </c>
      <c r="N8" s="58">
        <v>0</v>
      </c>
      <c r="O8" s="36">
        <f t="shared" si="12"/>
        <v>43239230.769230768</v>
      </c>
      <c r="P8" s="61"/>
      <c r="Q8" s="59"/>
    </row>
    <row r="9" spans="1:17" ht="14.25" x14ac:dyDescent="0.2">
      <c r="A9" s="65" t="s">
        <v>104</v>
      </c>
      <c r="B9" s="45">
        <v>21264923.076923076</v>
      </c>
      <c r="C9" s="34">
        <f>4800000+4577000</f>
        <v>9377000</v>
      </c>
      <c r="D9" s="35">
        <f t="shared" si="2"/>
        <v>750160</v>
      </c>
      <c r="E9" s="35">
        <f t="shared" si="3"/>
        <v>140655</v>
      </c>
      <c r="F9" s="35">
        <f t="shared" si="4"/>
        <v>93770</v>
      </c>
      <c r="G9" s="35">
        <f t="shared" si="13"/>
        <v>984585</v>
      </c>
      <c r="H9" s="35">
        <f t="shared" si="6"/>
        <v>1594090</v>
      </c>
      <c r="I9" s="35">
        <f t="shared" si="7"/>
        <v>46885</v>
      </c>
      <c r="J9" s="35">
        <f t="shared" si="8"/>
        <v>281310</v>
      </c>
      <c r="K9" s="35">
        <f t="shared" si="9"/>
        <v>93770</v>
      </c>
      <c r="L9" s="35">
        <f t="shared" si="10"/>
        <v>187540</v>
      </c>
      <c r="M9" s="35">
        <f t="shared" si="11"/>
        <v>2203595</v>
      </c>
      <c r="N9" s="58">
        <v>6000000</v>
      </c>
      <c r="O9" s="36">
        <f t="shared" si="12"/>
        <v>14280338.076923076</v>
      </c>
      <c r="P9" s="61"/>
      <c r="Q9" s="59"/>
    </row>
    <row r="10" spans="1:17" ht="14.25" x14ac:dyDescent="0.2">
      <c r="A10" s="65" t="s">
        <v>67</v>
      </c>
      <c r="B10" s="45">
        <v>34363076.92307692</v>
      </c>
      <c r="C10" s="34">
        <v>4800000</v>
      </c>
      <c r="D10" s="35">
        <f t="shared" si="2"/>
        <v>384000</v>
      </c>
      <c r="E10" s="35">
        <f t="shared" si="3"/>
        <v>72000</v>
      </c>
      <c r="F10" s="35">
        <f t="shared" si="4"/>
        <v>48000</v>
      </c>
      <c r="G10" s="35">
        <f t="shared" ref="G10" si="14">SUM(D10:F10)</f>
        <v>504000</v>
      </c>
      <c r="H10" s="35">
        <f t="shared" si="6"/>
        <v>816000.00000000012</v>
      </c>
      <c r="I10" s="35">
        <f t="shared" si="7"/>
        <v>24000</v>
      </c>
      <c r="J10" s="35">
        <f t="shared" si="8"/>
        <v>144000</v>
      </c>
      <c r="K10" s="35">
        <f t="shared" si="9"/>
        <v>48000</v>
      </c>
      <c r="L10" s="35">
        <f t="shared" si="10"/>
        <v>96000</v>
      </c>
      <c r="M10" s="35">
        <f t="shared" si="11"/>
        <v>1128000</v>
      </c>
      <c r="N10" s="58">
        <v>0</v>
      </c>
      <c r="O10" s="36">
        <f t="shared" si="12"/>
        <v>33859076.92307692</v>
      </c>
      <c r="P10" s="61"/>
      <c r="Q10" s="59"/>
    </row>
    <row r="11" spans="1:17" ht="14.25" x14ac:dyDescent="0.2">
      <c r="A11" s="33" t="s">
        <v>25</v>
      </c>
      <c r="B11" s="45">
        <v>144941600</v>
      </c>
      <c r="C11" s="34">
        <f>38000000-C12+5100000+4800000</f>
        <v>39600000</v>
      </c>
      <c r="D11" s="35">
        <f>C11*$D$2</f>
        <v>3168000</v>
      </c>
      <c r="E11" s="35">
        <f t="shared" si="3"/>
        <v>594000</v>
      </c>
      <c r="F11" s="35">
        <f t="shared" si="4"/>
        <v>396000</v>
      </c>
      <c r="G11" s="35">
        <f t="shared" ref="G11:G18" si="15">SUM(D11:F11)</f>
        <v>4158000</v>
      </c>
      <c r="H11" s="35">
        <f t="shared" si="6"/>
        <v>6732000.0000000009</v>
      </c>
      <c r="I11" s="35">
        <f t="shared" si="7"/>
        <v>198000</v>
      </c>
      <c r="J11" s="35">
        <f t="shared" si="8"/>
        <v>1188000</v>
      </c>
      <c r="K11" s="35">
        <f t="shared" si="9"/>
        <v>396000</v>
      </c>
      <c r="L11" s="35">
        <f t="shared" si="10"/>
        <v>792000</v>
      </c>
      <c r="M11" s="35">
        <f t="shared" ref="M11:M29" si="16">SUM(H11:L11)</f>
        <v>9306000</v>
      </c>
      <c r="N11" s="58">
        <v>5000000</v>
      </c>
      <c r="O11" s="36">
        <f>B11-G11-N11</f>
        <v>135783600</v>
      </c>
      <c r="P11" s="61"/>
      <c r="Q11" s="59"/>
    </row>
    <row r="12" spans="1:17" ht="14.25" x14ac:dyDescent="0.2">
      <c r="A12" s="33" t="s">
        <v>25</v>
      </c>
      <c r="B12" s="45">
        <v>0</v>
      </c>
      <c r="C12" s="46">
        <v>8300000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f t="shared" si="7"/>
        <v>41500</v>
      </c>
      <c r="J12" s="35">
        <v>0</v>
      </c>
      <c r="K12" s="35">
        <v>0</v>
      </c>
      <c r="L12" s="35">
        <v>0</v>
      </c>
      <c r="M12" s="35">
        <f t="shared" si="16"/>
        <v>41500</v>
      </c>
      <c r="N12" s="55">
        <v>0</v>
      </c>
      <c r="O12" s="35">
        <v>0</v>
      </c>
      <c r="P12" s="61"/>
      <c r="Q12" s="59"/>
    </row>
    <row r="13" spans="1:17" ht="14.25" x14ac:dyDescent="0.2">
      <c r="A13" s="33" t="s">
        <v>7</v>
      </c>
      <c r="B13" s="45">
        <v>57121850.000000007</v>
      </c>
      <c r="C13" s="34">
        <v>27500000</v>
      </c>
      <c r="D13" s="35">
        <f t="shared" ref="D13:D19" si="17">C13*$D$2</f>
        <v>2200000</v>
      </c>
      <c r="E13" s="35">
        <f t="shared" si="3"/>
        <v>412500</v>
      </c>
      <c r="F13" s="35">
        <f t="shared" si="4"/>
        <v>275000</v>
      </c>
      <c r="G13" s="35">
        <f t="shared" si="15"/>
        <v>2887500</v>
      </c>
      <c r="H13" s="35">
        <f t="shared" si="6"/>
        <v>4675000</v>
      </c>
      <c r="I13" s="35">
        <f t="shared" si="7"/>
        <v>137500</v>
      </c>
      <c r="J13" s="35">
        <f t="shared" si="8"/>
        <v>825000</v>
      </c>
      <c r="K13" s="35">
        <f t="shared" si="9"/>
        <v>275000</v>
      </c>
      <c r="L13" s="35">
        <f t="shared" si="10"/>
        <v>550000</v>
      </c>
      <c r="M13" s="35">
        <f t="shared" si="16"/>
        <v>6462500</v>
      </c>
      <c r="N13" s="58">
        <v>5000000</v>
      </c>
      <c r="O13" s="36">
        <f t="shared" ref="O13:O19" si="18">B13-G13-N13</f>
        <v>49234350.000000007</v>
      </c>
      <c r="P13" s="61"/>
      <c r="Q13" s="59"/>
    </row>
    <row r="14" spans="1:17" ht="14.25" x14ac:dyDescent="0.2">
      <c r="A14" s="33" t="s">
        <v>19</v>
      </c>
      <c r="B14" s="45">
        <v>79024923.076923072</v>
      </c>
      <c r="C14" s="34">
        <v>23300000</v>
      </c>
      <c r="D14" s="35">
        <f t="shared" si="17"/>
        <v>1864000</v>
      </c>
      <c r="E14" s="35">
        <f t="shared" si="3"/>
        <v>349500</v>
      </c>
      <c r="F14" s="35">
        <f t="shared" si="4"/>
        <v>233000</v>
      </c>
      <c r="G14" s="35">
        <f t="shared" si="15"/>
        <v>2446500</v>
      </c>
      <c r="H14" s="35">
        <f t="shared" si="6"/>
        <v>3961000.0000000005</v>
      </c>
      <c r="I14" s="35">
        <f t="shared" si="7"/>
        <v>116500</v>
      </c>
      <c r="J14" s="35">
        <f t="shared" si="8"/>
        <v>699000</v>
      </c>
      <c r="K14" s="35">
        <f t="shared" si="9"/>
        <v>233000</v>
      </c>
      <c r="L14" s="35">
        <f t="shared" si="10"/>
        <v>466000</v>
      </c>
      <c r="M14" s="35">
        <f t="shared" si="16"/>
        <v>5475500</v>
      </c>
      <c r="N14" s="58">
        <v>10000000</v>
      </c>
      <c r="O14" s="36">
        <f t="shared" si="18"/>
        <v>66578423.076923072</v>
      </c>
      <c r="P14" s="61"/>
      <c r="Q14" s="59"/>
    </row>
    <row r="15" spans="1:17" ht="14.25" x14ac:dyDescent="0.2">
      <c r="A15" s="33" t="s">
        <v>20</v>
      </c>
      <c r="B15" s="45">
        <v>70744423.076923072</v>
      </c>
      <c r="C15" s="34">
        <f>25800000+5000000</f>
        <v>30800000</v>
      </c>
      <c r="D15" s="35">
        <f t="shared" si="17"/>
        <v>2464000</v>
      </c>
      <c r="E15" s="35">
        <f t="shared" si="3"/>
        <v>462000</v>
      </c>
      <c r="F15" s="35">
        <f t="shared" si="4"/>
        <v>308000</v>
      </c>
      <c r="G15" s="35">
        <f t="shared" si="15"/>
        <v>3234000</v>
      </c>
      <c r="H15" s="35">
        <f t="shared" si="6"/>
        <v>5236000</v>
      </c>
      <c r="I15" s="35">
        <f t="shared" si="7"/>
        <v>154000</v>
      </c>
      <c r="J15" s="35">
        <f t="shared" si="8"/>
        <v>924000</v>
      </c>
      <c r="K15" s="35">
        <f t="shared" si="9"/>
        <v>308000</v>
      </c>
      <c r="L15" s="35">
        <f t="shared" si="10"/>
        <v>616000</v>
      </c>
      <c r="M15" s="35">
        <f t="shared" si="16"/>
        <v>7238000</v>
      </c>
      <c r="N15" s="58">
        <v>27000000</v>
      </c>
      <c r="O15" s="36">
        <f t="shared" si="18"/>
        <v>40510423.076923072</v>
      </c>
      <c r="P15" s="61"/>
      <c r="Q15" s="59"/>
    </row>
    <row r="16" spans="1:17" ht="14.25" x14ac:dyDescent="0.2">
      <c r="A16" s="33" t="s">
        <v>6</v>
      </c>
      <c r="B16" s="45">
        <v>10650769.23076923</v>
      </c>
      <c r="C16" s="34">
        <v>5000000</v>
      </c>
      <c r="D16" s="35">
        <f t="shared" si="17"/>
        <v>400000</v>
      </c>
      <c r="E16" s="35">
        <f t="shared" si="3"/>
        <v>75000</v>
      </c>
      <c r="F16" s="35">
        <f t="shared" si="4"/>
        <v>50000</v>
      </c>
      <c r="G16" s="35">
        <f t="shared" si="15"/>
        <v>525000</v>
      </c>
      <c r="H16" s="35">
        <f t="shared" si="6"/>
        <v>850000.00000000012</v>
      </c>
      <c r="I16" s="35">
        <f t="shared" si="7"/>
        <v>25000</v>
      </c>
      <c r="J16" s="35">
        <f t="shared" si="8"/>
        <v>150000</v>
      </c>
      <c r="K16" s="35">
        <f t="shared" si="9"/>
        <v>50000</v>
      </c>
      <c r="L16" s="35">
        <f t="shared" si="10"/>
        <v>100000</v>
      </c>
      <c r="M16" s="35">
        <f t="shared" si="16"/>
        <v>1175000</v>
      </c>
      <c r="N16" s="58">
        <v>0</v>
      </c>
      <c r="O16" s="36">
        <f t="shared" si="18"/>
        <v>10125769.23076923</v>
      </c>
      <c r="P16" s="61"/>
      <c r="Q16" s="59"/>
    </row>
    <row r="17" spans="1:17" ht="14.25" x14ac:dyDescent="0.2">
      <c r="A17" s="56" t="s">
        <v>103</v>
      </c>
      <c r="B17" s="45">
        <v>24260500</v>
      </c>
      <c r="C17" s="34">
        <v>0</v>
      </c>
      <c r="D17" s="35">
        <f t="shared" si="17"/>
        <v>0</v>
      </c>
      <c r="E17" s="35">
        <f t="shared" si="3"/>
        <v>0</v>
      </c>
      <c r="F17" s="35">
        <f t="shared" si="4"/>
        <v>0</v>
      </c>
      <c r="G17" s="35">
        <f t="shared" ref="G17" si="19">SUM(D17:F17)</f>
        <v>0</v>
      </c>
      <c r="H17" s="35">
        <f t="shared" si="6"/>
        <v>0</v>
      </c>
      <c r="I17" s="35">
        <f t="shared" si="7"/>
        <v>0</v>
      </c>
      <c r="J17" s="35">
        <f t="shared" si="8"/>
        <v>0</v>
      </c>
      <c r="K17" s="35">
        <f t="shared" si="9"/>
        <v>0</v>
      </c>
      <c r="L17" s="35">
        <f t="shared" si="10"/>
        <v>0</v>
      </c>
      <c r="M17" s="35">
        <f t="shared" si="16"/>
        <v>0</v>
      </c>
      <c r="N17" s="34">
        <v>0</v>
      </c>
      <c r="O17" s="36">
        <f t="shared" si="18"/>
        <v>24260500</v>
      </c>
      <c r="P17" s="61"/>
      <c r="Q17" s="59"/>
    </row>
    <row r="18" spans="1:17" ht="14.25" x14ac:dyDescent="0.2">
      <c r="A18" s="33" t="s">
        <v>70</v>
      </c>
      <c r="B18" s="45">
        <v>66357596.15384616</v>
      </c>
      <c r="C18" s="34">
        <v>5000000</v>
      </c>
      <c r="D18" s="35">
        <f>C18*$D$2</f>
        <v>400000</v>
      </c>
      <c r="E18" s="35">
        <f t="shared" si="3"/>
        <v>75000</v>
      </c>
      <c r="F18" s="35">
        <f t="shared" si="4"/>
        <v>50000</v>
      </c>
      <c r="G18" s="35">
        <f t="shared" si="15"/>
        <v>525000</v>
      </c>
      <c r="H18" s="35">
        <f t="shared" si="6"/>
        <v>850000.00000000012</v>
      </c>
      <c r="I18" s="35">
        <f t="shared" si="7"/>
        <v>25000</v>
      </c>
      <c r="J18" s="35">
        <f t="shared" si="8"/>
        <v>150000</v>
      </c>
      <c r="K18" s="35">
        <f t="shared" si="9"/>
        <v>50000</v>
      </c>
      <c r="L18" s="35">
        <f t="shared" si="10"/>
        <v>100000</v>
      </c>
      <c r="M18" s="35">
        <f t="shared" si="16"/>
        <v>1175000</v>
      </c>
      <c r="N18" s="34">
        <v>7840000</v>
      </c>
      <c r="O18" s="36">
        <f t="shared" si="18"/>
        <v>57992596.15384616</v>
      </c>
      <c r="P18" s="61"/>
      <c r="Q18" s="59"/>
    </row>
    <row r="19" spans="1:17" s="25" customFormat="1" ht="14.25" x14ac:dyDescent="0.2">
      <c r="A19" s="33" t="s">
        <v>71</v>
      </c>
      <c r="B19" s="63">
        <v>71381153.84615384</v>
      </c>
      <c r="C19" s="57">
        <v>24500000</v>
      </c>
      <c r="D19" s="35">
        <f t="shared" si="17"/>
        <v>1960000</v>
      </c>
      <c r="E19" s="35">
        <f t="shared" si="3"/>
        <v>367500</v>
      </c>
      <c r="F19" s="35">
        <f t="shared" si="4"/>
        <v>245000</v>
      </c>
      <c r="G19" s="35">
        <f t="shared" ref="G19" si="20">SUM(D19:F19)</f>
        <v>2572500</v>
      </c>
      <c r="H19" s="35">
        <f t="shared" si="6"/>
        <v>4165000.0000000005</v>
      </c>
      <c r="I19" s="35">
        <f t="shared" si="7"/>
        <v>122500</v>
      </c>
      <c r="J19" s="35">
        <f t="shared" si="8"/>
        <v>735000</v>
      </c>
      <c r="K19" s="35">
        <f t="shared" si="9"/>
        <v>245000</v>
      </c>
      <c r="L19" s="35">
        <f t="shared" si="10"/>
        <v>490000</v>
      </c>
      <c r="M19" s="35">
        <f t="shared" si="16"/>
        <v>5757500</v>
      </c>
      <c r="N19" s="57">
        <v>4000000</v>
      </c>
      <c r="O19" s="36">
        <f t="shared" si="18"/>
        <v>64808653.84615384</v>
      </c>
      <c r="P19" s="60"/>
      <c r="Q19" s="60"/>
    </row>
    <row r="20" spans="1:17" s="32" customFormat="1" x14ac:dyDescent="0.2">
      <c r="A20" s="30" t="s">
        <v>2</v>
      </c>
      <c r="B20" s="31">
        <f>SUM(B21:B29)</f>
        <v>651585801.57292306</v>
      </c>
      <c r="C20" s="53">
        <f t="shared" ref="C20:N20" si="21">SUM(C21:C29)</f>
        <v>203847000</v>
      </c>
      <c r="D20" s="53">
        <f t="shared" si="21"/>
        <v>16307760</v>
      </c>
      <c r="E20" s="53">
        <f t="shared" si="21"/>
        <v>3057705</v>
      </c>
      <c r="F20" s="53">
        <f t="shared" si="21"/>
        <v>2038470</v>
      </c>
      <c r="G20" s="53">
        <f t="shared" si="21"/>
        <v>21403935</v>
      </c>
      <c r="H20" s="53">
        <f t="shared" si="21"/>
        <v>34653990</v>
      </c>
      <c r="I20" s="53">
        <f t="shared" si="21"/>
        <v>1019235</v>
      </c>
      <c r="J20" s="53">
        <f t="shared" si="21"/>
        <v>6115410</v>
      </c>
      <c r="K20" s="53">
        <f t="shared" si="21"/>
        <v>2038470</v>
      </c>
      <c r="L20" s="53">
        <f t="shared" si="21"/>
        <v>4076940</v>
      </c>
      <c r="M20" s="53">
        <f t="shared" si="21"/>
        <v>47904045</v>
      </c>
      <c r="N20" s="53">
        <f t="shared" si="21"/>
        <v>111500000</v>
      </c>
      <c r="O20" s="31">
        <f>SUM(O21:O29)</f>
        <v>518681866.57292306</v>
      </c>
      <c r="P20" s="62"/>
      <c r="Q20" s="62"/>
    </row>
    <row r="21" spans="1:17" ht="14.25" x14ac:dyDescent="0.2">
      <c r="A21" s="65" t="s">
        <v>57</v>
      </c>
      <c r="B21" s="37">
        <v>66026923.07692308</v>
      </c>
      <c r="C21" s="38">
        <v>13100000</v>
      </c>
      <c r="D21" s="35">
        <f>C21*$D$2</f>
        <v>1048000</v>
      </c>
      <c r="E21" s="35">
        <f>C21*$E$2</f>
        <v>196500</v>
      </c>
      <c r="F21" s="35">
        <f>C21*$F$2</f>
        <v>131000</v>
      </c>
      <c r="G21" s="35">
        <f>SUM(D21:F21)</f>
        <v>1375500</v>
      </c>
      <c r="H21" s="35">
        <f>C21*$H$2</f>
        <v>2227000</v>
      </c>
      <c r="I21" s="35">
        <f t="shared" si="7"/>
        <v>65500</v>
      </c>
      <c r="J21" s="35">
        <f t="shared" si="8"/>
        <v>393000</v>
      </c>
      <c r="K21" s="35">
        <f>C21*$K$2</f>
        <v>131000</v>
      </c>
      <c r="L21" s="35">
        <f t="shared" si="10"/>
        <v>262000</v>
      </c>
      <c r="M21" s="35">
        <f t="shared" si="16"/>
        <v>3078500</v>
      </c>
      <c r="N21" s="38">
        <v>0</v>
      </c>
      <c r="O21" s="35">
        <f>B21-G21-N21</f>
        <v>64651423.07692308</v>
      </c>
      <c r="P21" s="59"/>
      <c r="Q21" s="59"/>
    </row>
    <row r="22" spans="1:17" ht="14.25" x14ac:dyDescent="0.2">
      <c r="A22" s="65" t="s">
        <v>58</v>
      </c>
      <c r="B22" s="37">
        <v>46323846.153846152</v>
      </c>
      <c r="C22" s="38">
        <v>14400000</v>
      </c>
      <c r="D22" s="35">
        <f>C22*$D$2</f>
        <v>1152000</v>
      </c>
      <c r="E22" s="35">
        <f>C22*$E$2</f>
        <v>216000</v>
      </c>
      <c r="F22" s="35">
        <f>C22*$F$2</f>
        <v>144000</v>
      </c>
      <c r="G22" s="35">
        <f>SUM(D22:F22)</f>
        <v>1512000</v>
      </c>
      <c r="H22" s="35">
        <f>C22*$H$2</f>
        <v>2448000</v>
      </c>
      <c r="I22" s="35">
        <f t="shared" si="7"/>
        <v>72000</v>
      </c>
      <c r="J22" s="35">
        <f t="shared" si="8"/>
        <v>432000</v>
      </c>
      <c r="K22" s="35">
        <f>C22*$K$2</f>
        <v>144000</v>
      </c>
      <c r="L22" s="35">
        <f t="shared" si="10"/>
        <v>288000</v>
      </c>
      <c r="M22" s="35">
        <f t="shared" si="16"/>
        <v>3384000</v>
      </c>
      <c r="N22" s="38">
        <v>0</v>
      </c>
      <c r="O22" s="35">
        <f>B22-G22-N22</f>
        <v>44811846.153846152</v>
      </c>
      <c r="P22" s="61"/>
      <c r="Q22" s="59"/>
    </row>
    <row r="23" spans="1:17" ht="14.25" x14ac:dyDescent="0.2">
      <c r="A23" s="65" t="s">
        <v>62</v>
      </c>
      <c r="B23" s="37">
        <v>54527384.615384616</v>
      </c>
      <c r="C23" s="38">
        <v>14700000</v>
      </c>
      <c r="D23" s="35">
        <f t="shared" ref="D23:D29" si="22">C23*$D$2</f>
        <v>1176000</v>
      </c>
      <c r="E23" s="35">
        <f t="shared" ref="E23:E26" si="23">C23*$E$2</f>
        <v>220500</v>
      </c>
      <c r="F23" s="35">
        <f t="shared" ref="F23:F29" si="24">C23*$F$2</f>
        <v>147000</v>
      </c>
      <c r="G23" s="35">
        <f t="shared" ref="G23:G26" si="25">SUM(D23:F23)</f>
        <v>1543500</v>
      </c>
      <c r="H23" s="35">
        <f t="shared" ref="H23:H29" si="26">C23*$H$2</f>
        <v>2499000</v>
      </c>
      <c r="I23" s="35">
        <f t="shared" si="7"/>
        <v>73500</v>
      </c>
      <c r="J23" s="35">
        <f t="shared" si="8"/>
        <v>441000</v>
      </c>
      <c r="K23" s="35">
        <f t="shared" ref="K23:K29" si="27">C23*$K$2</f>
        <v>147000</v>
      </c>
      <c r="L23" s="35">
        <f t="shared" si="10"/>
        <v>294000</v>
      </c>
      <c r="M23" s="35">
        <f t="shared" si="16"/>
        <v>3454500</v>
      </c>
      <c r="N23" s="38">
        <v>0</v>
      </c>
      <c r="O23" s="35">
        <f>B23-G23-N23</f>
        <v>52983884.615384616</v>
      </c>
      <c r="P23" s="61"/>
      <c r="Q23" s="59"/>
    </row>
    <row r="24" spans="1:17" ht="14.25" x14ac:dyDescent="0.2">
      <c r="A24" s="65" t="s">
        <v>59</v>
      </c>
      <c r="B24" s="37">
        <v>72733846.15384616</v>
      </c>
      <c r="C24" s="38">
        <v>19200000</v>
      </c>
      <c r="D24" s="35">
        <f t="shared" si="22"/>
        <v>1536000</v>
      </c>
      <c r="E24" s="35">
        <f t="shared" si="23"/>
        <v>288000</v>
      </c>
      <c r="F24" s="35">
        <f t="shared" si="24"/>
        <v>192000</v>
      </c>
      <c r="G24" s="35">
        <f t="shared" si="25"/>
        <v>2016000</v>
      </c>
      <c r="H24" s="35">
        <f t="shared" si="26"/>
        <v>3264000.0000000005</v>
      </c>
      <c r="I24" s="35">
        <f t="shared" si="7"/>
        <v>96000</v>
      </c>
      <c r="J24" s="35">
        <f t="shared" si="8"/>
        <v>576000</v>
      </c>
      <c r="K24" s="35">
        <f t="shared" si="27"/>
        <v>192000</v>
      </c>
      <c r="L24" s="35">
        <f t="shared" si="10"/>
        <v>384000</v>
      </c>
      <c r="M24" s="35">
        <f t="shared" si="16"/>
        <v>4512000</v>
      </c>
      <c r="N24" s="38">
        <v>0</v>
      </c>
      <c r="O24" s="35">
        <f t="shared" ref="O24:O29" si="28">B24-G24-N24</f>
        <v>70717846.15384616</v>
      </c>
      <c r="P24" s="59"/>
      <c r="Q24" s="59"/>
    </row>
    <row r="25" spans="1:17" ht="14.25" x14ac:dyDescent="0.2">
      <c r="A25" s="65" t="s">
        <v>60</v>
      </c>
      <c r="B25" s="37">
        <v>61849230.769230768</v>
      </c>
      <c r="C25" s="38">
        <f>24300000+9600000</f>
        <v>33900000</v>
      </c>
      <c r="D25" s="35">
        <f t="shared" si="22"/>
        <v>2712000</v>
      </c>
      <c r="E25" s="35">
        <f t="shared" si="23"/>
        <v>508500</v>
      </c>
      <c r="F25" s="35">
        <f t="shared" si="24"/>
        <v>339000</v>
      </c>
      <c r="G25" s="35">
        <f t="shared" si="25"/>
        <v>3559500</v>
      </c>
      <c r="H25" s="35">
        <f t="shared" si="26"/>
        <v>5763000</v>
      </c>
      <c r="I25" s="35">
        <f t="shared" si="7"/>
        <v>169500</v>
      </c>
      <c r="J25" s="35">
        <f t="shared" si="8"/>
        <v>1017000</v>
      </c>
      <c r="K25" s="35">
        <f t="shared" si="27"/>
        <v>339000</v>
      </c>
      <c r="L25" s="35">
        <f t="shared" si="10"/>
        <v>678000</v>
      </c>
      <c r="M25" s="35">
        <f t="shared" si="16"/>
        <v>7966500</v>
      </c>
      <c r="N25" s="38">
        <v>0</v>
      </c>
      <c r="O25" s="35">
        <f t="shared" si="28"/>
        <v>58289730.769230768</v>
      </c>
      <c r="P25" s="59"/>
      <c r="Q25" s="59"/>
    </row>
    <row r="26" spans="1:17" ht="14.25" x14ac:dyDescent="0.2">
      <c r="A26" s="65" t="s">
        <v>61</v>
      </c>
      <c r="B26" s="37">
        <v>13159230.76923077</v>
      </c>
      <c r="C26" s="38">
        <v>4800000</v>
      </c>
      <c r="D26" s="35">
        <f t="shared" si="22"/>
        <v>384000</v>
      </c>
      <c r="E26" s="35">
        <f t="shared" si="23"/>
        <v>72000</v>
      </c>
      <c r="F26" s="35">
        <f t="shared" si="24"/>
        <v>48000</v>
      </c>
      <c r="G26" s="35">
        <f t="shared" si="25"/>
        <v>504000</v>
      </c>
      <c r="H26" s="35">
        <f t="shared" si="26"/>
        <v>816000.00000000012</v>
      </c>
      <c r="I26" s="35">
        <f t="shared" si="7"/>
        <v>24000</v>
      </c>
      <c r="J26" s="35">
        <f t="shared" si="8"/>
        <v>144000</v>
      </c>
      <c r="K26" s="35">
        <f t="shared" si="27"/>
        <v>48000</v>
      </c>
      <c r="L26" s="35">
        <f t="shared" si="10"/>
        <v>96000</v>
      </c>
      <c r="M26" s="35">
        <f t="shared" si="16"/>
        <v>1128000</v>
      </c>
      <c r="N26" s="38">
        <v>0</v>
      </c>
      <c r="O26" s="35">
        <f t="shared" si="28"/>
        <v>12655230.76923077</v>
      </c>
      <c r="P26" s="59"/>
      <c r="Q26" s="59"/>
    </row>
    <row r="27" spans="1:17" ht="14.25" x14ac:dyDescent="0.2">
      <c r="A27" s="65" t="s">
        <v>3</v>
      </c>
      <c r="B27" s="37">
        <v>74723701.935076922</v>
      </c>
      <c r="C27" s="38">
        <v>32562000</v>
      </c>
      <c r="D27" s="35">
        <f t="shared" si="22"/>
        <v>2604960</v>
      </c>
      <c r="E27" s="35">
        <f>C27*$E$2</f>
        <v>488430</v>
      </c>
      <c r="F27" s="35">
        <f t="shared" si="24"/>
        <v>325620</v>
      </c>
      <c r="G27" s="35">
        <f t="shared" ref="G27:G29" si="29">SUM(D27:F27)</f>
        <v>3419010</v>
      </c>
      <c r="H27" s="35">
        <f t="shared" si="26"/>
        <v>5535540</v>
      </c>
      <c r="I27" s="35">
        <f t="shared" si="7"/>
        <v>162810</v>
      </c>
      <c r="J27" s="35">
        <f t="shared" si="8"/>
        <v>976860</v>
      </c>
      <c r="K27" s="35">
        <f t="shared" si="27"/>
        <v>325620</v>
      </c>
      <c r="L27" s="35">
        <f t="shared" si="10"/>
        <v>651240</v>
      </c>
      <c r="M27" s="35">
        <f t="shared" si="16"/>
        <v>7652070</v>
      </c>
      <c r="N27" s="38">
        <v>27000000</v>
      </c>
      <c r="O27" s="35">
        <f>B27-G27-N27</f>
        <v>44304691.935076922</v>
      </c>
      <c r="P27" s="61"/>
      <c r="Q27" s="59"/>
    </row>
    <row r="28" spans="1:17" ht="14.25" x14ac:dyDescent="0.2">
      <c r="A28" s="65" t="s">
        <v>22</v>
      </c>
      <c r="B28" s="37">
        <v>151738555.9230769</v>
      </c>
      <c r="C28" s="38">
        <v>48300000</v>
      </c>
      <c r="D28" s="35">
        <f t="shared" si="22"/>
        <v>3864000</v>
      </c>
      <c r="E28" s="35">
        <f t="shared" ref="E28:E29" si="30">C28*$E$2</f>
        <v>724500</v>
      </c>
      <c r="F28" s="35">
        <f t="shared" si="24"/>
        <v>483000</v>
      </c>
      <c r="G28" s="35">
        <f t="shared" si="29"/>
        <v>5071500</v>
      </c>
      <c r="H28" s="35">
        <f t="shared" si="26"/>
        <v>8211000.0000000009</v>
      </c>
      <c r="I28" s="35">
        <f t="shared" si="7"/>
        <v>241500</v>
      </c>
      <c r="J28" s="35">
        <f t="shared" si="8"/>
        <v>1449000</v>
      </c>
      <c r="K28" s="35">
        <f t="shared" si="27"/>
        <v>483000</v>
      </c>
      <c r="L28" s="35">
        <f t="shared" si="10"/>
        <v>966000</v>
      </c>
      <c r="M28" s="35">
        <f t="shared" si="16"/>
        <v>11350500</v>
      </c>
      <c r="N28" s="38">
        <v>45500000</v>
      </c>
      <c r="O28" s="35">
        <f t="shared" si="28"/>
        <v>101167055.9230769</v>
      </c>
      <c r="P28" s="61"/>
      <c r="Q28" s="59"/>
    </row>
    <row r="29" spans="1:17" ht="14.25" x14ac:dyDescent="0.2">
      <c r="A29" s="65" t="s">
        <v>23</v>
      </c>
      <c r="B29" s="37">
        <v>110503082.17630768</v>
      </c>
      <c r="C29" s="38">
        <v>22885000</v>
      </c>
      <c r="D29" s="35">
        <f t="shared" si="22"/>
        <v>1830800</v>
      </c>
      <c r="E29" s="35">
        <f t="shared" si="30"/>
        <v>343275</v>
      </c>
      <c r="F29" s="35">
        <f t="shared" si="24"/>
        <v>228850</v>
      </c>
      <c r="G29" s="35">
        <f t="shared" si="29"/>
        <v>2402925</v>
      </c>
      <c r="H29" s="35">
        <f t="shared" si="26"/>
        <v>3890450.0000000005</v>
      </c>
      <c r="I29" s="35">
        <f t="shared" si="7"/>
        <v>114425</v>
      </c>
      <c r="J29" s="35">
        <f t="shared" si="8"/>
        <v>686550</v>
      </c>
      <c r="K29" s="35">
        <f t="shared" si="27"/>
        <v>228850</v>
      </c>
      <c r="L29" s="35">
        <f t="shared" si="10"/>
        <v>457700</v>
      </c>
      <c r="M29" s="35">
        <f t="shared" si="16"/>
        <v>5377975</v>
      </c>
      <c r="N29" s="38">
        <v>39000000</v>
      </c>
      <c r="O29" s="35">
        <f t="shared" si="28"/>
        <v>69100157.176307678</v>
      </c>
      <c r="P29" s="61"/>
      <c r="Q29" s="59"/>
    </row>
    <row r="30" spans="1:17" s="32" customFormat="1" x14ac:dyDescent="0.2">
      <c r="A30" s="30" t="s">
        <v>24</v>
      </c>
      <c r="B30" s="31">
        <f>SUM(B31:B33)</f>
        <v>1206659808.294358</v>
      </c>
      <c r="C30" s="31">
        <f t="shared" ref="C30:N30" si="31">SUM(C31:C33)</f>
        <v>410335000</v>
      </c>
      <c r="D30" s="31">
        <f t="shared" si="31"/>
        <v>32826800</v>
      </c>
      <c r="E30" s="31">
        <f t="shared" si="31"/>
        <v>6155025</v>
      </c>
      <c r="F30" s="31">
        <f t="shared" si="31"/>
        <v>4103350</v>
      </c>
      <c r="G30" s="31">
        <f t="shared" si="31"/>
        <v>43085175</v>
      </c>
      <c r="H30" s="31">
        <f t="shared" si="31"/>
        <v>69756950</v>
      </c>
      <c r="I30" s="31">
        <f t="shared" si="31"/>
        <v>2051675</v>
      </c>
      <c r="J30" s="31">
        <f t="shared" si="31"/>
        <v>12310050</v>
      </c>
      <c r="K30" s="31">
        <f t="shared" si="31"/>
        <v>4103350</v>
      </c>
      <c r="L30" s="31">
        <f t="shared" si="31"/>
        <v>8206700</v>
      </c>
      <c r="M30" s="31">
        <f t="shared" si="31"/>
        <v>96428725</v>
      </c>
      <c r="N30" s="31">
        <f t="shared" si="31"/>
        <v>352100000</v>
      </c>
      <c r="O30" s="31">
        <f>SUM(O31:O33)</f>
        <v>811474633.2943579</v>
      </c>
      <c r="P30" s="62"/>
      <c r="Q30" s="62"/>
    </row>
    <row r="31" spans="1:17" ht="64.5" x14ac:dyDescent="0.25">
      <c r="A31" s="40" t="s">
        <v>43</v>
      </c>
      <c r="B31" s="41">
        <v>787753090.34895027</v>
      </c>
      <c r="C31" s="42">
        <v>267925000</v>
      </c>
      <c r="D31" s="35">
        <f>C31*$D$2</f>
        <v>21434000</v>
      </c>
      <c r="E31" s="35">
        <f>C31*$E$2</f>
        <v>4018875</v>
      </c>
      <c r="F31" s="35">
        <f>C31*$F$2</f>
        <v>2679250</v>
      </c>
      <c r="G31" s="35">
        <f>SUM(D31:F31)</f>
        <v>28132125</v>
      </c>
      <c r="H31" s="35">
        <f>C31*$H$2</f>
        <v>45547250</v>
      </c>
      <c r="I31" s="35">
        <f t="shared" si="7"/>
        <v>1339625</v>
      </c>
      <c r="J31" s="35">
        <f t="shared" si="8"/>
        <v>8037750</v>
      </c>
      <c r="K31" s="35">
        <f>C31*$K$2</f>
        <v>2679250</v>
      </c>
      <c r="L31" s="35">
        <f t="shared" si="10"/>
        <v>5358500</v>
      </c>
      <c r="M31" s="35">
        <f>SUM(H31:L31)</f>
        <v>62962375</v>
      </c>
      <c r="N31" s="42">
        <v>200100000</v>
      </c>
      <c r="O31" s="36">
        <f>B31-G31-N31</f>
        <v>559520965.34895027</v>
      </c>
      <c r="P31" s="59"/>
      <c r="Q31" s="61"/>
    </row>
    <row r="32" spans="1:17" ht="14.25" x14ac:dyDescent="0.25">
      <c r="A32" s="33" t="s">
        <v>41</v>
      </c>
      <c r="B32" s="43">
        <v>212083367.63290763</v>
      </c>
      <c r="C32" s="42">
        <v>68655000</v>
      </c>
      <c r="D32" s="35">
        <f>C32*$D$2</f>
        <v>5492400</v>
      </c>
      <c r="E32" s="35">
        <f>C32*$E$2</f>
        <v>1029825</v>
      </c>
      <c r="F32" s="35">
        <f>C32*$F$2</f>
        <v>686550</v>
      </c>
      <c r="G32" s="35">
        <f>SUM(D32:F32)</f>
        <v>7208775</v>
      </c>
      <c r="H32" s="35">
        <f>C32*$H$2</f>
        <v>11671350</v>
      </c>
      <c r="I32" s="35">
        <f>C32*$I$2</f>
        <v>343275</v>
      </c>
      <c r="J32" s="35">
        <f>C32*$J$2</f>
        <v>2059650</v>
      </c>
      <c r="K32" s="35">
        <f>C32*$K$2</f>
        <v>686550</v>
      </c>
      <c r="L32" s="35">
        <f t="shared" si="10"/>
        <v>1373100</v>
      </c>
      <c r="M32" s="35">
        <f>SUM(H32:L32)</f>
        <v>16133925</v>
      </c>
      <c r="N32" s="42">
        <v>86000000</v>
      </c>
      <c r="O32" s="36">
        <f>B32-G32-N32</f>
        <v>118874592.63290763</v>
      </c>
      <c r="P32" s="59"/>
      <c r="Q32" s="61"/>
    </row>
    <row r="33" spans="1:17" ht="14.25" x14ac:dyDescent="0.25">
      <c r="A33" s="33" t="s">
        <v>42</v>
      </c>
      <c r="B33" s="41">
        <v>206823350.31250003</v>
      </c>
      <c r="C33" s="42">
        <v>73755000</v>
      </c>
      <c r="D33" s="35">
        <f t="shared" ref="D33" si="32">C33*$D$2</f>
        <v>5900400</v>
      </c>
      <c r="E33" s="35">
        <f t="shared" ref="E33" si="33">C33*$E$2</f>
        <v>1106325</v>
      </c>
      <c r="F33" s="35">
        <f t="shared" ref="F33" si="34">C33*$F$2</f>
        <v>737550</v>
      </c>
      <c r="G33" s="35">
        <f t="shared" ref="G33" si="35">SUM(D33:F33)</f>
        <v>7744275</v>
      </c>
      <c r="H33" s="35">
        <f t="shared" ref="H33" si="36">C33*$H$2</f>
        <v>12538350</v>
      </c>
      <c r="I33" s="35">
        <f t="shared" si="7"/>
        <v>368775</v>
      </c>
      <c r="J33" s="35">
        <f t="shared" si="8"/>
        <v>2212650</v>
      </c>
      <c r="K33" s="35">
        <f t="shared" ref="K33" si="37">C33*$K$2</f>
        <v>737550</v>
      </c>
      <c r="L33" s="35">
        <f t="shared" si="10"/>
        <v>1475100</v>
      </c>
      <c r="M33" s="35">
        <f>SUM(H33:L33)</f>
        <v>17332425</v>
      </c>
      <c r="N33" s="42">
        <v>66000000</v>
      </c>
      <c r="O33" s="54">
        <f>B33-G33-N33</f>
        <v>133079075.31250003</v>
      </c>
      <c r="P33" s="59"/>
      <c r="Q33" s="61"/>
    </row>
    <row r="34" spans="1:17" x14ac:dyDescent="0.2">
      <c r="A34" s="29" t="s">
        <v>4</v>
      </c>
      <c r="B34" s="28">
        <f>+B4+B20+B30</f>
        <v>2803931717.5595889</v>
      </c>
      <c r="C34" s="28">
        <f t="shared" ref="C34:N34" si="38">+C4+C20+C30</f>
        <v>836959000</v>
      </c>
      <c r="D34" s="28">
        <f t="shared" si="38"/>
        <v>66292720</v>
      </c>
      <c r="E34" s="28">
        <f t="shared" si="38"/>
        <v>12429885</v>
      </c>
      <c r="F34" s="28">
        <f t="shared" si="38"/>
        <v>8286590</v>
      </c>
      <c r="G34" s="28">
        <f t="shared" si="38"/>
        <v>87009195</v>
      </c>
      <c r="H34" s="28">
        <f t="shared" si="38"/>
        <v>140872030</v>
      </c>
      <c r="I34" s="28">
        <f t="shared" si="38"/>
        <v>4184795</v>
      </c>
      <c r="J34" s="28">
        <f t="shared" si="38"/>
        <v>24859770</v>
      </c>
      <c r="K34" s="28">
        <f t="shared" si="38"/>
        <v>8286590</v>
      </c>
      <c r="L34" s="28">
        <f t="shared" si="38"/>
        <v>16573180</v>
      </c>
      <c r="M34" s="28">
        <f t="shared" si="38"/>
        <v>194776365</v>
      </c>
      <c r="N34" s="28">
        <f t="shared" si="38"/>
        <v>532440000</v>
      </c>
      <c r="O34" s="28">
        <f>+O4+O20+O30</f>
        <v>2184482522.5595889</v>
      </c>
      <c r="P34" s="59"/>
      <c r="Q34" s="61"/>
    </row>
    <row r="35" spans="1:17" x14ac:dyDescent="0.2">
      <c r="O35" s="74">
        <v>2184535000</v>
      </c>
    </row>
    <row r="36" spans="1:17" x14ac:dyDescent="0.2">
      <c r="C36" s="39"/>
      <c r="O36" s="3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pane xSplit="3" ySplit="3" topLeftCell="E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ColWidth="36.42578125" defaultRowHeight="12.75" x14ac:dyDescent="0.2"/>
  <cols>
    <col min="1" max="1" width="33.5703125" style="24" customWidth="1"/>
    <col min="2" max="2" width="14.28515625" style="44" customWidth="1"/>
    <col min="3" max="3" width="14.85546875" style="24" customWidth="1"/>
    <col min="4" max="7" width="12" style="24" customWidth="1"/>
    <col min="8" max="8" width="13.42578125" style="24" customWidth="1"/>
    <col min="9" max="9" width="11.42578125" style="24" customWidth="1"/>
    <col min="10" max="10" width="13" style="24" customWidth="1"/>
    <col min="11" max="11" width="10.7109375" style="24" customWidth="1"/>
    <col min="12" max="12" width="12.28515625" style="24" customWidth="1"/>
    <col min="13" max="13" width="12.7109375" style="24" customWidth="1"/>
    <col min="14" max="14" width="12.42578125" style="24" customWidth="1"/>
    <col min="15" max="15" width="16.28515625" style="24" customWidth="1"/>
    <col min="16" max="16" width="9.5703125" style="24" customWidth="1"/>
    <col min="17" max="17" width="12.140625" style="24" customWidth="1"/>
    <col min="18" max="16384" width="36.42578125" style="24"/>
  </cols>
  <sheetData>
    <row r="1" spans="1:17" x14ac:dyDescent="0.2">
      <c r="A1" s="20"/>
      <c r="B1" s="21"/>
      <c r="C1" s="20"/>
      <c r="D1" s="20"/>
      <c r="E1" s="20"/>
      <c r="F1" s="20"/>
      <c r="G1" s="22">
        <f>SUM(D2:F2)</f>
        <v>0.105</v>
      </c>
      <c r="H1" s="23"/>
      <c r="I1" s="23"/>
      <c r="J1" s="20" t="s">
        <v>21</v>
      </c>
      <c r="K1" s="22">
        <f>SUM(H2:K2)</f>
        <v>0.21500000000000002</v>
      </c>
      <c r="L1" s="20"/>
      <c r="M1" s="20"/>
      <c r="N1" s="20"/>
      <c r="O1" s="20"/>
    </row>
    <row r="2" spans="1:17" x14ac:dyDescent="0.2">
      <c r="A2" s="20"/>
      <c r="B2" s="21"/>
      <c r="C2" s="20"/>
      <c r="D2" s="47">
        <v>0.08</v>
      </c>
      <c r="E2" s="48">
        <v>1.4999999999999999E-2</v>
      </c>
      <c r="F2" s="47">
        <v>0.01</v>
      </c>
      <c r="G2" s="49"/>
      <c r="H2" s="50">
        <v>0.17</v>
      </c>
      <c r="I2" s="50">
        <v>5.0000000000000001E-3</v>
      </c>
      <c r="J2" s="51">
        <v>0.03</v>
      </c>
      <c r="K2" s="51">
        <v>0.01</v>
      </c>
      <c r="L2" s="26">
        <v>0.02</v>
      </c>
      <c r="M2" s="20">
        <f>SUM(H2:L2)</f>
        <v>0.23500000000000001</v>
      </c>
      <c r="N2" s="20"/>
      <c r="O2" s="20"/>
    </row>
    <row r="3" spans="1:17" x14ac:dyDescent="0.2">
      <c r="A3" s="27" t="s">
        <v>64</v>
      </c>
      <c r="B3" s="28" t="s">
        <v>17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16</v>
      </c>
      <c r="H3" s="29" t="s">
        <v>12</v>
      </c>
      <c r="I3" s="29" t="s">
        <v>40</v>
      </c>
      <c r="J3" s="29" t="s">
        <v>13</v>
      </c>
      <c r="K3" s="29" t="s">
        <v>14</v>
      </c>
      <c r="L3" s="29" t="s">
        <v>15</v>
      </c>
      <c r="M3" s="29" t="s">
        <v>26</v>
      </c>
      <c r="N3" s="29" t="s">
        <v>0</v>
      </c>
      <c r="O3" s="29" t="s">
        <v>18</v>
      </c>
    </row>
    <row r="4" spans="1:17" s="32" customFormat="1" x14ac:dyDescent="0.2">
      <c r="A4" s="30" t="s">
        <v>1</v>
      </c>
      <c r="B4" s="31">
        <f>B5+B6+B11+B12+B13+B14+B15+B16+B17+B18+B19</f>
        <v>995027784.16666675</v>
      </c>
      <c r="C4" s="31">
        <f>C5+C6+C11+C12+C13+C14+C15+C16+C17+C18+C19</f>
        <v>222777000</v>
      </c>
      <c r="D4" s="31">
        <f t="shared" ref="D4:N4" si="0">D5+D6+D11+D12+D13+D14+D15+D16+D17+D18+D19</f>
        <v>17158160</v>
      </c>
      <c r="E4" s="31">
        <f t="shared" si="0"/>
        <v>3217155</v>
      </c>
      <c r="F4" s="31">
        <f t="shared" si="0"/>
        <v>2144770</v>
      </c>
      <c r="G4" s="31">
        <f t="shared" si="0"/>
        <v>22520085</v>
      </c>
      <c r="H4" s="31">
        <f t="shared" si="0"/>
        <v>36461090.000000007</v>
      </c>
      <c r="I4" s="31">
        <f t="shared" si="0"/>
        <v>1113885</v>
      </c>
      <c r="J4" s="31">
        <f t="shared" si="0"/>
        <v>6434310</v>
      </c>
      <c r="K4" s="31">
        <f t="shared" si="0"/>
        <v>2144770</v>
      </c>
      <c r="L4" s="31">
        <f t="shared" si="0"/>
        <v>4289540</v>
      </c>
      <c r="M4" s="31">
        <f t="shared" si="0"/>
        <v>50443595</v>
      </c>
      <c r="N4" s="31">
        <f t="shared" si="0"/>
        <v>67000000</v>
      </c>
      <c r="O4" s="31">
        <f>O5+O6+O11+O12+O13+O14+O15+O16+O17+O18+O19</f>
        <v>905507699.16666675</v>
      </c>
      <c r="P4" s="62"/>
      <c r="Q4" s="62"/>
    </row>
    <row r="5" spans="1:17" ht="14.25" x14ac:dyDescent="0.2">
      <c r="A5" s="33" t="s">
        <v>5</v>
      </c>
      <c r="B5" s="52">
        <v>268240000</v>
      </c>
      <c r="C5" s="34">
        <v>11900000</v>
      </c>
      <c r="D5" s="35">
        <f>C5*$D$2</f>
        <v>952000</v>
      </c>
      <c r="E5" s="35">
        <f>C5*$E$2</f>
        <v>178500</v>
      </c>
      <c r="F5" s="35">
        <f>C5*$F$2</f>
        <v>119000</v>
      </c>
      <c r="G5" s="35">
        <f>SUM(D5:F5)</f>
        <v>1249500</v>
      </c>
      <c r="H5" s="35">
        <f>C5*$H$2</f>
        <v>2023000.0000000002</v>
      </c>
      <c r="I5" s="35">
        <f>C5*$I$2</f>
        <v>59500</v>
      </c>
      <c r="J5" s="35">
        <f>C5*$J$2</f>
        <v>357000</v>
      </c>
      <c r="K5" s="35">
        <f>C5*$K$2</f>
        <v>119000</v>
      </c>
      <c r="L5" s="35">
        <f>C5*$L$2</f>
        <v>238000</v>
      </c>
      <c r="M5" s="35">
        <f>SUM(H5:L5)</f>
        <v>2796500</v>
      </c>
      <c r="N5" s="34">
        <v>0</v>
      </c>
      <c r="O5" s="36">
        <f>B5-G5-N5</f>
        <v>266990500</v>
      </c>
      <c r="P5" s="61"/>
      <c r="Q5" s="59"/>
    </row>
    <row r="6" spans="1:17" s="69" customFormat="1" ht="15.75" x14ac:dyDescent="0.2">
      <c r="A6" s="33" t="s">
        <v>65</v>
      </c>
      <c r="B6" s="66">
        <f>SUM(B7:B10)</f>
        <v>169597425.83333331</v>
      </c>
      <c r="C6" s="66">
        <f>SUM(C7:C10)</f>
        <v>46877000</v>
      </c>
      <c r="D6" s="66">
        <f t="shared" ref="D6:O6" si="1">SUM(D7:D10)</f>
        <v>3750160</v>
      </c>
      <c r="E6" s="66">
        <f t="shared" si="1"/>
        <v>703155</v>
      </c>
      <c r="F6" s="66">
        <f t="shared" si="1"/>
        <v>468770</v>
      </c>
      <c r="G6" s="66">
        <f t="shared" si="1"/>
        <v>4922085</v>
      </c>
      <c r="H6" s="66">
        <f t="shared" si="1"/>
        <v>7969090.0000000009</v>
      </c>
      <c r="I6" s="66">
        <f t="shared" si="1"/>
        <v>234385</v>
      </c>
      <c r="J6" s="66">
        <f t="shared" si="1"/>
        <v>1406310</v>
      </c>
      <c r="K6" s="66">
        <f t="shared" si="1"/>
        <v>468770</v>
      </c>
      <c r="L6" s="66">
        <f t="shared" si="1"/>
        <v>937540</v>
      </c>
      <c r="M6" s="66">
        <f t="shared" si="1"/>
        <v>11016095</v>
      </c>
      <c r="N6" s="66">
        <f t="shared" si="1"/>
        <v>9000000</v>
      </c>
      <c r="O6" s="75">
        <f t="shared" si="1"/>
        <v>155675340.83333331</v>
      </c>
      <c r="P6" s="67"/>
      <c r="Q6" s="68"/>
    </row>
    <row r="7" spans="1:17" ht="14.25" x14ac:dyDescent="0.2">
      <c r="A7" s="65" t="s">
        <v>66</v>
      </c>
      <c r="B7" s="45">
        <v>66442945.833333336</v>
      </c>
      <c r="C7" s="45">
        <f>27277000-4577000</f>
        <v>22700000</v>
      </c>
      <c r="D7" s="35">
        <f t="shared" ref="D7:D10" si="2">C7*$D$2</f>
        <v>1816000</v>
      </c>
      <c r="E7" s="35">
        <f t="shared" ref="E7:E19" si="3">C7*$E$2</f>
        <v>340500</v>
      </c>
      <c r="F7" s="35">
        <f t="shared" ref="F7:F19" si="4">C7*$F$2</f>
        <v>227000</v>
      </c>
      <c r="G7" s="35">
        <f t="shared" ref="G7" si="5">SUM(D7:F7)</f>
        <v>2383500</v>
      </c>
      <c r="H7" s="35">
        <f t="shared" ref="H7:H19" si="6">C7*$H$2</f>
        <v>3859000.0000000005</v>
      </c>
      <c r="I7" s="35">
        <f t="shared" ref="I7:I36" si="7">C7*$I$2</f>
        <v>113500</v>
      </c>
      <c r="J7" s="35">
        <f t="shared" ref="J7:J36" si="8">C7*$J$2</f>
        <v>681000</v>
      </c>
      <c r="K7" s="35">
        <f t="shared" ref="K7:K19" si="9">C7*$K$2</f>
        <v>227000</v>
      </c>
      <c r="L7" s="35">
        <f t="shared" ref="L7:L36" si="10">C7*$L$2</f>
        <v>454000</v>
      </c>
      <c r="M7" s="35">
        <f t="shared" ref="M7:M10" si="11">SUM(H7:L7)</f>
        <v>5334500</v>
      </c>
      <c r="N7" s="58">
        <v>3000000</v>
      </c>
      <c r="O7" s="36">
        <f t="shared" ref="O7:O10" si="12">B7-G7-N7</f>
        <v>61059445.833333336</v>
      </c>
      <c r="P7" s="61"/>
      <c r="Q7" s="59"/>
    </row>
    <row r="8" spans="1:17" ht="14.25" x14ac:dyDescent="0.2">
      <c r="A8" s="65" t="s">
        <v>68</v>
      </c>
      <c r="B8" s="45">
        <v>42639166.666666672</v>
      </c>
      <c r="C8" s="34">
        <v>10000000</v>
      </c>
      <c r="D8" s="35">
        <f t="shared" si="2"/>
        <v>800000</v>
      </c>
      <c r="E8" s="35">
        <f t="shared" si="3"/>
        <v>150000</v>
      </c>
      <c r="F8" s="35">
        <f t="shared" si="4"/>
        <v>100000</v>
      </c>
      <c r="G8" s="35">
        <f t="shared" ref="G8:G9" si="13">SUM(D8:F8)</f>
        <v>1050000</v>
      </c>
      <c r="H8" s="35">
        <f t="shared" si="6"/>
        <v>1700000.0000000002</v>
      </c>
      <c r="I8" s="35">
        <f t="shared" si="7"/>
        <v>50000</v>
      </c>
      <c r="J8" s="35">
        <f t="shared" si="8"/>
        <v>300000</v>
      </c>
      <c r="K8" s="35">
        <f t="shared" si="9"/>
        <v>100000</v>
      </c>
      <c r="L8" s="35">
        <f t="shared" si="10"/>
        <v>200000</v>
      </c>
      <c r="M8" s="35">
        <f t="shared" si="11"/>
        <v>2350000</v>
      </c>
      <c r="N8" s="58">
        <v>0</v>
      </c>
      <c r="O8" s="36">
        <f t="shared" si="12"/>
        <v>41589166.666666672</v>
      </c>
      <c r="P8" s="61"/>
      <c r="Q8" s="59"/>
    </row>
    <row r="9" spans="1:17" ht="14.25" x14ac:dyDescent="0.2">
      <c r="A9" s="65" t="s">
        <v>104</v>
      </c>
      <c r="B9" s="45">
        <v>24259480</v>
      </c>
      <c r="C9" s="34">
        <f>4800000+4577000</f>
        <v>9377000</v>
      </c>
      <c r="D9" s="35">
        <f t="shared" si="2"/>
        <v>750160</v>
      </c>
      <c r="E9" s="35">
        <f t="shared" si="3"/>
        <v>140655</v>
      </c>
      <c r="F9" s="35">
        <f t="shared" si="4"/>
        <v>93770</v>
      </c>
      <c r="G9" s="35">
        <f t="shared" si="13"/>
        <v>984585</v>
      </c>
      <c r="H9" s="35">
        <f t="shared" si="6"/>
        <v>1594090</v>
      </c>
      <c r="I9" s="35">
        <f t="shared" si="7"/>
        <v>46885</v>
      </c>
      <c r="J9" s="35">
        <f t="shared" si="8"/>
        <v>281310</v>
      </c>
      <c r="K9" s="35">
        <f t="shared" si="9"/>
        <v>93770</v>
      </c>
      <c r="L9" s="35">
        <f t="shared" si="10"/>
        <v>187540</v>
      </c>
      <c r="M9" s="35">
        <f t="shared" si="11"/>
        <v>2203595</v>
      </c>
      <c r="N9" s="58">
        <v>6000000</v>
      </c>
      <c r="O9" s="36">
        <f t="shared" si="12"/>
        <v>17274895</v>
      </c>
      <c r="P9" s="61"/>
      <c r="Q9" s="59"/>
    </row>
    <row r="10" spans="1:17" ht="14.25" x14ac:dyDescent="0.2">
      <c r="A10" s="65" t="s">
        <v>67</v>
      </c>
      <c r="B10" s="45">
        <v>36255833.333333328</v>
      </c>
      <c r="C10" s="34">
        <v>4800000</v>
      </c>
      <c r="D10" s="35">
        <f t="shared" si="2"/>
        <v>384000</v>
      </c>
      <c r="E10" s="35">
        <f t="shared" si="3"/>
        <v>72000</v>
      </c>
      <c r="F10" s="35">
        <f t="shared" si="4"/>
        <v>48000</v>
      </c>
      <c r="G10" s="35">
        <f t="shared" ref="G10" si="14">SUM(D10:F10)</f>
        <v>504000</v>
      </c>
      <c r="H10" s="35">
        <f t="shared" si="6"/>
        <v>816000.00000000012</v>
      </c>
      <c r="I10" s="35">
        <f t="shared" si="7"/>
        <v>24000</v>
      </c>
      <c r="J10" s="35">
        <f t="shared" si="8"/>
        <v>144000</v>
      </c>
      <c r="K10" s="35">
        <f t="shared" si="9"/>
        <v>48000</v>
      </c>
      <c r="L10" s="35">
        <f t="shared" si="10"/>
        <v>96000</v>
      </c>
      <c r="M10" s="35">
        <f t="shared" si="11"/>
        <v>1128000</v>
      </c>
      <c r="N10" s="58">
        <v>0</v>
      </c>
      <c r="O10" s="36">
        <f t="shared" si="12"/>
        <v>35751833.333333328</v>
      </c>
      <c r="P10" s="61"/>
      <c r="Q10" s="59"/>
    </row>
    <row r="11" spans="1:17" ht="14.25" x14ac:dyDescent="0.2">
      <c r="A11" s="33" t="s">
        <v>25</v>
      </c>
      <c r="B11" s="45">
        <v>148288316.66666669</v>
      </c>
      <c r="C11" s="34">
        <f>38000000-C12+5100000+4800000</f>
        <v>39600000</v>
      </c>
      <c r="D11" s="35">
        <f>C11*$D$2</f>
        <v>3168000</v>
      </c>
      <c r="E11" s="35">
        <f t="shared" si="3"/>
        <v>594000</v>
      </c>
      <c r="F11" s="35">
        <f t="shared" si="4"/>
        <v>396000</v>
      </c>
      <c r="G11" s="35">
        <f t="shared" ref="G11:G18" si="15">SUM(D11:F11)</f>
        <v>4158000</v>
      </c>
      <c r="H11" s="35">
        <f t="shared" si="6"/>
        <v>6732000.0000000009</v>
      </c>
      <c r="I11" s="35">
        <f t="shared" si="7"/>
        <v>198000</v>
      </c>
      <c r="J11" s="35">
        <f t="shared" si="8"/>
        <v>1188000</v>
      </c>
      <c r="K11" s="35">
        <f t="shared" si="9"/>
        <v>396000</v>
      </c>
      <c r="L11" s="35">
        <f t="shared" si="10"/>
        <v>792000</v>
      </c>
      <c r="M11" s="35">
        <f t="shared" ref="M11:M30" si="16">SUM(H11:L11)</f>
        <v>9306000</v>
      </c>
      <c r="N11" s="58">
        <v>8000000</v>
      </c>
      <c r="O11" s="36">
        <f>B11-G11-N11</f>
        <v>136130316.66666669</v>
      </c>
      <c r="P11" s="61"/>
      <c r="Q11" s="59"/>
    </row>
    <row r="12" spans="1:17" ht="14.25" x14ac:dyDescent="0.2">
      <c r="A12" s="33" t="s">
        <v>25</v>
      </c>
      <c r="B12" s="45">
        <v>0</v>
      </c>
      <c r="C12" s="46">
        <v>8300000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f t="shared" si="7"/>
        <v>41500</v>
      </c>
      <c r="J12" s="35">
        <v>0</v>
      </c>
      <c r="K12" s="35">
        <v>0</v>
      </c>
      <c r="L12" s="35">
        <v>0</v>
      </c>
      <c r="M12" s="35">
        <f t="shared" si="16"/>
        <v>41500</v>
      </c>
      <c r="N12" s="55">
        <v>0</v>
      </c>
      <c r="O12" s="35">
        <v>0</v>
      </c>
      <c r="P12" s="61"/>
      <c r="Q12" s="59"/>
    </row>
    <row r="13" spans="1:17" ht="14.25" x14ac:dyDescent="0.2">
      <c r="A13" s="33" t="s">
        <v>7</v>
      </c>
      <c r="B13" s="45">
        <v>64255983.333333336</v>
      </c>
      <c r="C13" s="34">
        <v>27500000</v>
      </c>
      <c r="D13" s="35">
        <f t="shared" ref="D13:D19" si="17">C13*$D$2</f>
        <v>2200000</v>
      </c>
      <c r="E13" s="35">
        <f t="shared" si="3"/>
        <v>412500</v>
      </c>
      <c r="F13" s="35">
        <f t="shared" si="4"/>
        <v>275000</v>
      </c>
      <c r="G13" s="35">
        <f t="shared" si="15"/>
        <v>2887500</v>
      </c>
      <c r="H13" s="35">
        <f t="shared" si="6"/>
        <v>4675000</v>
      </c>
      <c r="I13" s="35">
        <f t="shared" si="7"/>
        <v>137500</v>
      </c>
      <c r="J13" s="35">
        <f t="shared" si="8"/>
        <v>825000</v>
      </c>
      <c r="K13" s="35">
        <f t="shared" si="9"/>
        <v>275000</v>
      </c>
      <c r="L13" s="35">
        <f t="shared" si="10"/>
        <v>550000</v>
      </c>
      <c r="M13" s="35">
        <f t="shared" si="16"/>
        <v>6462500</v>
      </c>
      <c r="N13" s="58">
        <v>8000000</v>
      </c>
      <c r="O13" s="36">
        <f t="shared" ref="O13:O19" si="18">B13-G13-N13</f>
        <v>53368483.333333336</v>
      </c>
      <c r="P13" s="61"/>
      <c r="Q13" s="59"/>
    </row>
    <row r="14" spans="1:17" ht="14.25" x14ac:dyDescent="0.2">
      <c r="A14" s="33" t="s">
        <v>19</v>
      </c>
      <c r="B14" s="45">
        <v>82556683.333333313</v>
      </c>
      <c r="C14" s="34">
        <v>23300000</v>
      </c>
      <c r="D14" s="35">
        <f t="shared" si="17"/>
        <v>1864000</v>
      </c>
      <c r="E14" s="35">
        <f t="shared" si="3"/>
        <v>349500</v>
      </c>
      <c r="F14" s="35">
        <f t="shared" si="4"/>
        <v>233000</v>
      </c>
      <c r="G14" s="35">
        <f t="shared" si="15"/>
        <v>2446500</v>
      </c>
      <c r="H14" s="35">
        <f t="shared" si="6"/>
        <v>3961000.0000000005</v>
      </c>
      <c r="I14" s="35">
        <f t="shared" si="7"/>
        <v>116500</v>
      </c>
      <c r="J14" s="35">
        <f t="shared" si="8"/>
        <v>699000</v>
      </c>
      <c r="K14" s="35">
        <f t="shared" si="9"/>
        <v>233000</v>
      </c>
      <c r="L14" s="35">
        <f t="shared" si="10"/>
        <v>466000</v>
      </c>
      <c r="M14" s="35">
        <f t="shared" si="16"/>
        <v>5475500</v>
      </c>
      <c r="N14" s="58">
        <v>10000000</v>
      </c>
      <c r="O14" s="36">
        <f t="shared" si="18"/>
        <v>70110183.333333313</v>
      </c>
      <c r="P14" s="61"/>
      <c r="Q14" s="59"/>
    </row>
    <row r="15" spans="1:17" ht="14.25" x14ac:dyDescent="0.2">
      <c r="A15" s="33" t="s">
        <v>20</v>
      </c>
      <c r="B15" s="45">
        <v>75297291.666666657</v>
      </c>
      <c r="C15" s="34">
        <f>25800000+5000000</f>
        <v>30800000</v>
      </c>
      <c r="D15" s="35">
        <f t="shared" si="17"/>
        <v>2464000</v>
      </c>
      <c r="E15" s="35">
        <f t="shared" si="3"/>
        <v>462000</v>
      </c>
      <c r="F15" s="35">
        <f t="shared" si="4"/>
        <v>308000</v>
      </c>
      <c r="G15" s="35">
        <f t="shared" si="15"/>
        <v>3234000</v>
      </c>
      <c r="H15" s="35">
        <f t="shared" si="6"/>
        <v>5236000</v>
      </c>
      <c r="I15" s="35">
        <f t="shared" si="7"/>
        <v>154000</v>
      </c>
      <c r="J15" s="35">
        <f t="shared" si="8"/>
        <v>924000</v>
      </c>
      <c r="K15" s="35">
        <f t="shared" si="9"/>
        <v>308000</v>
      </c>
      <c r="L15" s="35">
        <f t="shared" si="10"/>
        <v>616000</v>
      </c>
      <c r="M15" s="35">
        <f t="shared" si="16"/>
        <v>7238000</v>
      </c>
      <c r="N15" s="58">
        <v>22000000</v>
      </c>
      <c r="O15" s="36">
        <f t="shared" si="18"/>
        <v>50063291.666666657</v>
      </c>
      <c r="P15" s="61"/>
      <c r="Q15" s="59"/>
    </row>
    <row r="16" spans="1:17" ht="14.25" x14ac:dyDescent="0.2">
      <c r="A16" s="33" t="s">
        <v>6</v>
      </c>
      <c r="B16" s="45">
        <v>11530000</v>
      </c>
      <c r="C16" s="34">
        <v>5000000</v>
      </c>
      <c r="D16" s="35">
        <f t="shared" si="17"/>
        <v>400000</v>
      </c>
      <c r="E16" s="35">
        <f t="shared" si="3"/>
        <v>75000</v>
      </c>
      <c r="F16" s="35">
        <f t="shared" si="4"/>
        <v>50000</v>
      </c>
      <c r="G16" s="35">
        <f t="shared" si="15"/>
        <v>525000</v>
      </c>
      <c r="H16" s="35">
        <f t="shared" si="6"/>
        <v>850000.00000000012</v>
      </c>
      <c r="I16" s="35">
        <f t="shared" si="7"/>
        <v>25000</v>
      </c>
      <c r="J16" s="35">
        <f t="shared" si="8"/>
        <v>150000</v>
      </c>
      <c r="K16" s="35">
        <f t="shared" si="9"/>
        <v>50000</v>
      </c>
      <c r="L16" s="35">
        <f t="shared" si="10"/>
        <v>100000</v>
      </c>
      <c r="M16" s="35">
        <f t="shared" si="16"/>
        <v>1175000</v>
      </c>
      <c r="N16" s="58">
        <v>0</v>
      </c>
      <c r="O16" s="36">
        <f t="shared" si="18"/>
        <v>11005000</v>
      </c>
      <c r="P16" s="61"/>
      <c r="Q16" s="59"/>
    </row>
    <row r="17" spans="1:17" ht="14.25" x14ac:dyDescent="0.2">
      <c r="A17" s="56" t="s">
        <v>103</v>
      </c>
      <c r="B17" s="45">
        <v>47521000</v>
      </c>
      <c r="C17" s="34">
        <v>0</v>
      </c>
      <c r="D17" s="35">
        <f t="shared" si="17"/>
        <v>0</v>
      </c>
      <c r="E17" s="35">
        <f t="shared" si="3"/>
        <v>0</v>
      </c>
      <c r="F17" s="35">
        <f t="shared" si="4"/>
        <v>0</v>
      </c>
      <c r="G17" s="35">
        <f t="shared" ref="G17" si="19">SUM(D17:F17)</f>
        <v>0</v>
      </c>
      <c r="H17" s="35">
        <f t="shared" si="6"/>
        <v>0</v>
      </c>
      <c r="I17" s="35">
        <f t="shared" si="7"/>
        <v>0</v>
      </c>
      <c r="J17" s="35">
        <f t="shared" si="8"/>
        <v>0</v>
      </c>
      <c r="K17" s="35">
        <f t="shared" si="9"/>
        <v>0</v>
      </c>
      <c r="L17" s="35">
        <f t="shared" si="10"/>
        <v>0</v>
      </c>
      <c r="M17" s="35">
        <f t="shared" si="16"/>
        <v>0</v>
      </c>
      <c r="N17" s="34">
        <v>0</v>
      </c>
      <c r="O17" s="36">
        <f t="shared" si="18"/>
        <v>47521000</v>
      </c>
      <c r="P17" s="61"/>
      <c r="Q17" s="59"/>
    </row>
    <row r="18" spans="1:17" ht="14.25" x14ac:dyDescent="0.2">
      <c r="A18" s="33" t="s">
        <v>70</v>
      </c>
      <c r="B18" s="45">
        <v>49244000</v>
      </c>
      <c r="C18" s="34">
        <v>5000000</v>
      </c>
      <c r="D18" s="35">
        <f>C18*$D$2</f>
        <v>400000</v>
      </c>
      <c r="E18" s="35">
        <f t="shared" si="3"/>
        <v>75000</v>
      </c>
      <c r="F18" s="35">
        <f t="shared" si="4"/>
        <v>50000</v>
      </c>
      <c r="G18" s="35">
        <f t="shared" si="15"/>
        <v>525000</v>
      </c>
      <c r="H18" s="35">
        <f t="shared" si="6"/>
        <v>850000.00000000012</v>
      </c>
      <c r="I18" s="35">
        <f t="shared" si="7"/>
        <v>25000</v>
      </c>
      <c r="J18" s="35">
        <f t="shared" si="8"/>
        <v>150000</v>
      </c>
      <c r="K18" s="35">
        <f t="shared" si="9"/>
        <v>50000</v>
      </c>
      <c r="L18" s="35">
        <f t="shared" si="10"/>
        <v>100000</v>
      </c>
      <c r="M18" s="35">
        <f t="shared" si="16"/>
        <v>1175000</v>
      </c>
      <c r="N18" s="34">
        <v>3000000</v>
      </c>
      <c r="O18" s="36">
        <f t="shared" si="18"/>
        <v>45719000</v>
      </c>
      <c r="P18" s="61"/>
      <c r="Q18" s="59"/>
    </row>
    <row r="19" spans="1:17" s="25" customFormat="1" ht="14.25" x14ac:dyDescent="0.2">
      <c r="A19" s="33" t="s">
        <v>71</v>
      </c>
      <c r="B19" s="63">
        <v>78497083.333333328</v>
      </c>
      <c r="C19" s="57">
        <v>24500000</v>
      </c>
      <c r="D19" s="35">
        <f t="shared" si="17"/>
        <v>1960000</v>
      </c>
      <c r="E19" s="35">
        <f t="shared" si="3"/>
        <v>367500</v>
      </c>
      <c r="F19" s="35">
        <f t="shared" si="4"/>
        <v>245000</v>
      </c>
      <c r="G19" s="35">
        <f t="shared" ref="G19" si="20">SUM(D19:F19)</f>
        <v>2572500</v>
      </c>
      <c r="H19" s="35">
        <f t="shared" si="6"/>
        <v>4165000.0000000005</v>
      </c>
      <c r="I19" s="35">
        <f t="shared" si="7"/>
        <v>122500</v>
      </c>
      <c r="J19" s="35">
        <f t="shared" si="8"/>
        <v>735000</v>
      </c>
      <c r="K19" s="35">
        <f t="shared" si="9"/>
        <v>245000</v>
      </c>
      <c r="L19" s="35">
        <f t="shared" si="10"/>
        <v>490000</v>
      </c>
      <c r="M19" s="35">
        <f t="shared" si="16"/>
        <v>5757500</v>
      </c>
      <c r="N19" s="57">
        <v>7000000</v>
      </c>
      <c r="O19" s="36">
        <f t="shared" si="18"/>
        <v>68924583.333333328</v>
      </c>
      <c r="P19" s="60"/>
      <c r="Q19" s="60"/>
    </row>
    <row r="20" spans="1:17" s="32" customFormat="1" x14ac:dyDescent="0.2">
      <c r="A20" s="30" t="s">
        <v>2</v>
      </c>
      <c r="B20" s="31">
        <f>SUM(B21:B32)</f>
        <v>706431389.77887177</v>
      </c>
      <c r="C20" s="31">
        <f>SUM(C21:C32)</f>
        <v>203401000</v>
      </c>
      <c r="D20" s="31">
        <f t="shared" ref="D20:H20" si="21">SUM(D21:D32)</f>
        <v>16272080</v>
      </c>
      <c r="E20" s="31">
        <f t="shared" si="21"/>
        <v>3051015</v>
      </c>
      <c r="F20" s="31">
        <f t="shared" si="21"/>
        <v>2034010</v>
      </c>
      <c r="G20" s="31">
        <f t="shared" si="21"/>
        <v>21357105</v>
      </c>
      <c r="H20" s="31">
        <f t="shared" si="21"/>
        <v>34578170</v>
      </c>
      <c r="I20" s="31">
        <f>SUM(I21:I32)</f>
        <v>1017005</v>
      </c>
      <c r="J20" s="31">
        <f t="shared" ref="J20:N20" si="22">SUM(J21:J32)</f>
        <v>6102030</v>
      </c>
      <c r="K20" s="31">
        <f t="shared" si="22"/>
        <v>2034010</v>
      </c>
      <c r="L20" s="31">
        <f t="shared" si="22"/>
        <v>4068020</v>
      </c>
      <c r="M20" s="31">
        <f t="shared" si="22"/>
        <v>47799235</v>
      </c>
      <c r="N20" s="31">
        <f t="shared" si="22"/>
        <v>121500000</v>
      </c>
      <c r="O20" s="31">
        <f>SUM(O21:O32)</f>
        <v>563574284.77887177</v>
      </c>
      <c r="P20" s="62"/>
      <c r="Q20" s="62"/>
    </row>
    <row r="21" spans="1:17" ht="14.25" x14ac:dyDescent="0.2">
      <c r="A21" s="76" t="s">
        <v>105</v>
      </c>
      <c r="B21" s="37">
        <v>54332625</v>
      </c>
      <c r="C21" s="38">
        <v>13100000</v>
      </c>
      <c r="D21" s="35">
        <f>C21*$D$2</f>
        <v>1048000</v>
      </c>
      <c r="E21" s="35">
        <f>C21*$E$2</f>
        <v>196500</v>
      </c>
      <c r="F21" s="35">
        <f>C21*$F$2</f>
        <v>131000</v>
      </c>
      <c r="G21" s="35">
        <f>SUM(D21:F21)</f>
        <v>1375500</v>
      </c>
      <c r="H21" s="35">
        <f>C21*$H$2</f>
        <v>2227000</v>
      </c>
      <c r="I21" s="35">
        <f t="shared" si="7"/>
        <v>65500</v>
      </c>
      <c r="J21" s="35">
        <f t="shared" si="8"/>
        <v>393000</v>
      </c>
      <c r="K21" s="35">
        <f>C21*$K$2</f>
        <v>131000</v>
      </c>
      <c r="L21" s="35">
        <f t="shared" si="10"/>
        <v>262000</v>
      </c>
      <c r="M21" s="35">
        <f t="shared" si="16"/>
        <v>3078500</v>
      </c>
      <c r="N21" s="38">
        <v>0</v>
      </c>
      <c r="O21" s="35">
        <f>B21-G21-N21</f>
        <v>52957125</v>
      </c>
      <c r="P21" s="59"/>
      <c r="Q21" s="59"/>
    </row>
    <row r="22" spans="1:17" ht="14.25" x14ac:dyDescent="0.2">
      <c r="A22" s="65" t="s">
        <v>58</v>
      </c>
      <c r="B22" s="37">
        <v>46030200</v>
      </c>
      <c r="C22" s="38">
        <v>14400000</v>
      </c>
      <c r="D22" s="35">
        <f>C22*$D$2</f>
        <v>1152000</v>
      </c>
      <c r="E22" s="35">
        <f>C22*$E$2</f>
        <v>216000</v>
      </c>
      <c r="F22" s="35">
        <f>C22*$F$2</f>
        <v>144000</v>
      </c>
      <c r="G22" s="35">
        <f>SUM(D22:F22)</f>
        <v>1512000</v>
      </c>
      <c r="H22" s="35">
        <f>C22*$H$2</f>
        <v>2448000</v>
      </c>
      <c r="I22" s="35">
        <f t="shared" si="7"/>
        <v>72000</v>
      </c>
      <c r="J22" s="35">
        <f t="shared" si="8"/>
        <v>432000</v>
      </c>
      <c r="K22" s="35">
        <f>C22*$K$2</f>
        <v>144000</v>
      </c>
      <c r="L22" s="35">
        <f t="shared" si="10"/>
        <v>288000</v>
      </c>
      <c r="M22" s="35">
        <f t="shared" si="16"/>
        <v>3384000</v>
      </c>
      <c r="N22" s="38">
        <v>0</v>
      </c>
      <c r="O22" s="35">
        <f>B22-G22-N22</f>
        <v>44518200</v>
      </c>
      <c r="P22" s="61"/>
      <c r="Q22" s="59"/>
    </row>
    <row r="23" spans="1:17" ht="14.25" x14ac:dyDescent="0.2">
      <c r="A23" s="65" t="s">
        <v>62</v>
      </c>
      <c r="B23" s="37">
        <v>76712600</v>
      </c>
      <c r="C23" s="38">
        <v>14700000</v>
      </c>
      <c r="D23" s="35">
        <f t="shared" ref="D23:D30" si="23">C23*$D$2</f>
        <v>1176000</v>
      </c>
      <c r="E23" s="35">
        <f t="shared" ref="E23:E26" si="24">C23*$E$2</f>
        <v>220500</v>
      </c>
      <c r="F23" s="35">
        <f t="shared" ref="F23:F30" si="25">C23*$F$2</f>
        <v>147000</v>
      </c>
      <c r="G23" s="35">
        <f t="shared" ref="G23:G26" si="26">SUM(D23:F23)</f>
        <v>1543500</v>
      </c>
      <c r="H23" s="35">
        <f t="shared" ref="H23:H30" si="27">C23*$H$2</f>
        <v>2499000</v>
      </c>
      <c r="I23" s="35">
        <f t="shared" si="7"/>
        <v>73500</v>
      </c>
      <c r="J23" s="35">
        <f t="shared" si="8"/>
        <v>441000</v>
      </c>
      <c r="K23" s="35">
        <f t="shared" ref="K23:K30" si="28">C23*$K$2</f>
        <v>147000</v>
      </c>
      <c r="L23" s="35">
        <f t="shared" si="10"/>
        <v>294000</v>
      </c>
      <c r="M23" s="35">
        <f t="shared" si="16"/>
        <v>3454500</v>
      </c>
      <c r="N23" s="38">
        <v>0</v>
      </c>
      <c r="O23" s="35">
        <f>B23-G23-N23</f>
        <v>75169100</v>
      </c>
      <c r="P23" s="61"/>
      <c r="Q23" s="59"/>
    </row>
    <row r="24" spans="1:17" ht="14.25" x14ac:dyDescent="0.2">
      <c r="A24" s="65" t="s">
        <v>59</v>
      </c>
      <c r="B24" s="37">
        <v>81080000</v>
      </c>
      <c r="C24" s="38">
        <v>19200000</v>
      </c>
      <c r="D24" s="35">
        <f t="shared" si="23"/>
        <v>1536000</v>
      </c>
      <c r="E24" s="35">
        <f t="shared" si="24"/>
        <v>288000</v>
      </c>
      <c r="F24" s="35">
        <f t="shared" si="25"/>
        <v>192000</v>
      </c>
      <c r="G24" s="35">
        <f t="shared" si="26"/>
        <v>2016000</v>
      </c>
      <c r="H24" s="35">
        <f t="shared" si="27"/>
        <v>3264000.0000000005</v>
      </c>
      <c r="I24" s="35">
        <f t="shared" si="7"/>
        <v>96000</v>
      </c>
      <c r="J24" s="35">
        <f t="shared" si="8"/>
        <v>576000</v>
      </c>
      <c r="K24" s="35">
        <f t="shared" si="28"/>
        <v>192000</v>
      </c>
      <c r="L24" s="35">
        <f t="shared" si="10"/>
        <v>384000</v>
      </c>
      <c r="M24" s="35">
        <f t="shared" si="16"/>
        <v>4512000</v>
      </c>
      <c r="N24" s="38">
        <v>0</v>
      </c>
      <c r="O24" s="35">
        <f t="shared" ref="O24:O30" si="29">B24-G24-N24</f>
        <v>79064000</v>
      </c>
      <c r="P24" s="59"/>
      <c r="Q24" s="59"/>
    </row>
    <row r="25" spans="1:17" ht="14.25" x14ac:dyDescent="0.2">
      <c r="A25" s="65" t="s">
        <v>60</v>
      </c>
      <c r="B25" s="37">
        <v>38571333.333333336</v>
      </c>
      <c r="C25" s="38">
        <v>9600000</v>
      </c>
      <c r="D25" s="35">
        <f t="shared" si="23"/>
        <v>768000</v>
      </c>
      <c r="E25" s="35">
        <f t="shared" si="24"/>
        <v>144000</v>
      </c>
      <c r="F25" s="35">
        <f t="shared" si="25"/>
        <v>96000</v>
      </c>
      <c r="G25" s="35">
        <f t="shared" si="26"/>
        <v>1008000</v>
      </c>
      <c r="H25" s="35">
        <f t="shared" si="27"/>
        <v>1632000.0000000002</v>
      </c>
      <c r="I25" s="35">
        <f t="shared" si="7"/>
        <v>48000</v>
      </c>
      <c r="J25" s="35">
        <f t="shared" si="8"/>
        <v>288000</v>
      </c>
      <c r="K25" s="35">
        <f t="shared" si="28"/>
        <v>96000</v>
      </c>
      <c r="L25" s="35">
        <f t="shared" si="10"/>
        <v>192000</v>
      </c>
      <c r="M25" s="35">
        <f t="shared" si="16"/>
        <v>2256000</v>
      </c>
      <c r="N25" s="38">
        <v>0</v>
      </c>
      <c r="O25" s="35">
        <f t="shared" si="29"/>
        <v>37563333.333333336</v>
      </c>
      <c r="P25" s="59"/>
      <c r="Q25" s="59"/>
    </row>
    <row r="26" spans="1:17" ht="14.25" x14ac:dyDescent="0.2">
      <c r="A26" s="65" t="s">
        <v>61</v>
      </c>
      <c r="B26" s="37">
        <v>44857000</v>
      </c>
      <c r="C26" s="38">
        <v>19500000</v>
      </c>
      <c r="D26" s="35">
        <f t="shared" si="23"/>
        <v>1560000</v>
      </c>
      <c r="E26" s="35">
        <f t="shared" si="24"/>
        <v>292500</v>
      </c>
      <c r="F26" s="35">
        <f t="shared" si="25"/>
        <v>195000</v>
      </c>
      <c r="G26" s="35">
        <f t="shared" si="26"/>
        <v>2047500</v>
      </c>
      <c r="H26" s="35">
        <f t="shared" si="27"/>
        <v>3315000.0000000005</v>
      </c>
      <c r="I26" s="35">
        <f t="shared" si="7"/>
        <v>97500</v>
      </c>
      <c r="J26" s="35">
        <f t="shared" si="8"/>
        <v>585000</v>
      </c>
      <c r="K26" s="35">
        <f t="shared" si="28"/>
        <v>195000</v>
      </c>
      <c r="L26" s="35">
        <f t="shared" si="10"/>
        <v>390000</v>
      </c>
      <c r="M26" s="35">
        <f t="shared" si="16"/>
        <v>4582500</v>
      </c>
      <c r="N26" s="38">
        <v>0</v>
      </c>
      <c r="O26" s="35">
        <f t="shared" si="29"/>
        <v>42809500</v>
      </c>
      <c r="P26" s="59"/>
      <c r="Q26" s="59"/>
    </row>
    <row r="27" spans="1:17" ht="14.25" x14ac:dyDescent="0.2">
      <c r="A27" s="76" t="s">
        <v>106</v>
      </c>
      <c r="B27" s="37">
        <v>44784613.846153848</v>
      </c>
      <c r="C27" s="38">
        <v>15000000</v>
      </c>
      <c r="D27" s="35">
        <f t="shared" ref="D27" si="30">C27*$D$2</f>
        <v>1200000</v>
      </c>
      <c r="E27" s="35">
        <f t="shared" ref="E27" si="31">C27*$E$2</f>
        <v>225000</v>
      </c>
      <c r="F27" s="35">
        <f t="shared" ref="F27" si="32">C27*$F$2</f>
        <v>150000</v>
      </c>
      <c r="G27" s="35">
        <f t="shared" ref="G27" si="33">SUM(D27:F27)</f>
        <v>1575000</v>
      </c>
      <c r="H27" s="35">
        <f t="shared" ref="H27" si="34">C27*$H$2</f>
        <v>2550000</v>
      </c>
      <c r="I27" s="35">
        <f t="shared" ref="I27" si="35">C27*$I$2</f>
        <v>75000</v>
      </c>
      <c r="J27" s="35">
        <f t="shared" ref="J27" si="36">C27*$J$2</f>
        <v>450000</v>
      </c>
      <c r="K27" s="35">
        <f t="shared" ref="K27" si="37">C27*$K$2</f>
        <v>150000</v>
      </c>
      <c r="L27" s="35">
        <f t="shared" ref="L27" si="38">C27*$L$2</f>
        <v>300000</v>
      </c>
      <c r="M27" s="35">
        <f t="shared" ref="M27" si="39">SUM(H27:L27)</f>
        <v>3525000</v>
      </c>
      <c r="N27" s="38">
        <v>8500000</v>
      </c>
      <c r="O27" s="35">
        <f t="shared" ref="O27" si="40">B27-G27-N27</f>
        <v>34709613.846153848</v>
      </c>
      <c r="P27" s="59"/>
      <c r="Q27" s="59"/>
    </row>
    <row r="28" spans="1:17" ht="14.25" x14ac:dyDescent="0.2">
      <c r="A28" s="65" t="s">
        <v>22</v>
      </c>
      <c r="B28" s="37">
        <v>105282499.07692309</v>
      </c>
      <c r="C28" s="38">
        <v>28800000</v>
      </c>
      <c r="D28" s="35">
        <f t="shared" si="23"/>
        <v>2304000</v>
      </c>
      <c r="E28" s="35">
        <f t="shared" ref="E28:E30" si="41">C28*$E$2</f>
        <v>432000</v>
      </c>
      <c r="F28" s="35">
        <f t="shared" si="25"/>
        <v>288000</v>
      </c>
      <c r="G28" s="35">
        <f t="shared" ref="G28:G30" si="42">SUM(D28:F28)</f>
        <v>3024000</v>
      </c>
      <c r="H28" s="35">
        <f t="shared" si="27"/>
        <v>4896000</v>
      </c>
      <c r="I28" s="35">
        <f t="shared" si="7"/>
        <v>144000</v>
      </c>
      <c r="J28" s="35">
        <f t="shared" si="8"/>
        <v>864000</v>
      </c>
      <c r="K28" s="35">
        <f t="shared" si="28"/>
        <v>288000</v>
      </c>
      <c r="L28" s="35">
        <f t="shared" si="10"/>
        <v>576000</v>
      </c>
      <c r="M28" s="35">
        <f t="shared" si="16"/>
        <v>6768000</v>
      </c>
      <c r="N28" s="38">
        <v>33000000</v>
      </c>
      <c r="O28" s="35">
        <f t="shared" si="29"/>
        <v>69258499.076923087</v>
      </c>
      <c r="P28" s="61"/>
      <c r="Q28" s="59"/>
    </row>
    <row r="29" spans="1:17" ht="14.25" x14ac:dyDescent="0.2">
      <c r="A29" s="76" t="s">
        <v>107</v>
      </c>
      <c r="B29" s="37">
        <v>24369796.538461536</v>
      </c>
      <c r="C29" s="38">
        <v>9600000</v>
      </c>
      <c r="D29" s="35">
        <f t="shared" ref="D29" si="43">C29*$D$2</f>
        <v>768000</v>
      </c>
      <c r="E29" s="35">
        <f t="shared" ref="E29" si="44">C29*$E$2</f>
        <v>144000</v>
      </c>
      <c r="F29" s="35">
        <f t="shared" ref="F29" si="45">C29*$F$2</f>
        <v>96000</v>
      </c>
      <c r="G29" s="35">
        <f t="shared" ref="G29" si="46">SUM(D29:F29)</f>
        <v>1008000</v>
      </c>
      <c r="H29" s="35">
        <f t="shared" ref="H29" si="47">C29*$H$2</f>
        <v>1632000.0000000002</v>
      </c>
      <c r="I29" s="35">
        <f t="shared" ref="I29" si="48">C29*$I$2</f>
        <v>48000</v>
      </c>
      <c r="J29" s="35">
        <f t="shared" ref="J29" si="49">C29*$J$2</f>
        <v>288000</v>
      </c>
      <c r="K29" s="35">
        <f t="shared" ref="K29" si="50">C29*$K$2</f>
        <v>96000</v>
      </c>
      <c r="L29" s="35">
        <f t="shared" ref="L29" si="51">C29*$L$2</f>
        <v>192000</v>
      </c>
      <c r="M29" s="35">
        <f t="shared" ref="M29" si="52">SUM(H29:L29)</f>
        <v>2256000</v>
      </c>
      <c r="N29" s="38">
        <v>9000000</v>
      </c>
      <c r="O29" s="35">
        <f t="shared" ref="O29" si="53">B29-G29-N29</f>
        <v>14361796.538461536</v>
      </c>
      <c r="P29" s="61"/>
      <c r="Q29" s="59"/>
    </row>
    <row r="30" spans="1:17" ht="14.25" x14ac:dyDescent="0.2">
      <c r="A30" s="65" t="s">
        <v>23</v>
      </c>
      <c r="B30" s="37">
        <v>112968048.99200001</v>
      </c>
      <c r="C30" s="38">
        <v>32039000</v>
      </c>
      <c r="D30" s="35">
        <f t="shared" si="23"/>
        <v>2563120</v>
      </c>
      <c r="E30" s="35">
        <f t="shared" si="41"/>
        <v>480585</v>
      </c>
      <c r="F30" s="35">
        <f t="shared" si="25"/>
        <v>320390</v>
      </c>
      <c r="G30" s="35">
        <f t="shared" si="42"/>
        <v>3364095</v>
      </c>
      <c r="H30" s="35">
        <f t="shared" si="27"/>
        <v>5446630</v>
      </c>
      <c r="I30" s="35">
        <f t="shared" si="7"/>
        <v>160195</v>
      </c>
      <c r="J30" s="35">
        <f t="shared" si="8"/>
        <v>961170</v>
      </c>
      <c r="K30" s="35">
        <f t="shared" si="28"/>
        <v>320390</v>
      </c>
      <c r="L30" s="35">
        <f t="shared" si="10"/>
        <v>640780</v>
      </c>
      <c r="M30" s="35">
        <f t="shared" si="16"/>
        <v>7529165</v>
      </c>
      <c r="N30" s="38">
        <v>39000000</v>
      </c>
      <c r="O30" s="35">
        <f t="shared" si="29"/>
        <v>70603953.992000014</v>
      </c>
      <c r="P30" s="61"/>
      <c r="Q30" s="59"/>
    </row>
    <row r="31" spans="1:17" ht="14.25" x14ac:dyDescent="0.2">
      <c r="A31" s="76" t="s">
        <v>108</v>
      </c>
      <c r="B31" s="37">
        <v>16315144.000000002</v>
      </c>
      <c r="C31" s="38">
        <v>0</v>
      </c>
      <c r="D31" s="35">
        <f t="shared" ref="D31" si="54">C31*$D$2</f>
        <v>0</v>
      </c>
      <c r="E31" s="35">
        <f t="shared" ref="E31" si="55">C31*$E$2</f>
        <v>0</v>
      </c>
      <c r="F31" s="35">
        <f t="shared" ref="F31" si="56">C31*$F$2</f>
        <v>0</v>
      </c>
      <c r="G31" s="35">
        <f t="shared" ref="G31" si="57">SUM(D31:F31)</f>
        <v>0</v>
      </c>
      <c r="H31" s="35">
        <f t="shared" ref="H31" si="58">C31*$H$2</f>
        <v>0</v>
      </c>
      <c r="I31" s="35">
        <f t="shared" ref="I31" si="59">C31*$I$2</f>
        <v>0</v>
      </c>
      <c r="J31" s="35">
        <f t="shared" ref="J31" si="60">C31*$J$2</f>
        <v>0</v>
      </c>
      <c r="K31" s="35">
        <f t="shared" ref="K31" si="61">C31*$K$2</f>
        <v>0</v>
      </c>
      <c r="L31" s="35">
        <f t="shared" ref="L31" si="62">C31*$L$2</f>
        <v>0</v>
      </c>
      <c r="M31" s="35">
        <f t="shared" ref="M31" si="63">SUM(H31:L31)</f>
        <v>0</v>
      </c>
      <c r="N31" s="38">
        <v>6000000</v>
      </c>
      <c r="O31" s="35">
        <f t="shared" ref="O31" si="64">B31-G31-N31</f>
        <v>10315144.000000002</v>
      </c>
      <c r="P31" s="61"/>
      <c r="Q31" s="59"/>
    </row>
    <row r="32" spans="1:17" ht="14.25" x14ac:dyDescent="0.2">
      <c r="A32" s="65" t="s">
        <v>3</v>
      </c>
      <c r="B32" s="37">
        <v>61127528.992000014</v>
      </c>
      <c r="C32" s="38">
        <v>27462000</v>
      </c>
      <c r="D32" s="35">
        <f>C32*$D$2</f>
        <v>2196960</v>
      </c>
      <c r="E32" s="35">
        <f>C32*$E$2</f>
        <v>411930</v>
      </c>
      <c r="F32" s="35">
        <f>C32*$F$2</f>
        <v>274620</v>
      </c>
      <c r="G32" s="35">
        <f>SUM(D32:F32)</f>
        <v>2883510</v>
      </c>
      <c r="H32" s="35">
        <f>C32*$H$2</f>
        <v>4668540</v>
      </c>
      <c r="I32" s="35">
        <f>C32*$I$2</f>
        <v>137310</v>
      </c>
      <c r="J32" s="35">
        <f>C32*$J$2</f>
        <v>823860</v>
      </c>
      <c r="K32" s="35">
        <f>C32*$K$2</f>
        <v>274620</v>
      </c>
      <c r="L32" s="35">
        <f>C32*$L$2</f>
        <v>549240</v>
      </c>
      <c r="M32" s="35">
        <f>SUM(H32:L32)</f>
        <v>6453570</v>
      </c>
      <c r="N32" s="38">
        <v>26000000</v>
      </c>
      <c r="O32" s="35">
        <f>B32-G32-N32</f>
        <v>32244018.992000014</v>
      </c>
      <c r="P32" s="61"/>
      <c r="Q32" s="59"/>
    </row>
    <row r="33" spans="1:17" s="32" customFormat="1" x14ac:dyDescent="0.2">
      <c r="A33" s="30" t="s">
        <v>24</v>
      </c>
      <c r="B33" s="31">
        <f>SUM(B34:B36)</f>
        <v>1329733762.1730621</v>
      </c>
      <c r="C33" s="31">
        <f t="shared" ref="C33:N33" si="65">SUM(C34:C36)</f>
        <v>405758000</v>
      </c>
      <c r="D33" s="31">
        <f t="shared" si="65"/>
        <v>32460640</v>
      </c>
      <c r="E33" s="31">
        <f t="shared" si="65"/>
        <v>6086370</v>
      </c>
      <c r="F33" s="31">
        <f t="shared" si="65"/>
        <v>4057580</v>
      </c>
      <c r="G33" s="31">
        <f t="shared" si="65"/>
        <v>42604590</v>
      </c>
      <c r="H33" s="31">
        <f t="shared" si="65"/>
        <v>68978860</v>
      </c>
      <c r="I33" s="31">
        <f>SUM(I34:I36)</f>
        <v>2028790</v>
      </c>
      <c r="J33" s="31">
        <f t="shared" si="65"/>
        <v>12172740</v>
      </c>
      <c r="K33" s="31">
        <f t="shared" si="65"/>
        <v>4057580</v>
      </c>
      <c r="L33" s="31">
        <f t="shared" si="65"/>
        <v>8115160</v>
      </c>
      <c r="M33" s="31">
        <f t="shared" si="65"/>
        <v>95353130</v>
      </c>
      <c r="N33" s="31">
        <f t="shared" si="65"/>
        <v>378100000</v>
      </c>
      <c r="O33" s="31">
        <f>SUM(O34:O36)</f>
        <v>909029172.17306209</v>
      </c>
      <c r="P33" s="62"/>
      <c r="Q33" s="62"/>
    </row>
    <row r="34" spans="1:17" ht="64.5" x14ac:dyDescent="0.25">
      <c r="A34" s="40" t="s">
        <v>43</v>
      </c>
      <c r="B34" s="41">
        <v>789081175.12239695</v>
      </c>
      <c r="C34" s="42">
        <v>267925000</v>
      </c>
      <c r="D34" s="35">
        <f>C34*$D$2</f>
        <v>21434000</v>
      </c>
      <c r="E34" s="35">
        <f>C34*$E$2</f>
        <v>4018875</v>
      </c>
      <c r="F34" s="35">
        <f>C34*$F$2</f>
        <v>2679250</v>
      </c>
      <c r="G34" s="35">
        <f>SUM(D34:F34)</f>
        <v>28132125</v>
      </c>
      <c r="H34" s="35">
        <f>C34*$H$2</f>
        <v>45547250</v>
      </c>
      <c r="I34" s="35">
        <f t="shared" si="7"/>
        <v>1339625</v>
      </c>
      <c r="J34" s="35">
        <f t="shared" si="8"/>
        <v>8037750</v>
      </c>
      <c r="K34" s="35">
        <f>C34*$K$2</f>
        <v>2679250</v>
      </c>
      <c r="L34" s="35">
        <f t="shared" si="10"/>
        <v>5358500</v>
      </c>
      <c r="M34" s="35">
        <f>SUM(H34:L34)</f>
        <v>62962375</v>
      </c>
      <c r="N34" s="42">
        <v>224100000</v>
      </c>
      <c r="O34" s="36">
        <f>B34-G34-N34</f>
        <v>536849050.12239695</v>
      </c>
      <c r="P34" s="59"/>
      <c r="Q34" s="61"/>
    </row>
    <row r="35" spans="1:17" ht="14.25" x14ac:dyDescent="0.25">
      <c r="A35" s="33" t="s">
        <v>41</v>
      </c>
      <c r="B35" s="43">
        <v>262234482.00709546</v>
      </c>
      <c r="C35" s="42">
        <v>64078000</v>
      </c>
      <c r="D35" s="35">
        <f>C35*$D$2</f>
        <v>5126240</v>
      </c>
      <c r="E35" s="35">
        <f>C35*$E$2</f>
        <v>961170</v>
      </c>
      <c r="F35" s="35">
        <f>C35*$F$2</f>
        <v>640780</v>
      </c>
      <c r="G35" s="35">
        <f>SUM(D35:F35)</f>
        <v>6728190</v>
      </c>
      <c r="H35" s="35">
        <f>C35*$H$2</f>
        <v>10893260</v>
      </c>
      <c r="I35" s="35">
        <f>C35*$I$2</f>
        <v>320390</v>
      </c>
      <c r="J35" s="35">
        <f>C35*$J$2</f>
        <v>1922340</v>
      </c>
      <c r="K35" s="35">
        <f>C35*$K$2</f>
        <v>640780</v>
      </c>
      <c r="L35" s="35">
        <f t="shared" si="10"/>
        <v>1281560</v>
      </c>
      <c r="M35" s="35">
        <f>SUM(H35:L35)</f>
        <v>15058330</v>
      </c>
      <c r="N35" s="42">
        <v>93000000</v>
      </c>
      <c r="O35" s="36">
        <f>B35-G35-N35</f>
        <v>162506292.00709546</v>
      </c>
      <c r="P35" s="59"/>
      <c r="Q35" s="61"/>
    </row>
    <row r="36" spans="1:17" ht="14.25" x14ac:dyDescent="0.25">
      <c r="A36" s="33" t="s">
        <v>42</v>
      </c>
      <c r="B36" s="41">
        <v>278418105.04356968</v>
      </c>
      <c r="C36" s="42">
        <v>73755000</v>
      </c>
      <c r="D36" s="35">
        <f t="shared" ref="D36" si="66">C36*$D$2</f>
        <v>5900400</v>
      </c>
      <c r="E36" s="35">
        <f t="shared" ref="E36" si="67">C36*$E$2</f>
        <v>1106325</v>
      </c>
      <c r="F36" s="35">
        <f t="shared" ref="F36" si="68">C36*$F$2</f>
        <v>737550</v>
      </c>
      <c r="G36" s="35">
        <f t="shared" ref="G36" si="69">SUM(D36:F36)</f>
        <v>7744275</v>
      </c>
      <c r="H36" s="35">
        <f t="shared" ref="H36" si="70">C36*$H$2</f>
        <v>12538350</v>
      </c>
      <c r="I36" s="35">
        <f t="shared" si="7"/>
        <v>368775</v>
      </c>
      <c r="J36" s="35">
        <f t="shared" si="8"/>
        <v>2212650</v>
      </c>
      <c r="K36" s="35">
        <f t="shared" ref="K36" si="71">C36*$K$2</f>
        <v>737550</v>
      </c>
      <c r="L36" s="35">
        <f t="shared" si="10"/>
        <v>1475100</v>
      </c>
      <c r="M36" s="35">
        <f>SUM(H36:L36)</f>
        <v>17332425</v>
      </c>
      <c r="N36" s="42">
        <v>61000000</v>
      </c>
      <c r="O36" s="54">
        <f>B36-G36-N36</f>
        <v>209673830.04356968</v>
      </c>
      <c r="P36" s="59"/>
      <c r="Q36" s="61"/>
    </row>
    <row r="37" spans="1:17" x14ac:dyDescent="0.2">
      <c r="A37" s="29" t="s">
        <v>4</v>
      </c>
      <c r="B37" s="28">
        <f t="shared" ref="B37:O37" si="72">+B4+B20+B33</f>
        <v>3031192936.1186008</v>
      </c>
      <c r="C37" s="28">
        <f t="shared" si="72"/>
        <v>831936000</v>
      </c>
      <c r="D37" s="28">
        <f t="shared" si="72"/>
        <v>65890880</v>
      </c>
      <c r="E37" s="28">
        <f t="shared" si="72"/>
        <v>12354540</v>
      </c>
      <c r="F37" s="28">
        <f t="shared" si="72"/>
        <v>8236360</v>
      </c>
      <c r="G37" s="28">
        <f t="shared" si="72"/>
        <v>86481780</v>
      </c>
      <c r="H37" s="28">
        <f t="shared" si="72"/>
        <v>140018120</v>
      </c>
      <c r="I37" s="28">
        <f t="shared" si="72"/>
        <v>4159680</v>
      </c>
      <c r="J37" s="28">
        <f t="shared" si="72"/>
        <v>24709080</v>
      </c>
      <c r="K37" s="28">
        <f t="shared" si="72"/>
        <v>8236360</v>
      </c>
      <c r="L37" s="28">
        <f t="shared" si="72"/>
        <v>16472720</v>
      </c>
      <c r="M37" s="28">
        <f t="shared" si="72"/>
        <v>193595960</v>
      </c>
      <c r="N37" s="28">
        <f t="shared" si="72"/>
        <v>566600000</v>
      </c>
      <c r="O37" s="28">
        <f t="shared" si="72"/>
        <v>2378111156.1186008</v>
      </c>
      <c r="P37" s="59"/>
      <c r="Q37" s="61"/>
    </row>
    <row r="38" spans="1:17" x14ac:dyDescent="0.2">
      <c r="O38" s="74">
        <v>2378115000</v>
      </c>
    </row>
    <row r="39" spans="1:17" x14ac:dyDescent="0.2">
      <c r="C39" s="39"/>
      <c r="O39" s="39"/>
    </row>
    <row r="56" spans="3:11" x14ac:dyDescent="0.2">
      <c r="C56" s="44"/>
      <c r="D56" s="44"/>
      <c r="E56" s="44"/>
      <c r="F56" s="44"/>
      <c r="G56" s="44"/>
      <c r="H56" s="44"/>
      <c r="I56" s="44"/>
      <c r="J56" s="44"/>
      <c r="K56" s="4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zoomScaleNormal="100" workbookViewId="0">
      <pane xSplit="3" ySplit="4" topLeftCell="I8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defaultColWidth="36.42578125" defaultRowHeight="12.75" x14ac:dyDescent="0.2"/>
  <cols>
    <col min="1" max="1" width="33.5703125" style="24" customWidth="1"/>
    <col min="2" max="2" width="14.28515625" style="44" customWidth="1"/>
    <col min="3" max="3" width="14.85546875" style="24" customWidth="1"/>
    <col min="4" max="7" width="12" style="24" customWidth="1"/>
    <col min="8" max="8" width="13.42578125" style="24" customWidth="1"/>
    <col min="9" max="9" width="11.42578125" style="24" customWidth="1"/>
    <col min="10" max="10" width="13" style="24" customWidth="1"/>
    <col min="11" max="11" width="10.7109375" style="24" customWidth="1"/>
    <col min="12" max="12" width="12.28515625" style="24" customWidth="1"/>
    <col min="13" max="13" width="12.7109375" style="24" customWidth="1"/>
    <col min="14" max="14" width="12.42578125" style="24" customWidth="1"/>
    <col min="15" max="15" width="16.28515625" style="24" customWidth="1"/>
    <col min="16" max="16" width="11.7109375" style="24" customWidth="1"/>
    <col min="17" max="17" width="12.140625" style="24" customWidth="1"/>
    <col min="18" max="16384" width="36.42578125" style="24"/>
  </cols>
  <sheetData>
    <row r="1" spans="1:17" x14ac:dyDescent="0.2">
      <c r="A1" s="20"/>
      <c r="B1" s="21"/>
      <c r="C1" s="20"/>
      <c r="D1" s="20"/>
      <c r="E1" s="20"/>
      <c r="F1" s="20"/>
      <c r="G1" s="22">
        <f>SUM(D2:F2)</f>
        <v>0.105</v>
      </c>
      <c r="H1" s="23"/>
      <c r="I1" s="23"/>
      <c r="J1" s="20" t="s">
        <v>21</v>
      </c>
      <c r="K1" s="22">
        <f>SUM(H2:K2)</f>
        <v>0.21500000000000002</v>
      </c>
      <c r="L1" s="20"/>
      <c r="M1" s="20"/>
      <c r="N1" s="20"/>
      <c r="O1" s="20"/>
    </row>
    <row r="2" spans="1:17" x14ac:dyDescent="0.2">
      <c r="A2" s="20"/>
      <c r="B2" s="21"/>
      <c r="C2" s="20"/>
      <c r="D2" s="47">
        <v>0.08</v>
      </c>
      <c r="E2" s="48">
        <v>1.4999999999999999E-2</v>
      </c>
      <c r="F2" s="47">
        <v>0.01</v>
      </c>
      <c r="G2" s="49"/>
      <c r="H2" s="50">
        <v>0.17</v>
      </c>
      <c r="I2" s="50">
        <v>5.0000000000000001E-3</v>
      </c>
      <c r="J2" s="51">
        <v>0.03</v>
      </c>
      <c r="K2" s="51">
        <v>0.01</v>
      </c>
      <c r="L2" s="26">
        <v>0.02</v>
      </c>
      <c r="M2" s="20">
        <f>SUM(H2:L2)</f>
        <v>0.23500000000000001</v>
      </c>
      <c r="N2" s="20"/>
      <c r="O2" s="20"/>
    </row>
    <row r="3" spans="1:17" x14ac:dyDescent="0.2">
      <c r="A3" s="27" t="s">
        <v>64</v>
      </c>
      <c r="B3" s="28" t="s">
        <v>17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16</v>
      </c>
      <c r="H3" s="29" t="s">
        <v>12</v>
      </c>
      <c r="I3" s="29" t="s">
        <v>40</v>
      </c>
      <c r="J3" s="29" t="s">
        <v>13</v>
      </c>
      <c r="K3" s="29" t="s">
        <v>14</v>
      </c>
      <c r="L3" s="29" t="s">
        <v>15</v>
      </c>
      <c r="M3" s="29" t="s">
        <v>26</v>
      </c>
      <c r="N3" s="29" t="s">
        <v>0</v>
      </c>
      <c r="O3" s="29" t="s">
        <v>18</v>
      </c>
    </row>
    <row r="4" spans="1:17" s="32" customFormat="1" x14ac:dyDescent="0.2">
      <c r="A4" s="30" t="s">
        <v>1</v>
      </c>
      <c r="B4" s="31">
        <f>B5+B6+B11+B12+B13+B14+B15+B16+B17+B18+B19</f>
        <v>1088733778.2051282</v>
      </c>
      <c r="C4" s="31">
        <f>C5+C6+C11+C12+C13+C14+C15+C16+C17+C18+C19</f>
        <v>222577000</v>
      </c>
      <c r="D4" s="31">
        <f t="shared" ref="D4:N4" si="0">D5+D6+D11+D12+D13+D14+D15+D16+D17+D18+D19</f>
        <v>17142160</v>
      </c>
      <c r="E4" s="31">
        <f t="shared" si="0"/>
        <v>3214155</v>
      </c>
      <c r="F4" s="31">
        <f t="shared" si="0"/>
        <v>2142770</v>
      </c>
      <c r="G4" s="31">
        <f t="shared" si="0"/>
        <v>22499085</v>
      </c>
      <c r="H4" s="31">
        <f t="shared" si="0"/>
        <v>36427090.000000007</v>
      </c>
      <c r="I4" s="31">
        <f t="shared" si="0"/>
        <v>1112885</v>
      </c>
      <c r="J4" s="31">
        <f t="shared" si="0"/>
        <v>6428310</v>
      </c>
      <c r="K4" s="31">
        <f t="shared" si="0"/>
        <v>2142770</v>
      </c>
      <c r="L4" s="31">
        <f t="shared" si="0"/>
        <v>4285540</v>
      </c>
      <c r="M4" s="31">
        <f t="shared" si="0"/>
        <v>50396595</v>
      </c>
      <c r="N4" s="31">
        <f t="shared" si="0"/>
        <v>63000000</v>
      </c>
      <c r="O4" s="31">
        <f>O5+O6+O11+O12+O13+O14+O15+O16+O17+O18+O19</f>
        <v>1003234693.2051283</v>
      </c>
      <c r="P4" s="62"/>
      <c r="Q4" s="62"/>
    </row>
    <row r="5" spans="1:17" ht="14.25" x14ac:dyDescent="0.2">
      <c r="A5" s="33" t="s">
        <v>5</v>
      </c>
      <c r="B5" s="52">
        <v>283280000</v>
      </c>
      <c r="C5" s="34">
        <v>11900000</v>
      </c>
      <c r="D5" s="35">
        <f>C5*$D$2</f>
        <v>952000</v>
      </c>
      <c r="E5" s="35">
        <f>C5*$E$2</f>
        <v>178500</v>
      </c>
      <c r="F5" s="35">
        <f>C5*$F$2</f>
        <v>119000</v>
      </c>
      <c r="G5" s="35">
        <f>SUM(D5:F5)</f>
        <v>1249500</v>
      </c>
      <c r="H5" s="35">
        <f>C5*$H$2</f>
        <v>2023000.0000000002</v>
      </c>
      <c r="I5" s="35">
        <f>C5*$I$2</f>
        <v>59500</v>
      </c>
      <c r="J5" s="35">
        <f>C5*$J$2</f>
        <v>357000</v>
      </c>
      <c r="K5" s="35">
        <f>C5*$K$2</f>
        <v>119000</v>
      </c>
      <c r="L5" s="35">
        <f>C5*$L$2</f>
        <v>238000</v>
      </c>
      <c r="M5" s="35">
        <f>SUM(H5:L5)</f>
        <v>2796500</v>
      </c>
      <c r="N5" s="34">
        <v>0</v>
      </c>
      <c r="O5" s="36">
        <f>B5-G5-N5</f>
        <v>282030500</v>
      </c>
      <c r="P5" s="61"/>
      <c r="Q5" s="59"/>
    </row>
    <row r="6" spans="1:17" s="69" customFormat="1" ht="15.75" x14ac:dyDescent="0.2">
      <c r="A6" s="33" t="s">
        <v>65</v>
      </c>
      <c r="B6" s="66">
        <f>SUM(B7:B10)</f>
        <v>184057778.20512831</v>
      </c>
      <c r="C6" s="66">
        <f>SUM(C7:C10)</f>
        <v>46877000</v>
      </c>
      <c r="D6" s="66">
        <f t="shared" ref="D6:O6" si="1">SUM(D7:D10)</f>
        <v>3750160</v>
      </c>
      <c r="E6" s="66">
        <f t="shared" si="1"/>
        <v>703155</v>
      </c>
      <c r="F6" s="66">
        <f t="shared" si="1"/>
        <v>468770</v>
      </c>
      <c r="G6" s="66">
        <f t="shared" si="1"/>
        <v>4922085</v>
      </c>
      <c r="H6" s="66">
        <f t="shared" si="1"/>
        <v>7969090.0000000009</v>
      </c>
      <c r="I6" s="66">
        <f t="shared" si="1"/>
        <v>234385</v>
      </c>
      <c r="J6" s="66">
        <f t="shared" si="1"/>
        <v>1406310</v>
      </c>
      <c r="K6" s="66">
        <f t="shared" si="1"/>
        <v>468770</v>
      </c>
      <c r="L6" s="66">
        <f t="shared" si="1"/>
        <v>937540</v>
      </c>
      <c r="M6" s="66">
        <f t="shared" si="1"/>
        <v>11016095</v>
      </c>
      <c r="N6" s="66">
        <f t="shared" si="1"/>
        <v>13000000</v>
      </c>
      <c r="O6" s="75">
        <f t="shared" si="1"/>
        <v>166135693.20512831</v>
      </c>
      <c r="P6" s="67"/>
      <c r="Q6" s="68"/>
    </row>
    <row r="7" spans="1:17" ht="14.25" x14ac:dyDescent="0.2">
      <c r="A7" s="65" t="s">
        <v>66</v>
      </c>
      <c r="B7" s="45">
        <f>69410388.4615385+2800000</f>
        <v>72210388.461538494</v>
      </c>
      <c r="C7" s="45">
        <f>27277000-4577000</f>
        <v>22700000</v>
      </c>
      <c r="D7" s="35">
        <f t="shared" ref="D7:D10" si="2">C7*$D$2</f>
        <v>1816000</v>
      </c>
      <c r="E7" s="35">
        <f t="shared" ref="E7:E19" si="3">C7*$E$2</f>
        <v>340500</v>
      </c>
      <c r="F7" s="35">
        <f t="shared" ref="F7:F19" si="4">C7*$F$2</f>
        <v>227000</v>
      </c>
      <c r="G7" s="35">
        <f t="shared" ref="G7" si="5">SUM(D7:F7)</f>
        <v>2383500</v>
      </c>
      <c r="H7" s="35">
        <f t="shared" ref="H7:H19" si="6">C7*$H$2</f>
        <v>3859000.0000000005</v>
      </c>
      <c r="I7" s="35">
        <f t="shared" ref="I7:I36" si="7">C7*$I$2</f>
        <v>113500</v>
      </c>
      <c r="J7" s="35">
        <f t="shared" ref="J7:J36" si="8">C7*$J$2</f>
        <v>681000</v>
      </c>
      <c r="K7" s="35">
        <f t="shared" ref="K7:K19" si="9">C7*$K$2</f>
        <v>227000</v>
      </c>
      <c r="L7" s="35">
        <f t="shared" ref="L7:L36" si="10">C7*$L$2</f>
        <v>454000</v>
      </c>
      <c r="M7" s="35">
        <f t="shared" ref="M7:M10" si="11">SUM(H7:L7)</f>
        <v>5334500</v>
      </c>
      <c r="N7" s="58">
        <v>3000000</v>
      </c>
      <c r="O7" s="36">
        <f t="shared" ref="O7:O10" si="12">B7-G7-N7</f>
        <v>66826888.461538494</v>
      </c>
      <c r="P7" s="61"/>
      <c r="Q7" s="59"/>
    </row>
    <row r="8" spans="1:17" ht="14.25" x14ac:dyDescent="0.2">
      <c r="A8" s="65" t="s">
        <v>68</v>
      </c>
      <c r="B8" s="45">
        <f>47982307.6923077+400000</f>
        <v>48382307.692307703</v>
      </c>
      <c r="C8" s="34">
        <v>10000000</v>
      </c>
      <c r="D8" s="35">
        <f t="shared" si="2"/>
        <v>800000</v>
      </c>
      <c r="E8" s="35">
        <f t="shared" si="3"/>
        <v>150000</v>
      </c>
      <c r="F8" s="35">
        <f t="shared" si="4"/>
        <v>100000</v>
      </c>
      <c r="G8" s="35">
        <f t="shared" ref="G8:G9" si="13">SUM(D8:F8)</f>
        <v>1050000</v>
      </c>
      <c r="H8" s="35">
        <f t="shared" si="6"/>
        <v>1700000.0000000002</v>
      </c>
      <c r="I8" s="35">
        <f t="shared" si="7"/>
        <v>50000</v>
      </c>
      <c r="J8" s="35">
        <f t="shared" si="8"/>
        <v>300000</v>
      </c>
      <c r="K8" s="35">
        <f t="shared" si="9"/>
        <v>100000</v>
      </c>
      <c r="L8" s="35">
        <f t="shared" si="10"/>
        <v>200000</v>
      </c>
      <c r="M8" s="35">
        <f t="shared" si="11"/>
        <v>2350000</v>
      </c>
      <c r="N8" s="58">
        <v>0</v>
      </c>
      <c r="O8" s="36">
        <f t="shared" si="12"/>
        <v>47332307.692307703</v>
      </c>
      <c r="P8" s="61"/>
      <c r="Q8" s="59"/>
    </row>
    <row r="9" spans="1:17" ht="14.25" x14ac:dyDescent="0.2">
      <c r="A9" s="65" t="s">
        <v>104</v>
      </c>
      <c r="B9" s="45">
        <f>24988158.974359+500000</f>
        <v>25488158.974358998</v>
      </c>
      <c r="C9" s="34">
        <f>4800000+4577000</f>
        <v>9377000</v>
      </c>
      <c r="D9" s="35">
        <f t="shared" si="2"/>
        <v>750160</v>
      </c>
      <c r="E9" s="35">
        <f t="shared" si="3"/>
        <v>140655</v>
      </c>
      <c r="F9" s="35">
        <f t="shared" si="4"/>
        <v>93770</v>
      </c>
      <c r="G9" s="35">
        <f t="shared" si="13"/>
        <v>984585</v>
      </c>
      <c r="H9" s="35">
        <f t="shared" si="6"/>
        <v>1594090</v>
      </c>
      <c r="I9" s="35">
        <f t="shared" si="7"/>
        <v>46885</v>
      </c>
      <c r="J9" s="35">
        <f t="shared" si="8"/>
        <v>281310</v>
      </c>
      <c r="K9" s="35">
        <f t="shared" si="9"/>
        <v>93770</v>
      </c>
      <c r="L9" s="35">
        <f t="shared" si="10"/>
        <v>187540</v>
      </c>
      <c r="M9" s="35">
        <f t="shared" si="11"/>
        <v>2203595</v>
      </c>
      <c r="N9" s="58">
        <v>6000000</v>
      </c>
      <c r="O9" s="36">
        <f t="shared" si="12"/>
        <v>18503573.974358998</v>
      </c>
      <c r="P9" s="61"/>
      <c r="Q9" s="59"/>
    </row>
    <row r="10" spans="1:17" ht="14.25" x14ac:dyDescent="0.2">
      <c r="A10" s="65" t="s">
        <v>67</v>
      </c>
      <c r="B10" s="45">
        <f>37576923.0769231+400000</f>
        <v>37976923.076923102</v>
      </c>
      <c r="C10" s="34">
        <v>4800000</v>
      </c>
      <c r="D10" s="35">
        <f t="shared" si="2"/>
        <v>384000</v>
      </c>
      <c r="E10" s="35">
        <f t="shared" si="3"/>
        <v>72000</v>
      </c>
      <c r="F10" s="35">
        <f t="shared" si="4"/>
        <v>48000</v>
      </c>
      <c r="G10" s="35">
        <f t="shared" ref="G10" si="14">SUM(D10:F10)</f>
        <v>504000</v>
      </c>
      <c r="H10" s="35">
        <f t="shared" si="6"/>
        <v>816000.00000000012</v>
      </c>
      <c r="I10" s="35">
        <f t="shared" si="7"/>
        <v>24000</v>
      </c>
      <c r="J10" s="35">
        <f t="shared" si="8"/>
        <v>144000</v>
      </c>
      <c r="K10" s="35">
        <f t="shared" si="9"/>
        <v>48000</v>
      </c>
      <c r="L10" s="35">
        <f t="shared" si="10"/>
        <v>96000</v>
      </c>
      <c r="M10" s="35">
        <f t="shared" si="11"/>
        <v>1128000</v>
      </c>
      <c r="N10" s="58">
        <v>4000000</v>
      </c>
      <c r="O10" s="36">
        <f t="shared" si="12"/>
        <v>33472923.076923102</v>
      </c>
      <c r="P10" s="61"/>
      <c r="Q10" s="59"/>
    </row>
    <row r="11" spans="1:17" ht="14.25" x14ac:dyDescent="0.2">
      <c r="A11" s="33" t="s">
        <v>25</v>
      </c>
      <c r="B11" s="45">
        <v>158698000</v>
      </c>
      <c r="C11" s="34">
        <f>38000000-C12+5100000+4800000+4800000</f>
        <v>44400000</v>
      </c>
      <c r="D11" s="35">
        <f>C11*$D$2</f>
        <v>3552000</v>
      </c>
      <c r="E11" s="35">
        <f t="shared" si="3"/>
        <v>666000</v>
      </c>
      <c r="F11" s="35">
        <f t="shared" si="4"/>
        <v>444000</v>
      </c>
      <c r="G11" s="35">
        <f t="shared" ref="G11:G18" si="15">SUM(D11:F11)</f>
        <v>4662000</v>
      </c>
      <c r="H11" s="35">
        <f t="shared" si="6"/>
        <v>7548000.0000000009</v>
      </c>
      <c r="I11" s="35">
        <f t="shared" si="7"/>
        <v>222000</v>
      </c>
      <c r="J11" s="35">
        <f t="shared" si="8"/>
        <v>1332000</v>
      </c>
      <c r="K11" s="35">
        <f t="shared" si="9"/>
        <v>444000</v>
      </c>
      <c r="L11" s="35">
        <f t="shared" si="10"/>
        <v>888000</v>
      </c>
      <c r="M11" s="35">
        <f t="shared" ref="M11:M30" si="16">SUM(H11:L11)</f>
        <v>10434000</v>
      </c>
      <c r="N11" s="58">
        <v>6000000</v>
      </c>
      <c r="O11" s="36">
        <f>B11-G11-N11</f>
        <v>148036000</v>
      </c>
      <c r="P11" s="61"/>
      <c r="Q11" s="59"/>
    </row>
    <row r="12" spans="1:17" ht="14.25" x14ac:dyDescent="0.2">
      <c r="A12" s="33" t="s">
        <v>25</v>
      </c>
      <c r="B12" s="45">
        <v>0</v>
      </c>
      <c r="C12" s="46">
        <v>8300000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f t="shared" si="7"/>
        <v>41500</v>
      </c>
      <c r="J12" s="35">
        <v>0</v>
      </c>
      <c r="K12" s="35">
        <v>0</v>
      </c>
      <c r="L12" s="35">
        <v>0</v>
      </c>
      <c r="M12" s="35">
        <f t="shared" si="16"/>
        <v>41500</v>
      </c>
      <c r="N12" s="55">
        <v>0</v>
      </c>
      <c r="O12" s="35">
        <v>0</v>
      </c>
      <c r="P12" s="61"/>
      <c r="Q12" s="59"/>
    </row>
    <row r="13" spans="1:17" ht="14.25" x14ac:dyDescent="0.2">
      <c r="A13" s="33" t="s">
        <v>7</v>
      </c>
      <c r="B13" s="45">
        <v>70198000</v>
      </c>
      <c r="C13" s="34">
        <v>27500000</v>
      </c>
      <c r="D13" s="35">
        <f t="shared" ref="D13:D19" si="17">C13*$D$2</f>
        <v>2200000</v>
      </c>
      <c r="E13" s="35">
        <f t="shared" si="3"/>
        <v>412500</v>
      </c>
      <c r="F13" s="35">
        <f t="shared" si="4"/>
        <v>275000</v>
      </c>
      <c r="G13" s="35">
        <f t="shared" si="15"/>
        <v>2887500</v>
      </c>
      <c r="H13" s="35">
        <f t="shared" si="6"/>
        <v>4675000</v>
      </c>
      <c r="I13" s="35">
        <f t="shared" si="7"/>
        <v>137500</v>
      </c>
      <c r="J13" s="35">
        <f t="shared" si="8"/>
        <v>825000</v>
      </c>
      <c r="K13" s="35">
        <f t="shared" si="9"/>
        <v>275000</v>
      </c>
      <c r="L13" s="35">
        <f t="shared" si="10"/>
        <v>550000</v>
      </c>
      <c r="M13" s="35">
        <f t="shared" si="16"/>
        <v>6462500</v>
      </c>
      <c r="N13" s="58">
        <v>0</v>
      </c>
      <c r="O13" s="36">
        <f t="shared" ref="O13:O19" si="18">B13-G13-N13</f>
        <v>67310500</v>
      </c>
      <c r="P13" s="61"/>
      <c r="Q13" s="59"/>
    </row>
    <row r="14" spans="1:17" ht="14.25" x14ac:dyDescent="0.2">
      <c r="A14" s="33" t="s">
        <v>19</v>
      </c>
      <c r="B14" s="45">
        <v>87843000</v>
      </c>
      <c r="C14" s="34">
        <v>23300000</v>
      </c>
      <c r="D14" s="35">
        <f t="shared" si="17"/>
        <v>1864000</v>
      </c>
      <c r="E14" s="35">
        <f t="shared" si="3"/>
        <v>349500</v>
      </c>
      <c r="F14" s="35">
        <f t="shared" si="4"/>
        <v>233000</v>
      </c>
      <c r="G14" s="35">
        <f t="shared" si="15"/>
        <v>2446500</v>
      </c>
      <c r="H14" s="35">
        <f t="shared" si="6"/>
        <v>3961000.0000000005</v>
      </c>
      <c r="I14" s="35">
        <f t="shared" si="7"/>
        <v>116500</v>
      </c>
      <c r="J14" s="35">
        <f t="shared" si="8"/>
        <v>699000</v>
      </c>
      <c r="K14" s="35">
        <f t="shared" si="9"/>
        <v>233000</v>
      </c>
      <c r="L14" s="35">
        <f t="shared" si="10"/>
        <v>466000</v>
      </c>
      <c r="M14" s="35">
        <f t="shared" si="16"/>
        <v>5475500</v>
      </c>
      <c r="N14" s="58">
        <v>10000000</v>
      </c>
      <c r="O14" s="36">
        <f t="shared" si="18"/>
        <v>75396500</v>
      </c>
      <c r="P14" s="61"/>
      <c r="Q14" s="59"/>
    </row>
    <row r="15" spans="1:17" ht="14.25" x14ac:dyDescent="0.2">
      <c r="A15" s="33" t="s">
        <v>20</v>
      </c>
      <c r="B15" s="45">
        <v>88008000</v>
      </c>
      <c r="C15" s="34">
        <f>25800000</f>
        <v>25800000</v>
      </c>
      <c r="D15" s="35">
        <f t="shared" si="17"/>
        <v>2064000</v>
      </c>
      <c r="E15" s="35">
        <f t="shared" si="3"/>
        <v>387000</v>
      </c>
      <c r="F15" s="35">
        <f t="shared" si="4"/>
        <v>258000</v>
      </c>
      <c r="G15" s="35">
        <f t="shared" si="15"/>
        <v>2709000</v>
      </c>
      <c r="H15" s="35">
        <f t="shared" si="6"/>
        <v>4386000</v>
      </c>
      <c r="I15" s="35">
        <f t="shared" si="7"/>
        <v>129000</v>
      </c>
      <c r="J15" s="35">
        <f t="shared" si="8"/>
        <v>774000</v>
      </c>
      <c r="K15" s="35">
        <f t="shared" si="9"/>
        <v>258000</v>
      </c>
      <c r="L15" s="35">
        <f t="shared" si="10"/>
        <v>516000</v>
      </c>
      <c r="M15" s="35">
        <f t="shared" si="16"/>
        <v>6063000</v>
      </c>
      <c r="N15" s="58">
        <v>27000000</v>
      </c>
      <c r="O15" s="36">
        <f t="shared" si="18"/>
        <v>58299000</v>
      </c>
      <c r="P15" s="61"/>
      <c r="Q15" s="59"/>
    </row>
    <row r="16" spans="1:17" ht="14.25" x14ac:dyDescent="0.2">
      <c r="A16" s="33" t="s">
        <v>6</v>
      </c>
      <c r="B16" s="45">
        <v>12170000</v>
      </c>
      <c r="C16" s="34">
        <v>5000000</v>
      </c>
      <c r="D16" s="35">
        <f t="shared" si="17"/>
        <v>400000</v>
      </c>
      <c r="E16" s="35">
        <f t="shared" si="3"/>
        <v>75000</v>
      </c>
      <c r="F16" s="35">
        <f t="shared" si="4"/>
        <v>50000</v>
      </c>
      <c r="G16" s="35">
        <f t="shared" si="15"/>
        <v>525000</v>
      </c>
      <c r="H16" s="35">
        <f t="shared" si="6"/>
        <v>850000.00000000012</v>
      </c>
      <c r="I16" s="35">
        <f t="shared" si="7"/>
        <v>25000</v>
      </c>
      <c r="J16" s="35">
        <f t="shared" si="8"/>
        <v>150000</v>
      </c>
      <c r="K16" s="35">
        <f t="shared" si="9"/>
        <v>50000</v>
      </c>
      <c r="L16" s="35">
        <f t="shared" si="10"/>
        <v>100000</v>
      </c>
      <c r="M16" s="35">
        <f t="shared" si="16"/>
        <v>1175000</v>
      </c>
      <c r="N16" s="58">
        <v>0</v>
      </c>
      <c r="O16" s="36">
        <f t="shared" si="18"/>
        <v>11645000</v>
      </c>
      <c r="P16" s="61"/>
      <c r="Q16" s="59"/>
    </row>
    <row r="17" spans="1:17" ht="14.25" x14ac:dyDescent="0.2">
      <c r="A17" s="56" t="s">
        <v>103</v>
      </c>
      <c r="B17" s="45">
        <v>50912000</v>
      </c>
      <c r="C17" s="34">
        <v>0</v>
      </c>
      <c r="D17" s="35">
        <f t="shared" si="17"/>
        <v>0</v>
      </c>
      <c r="E17" s="35">
        <f t="shared" si="3"/>
        <v>0</v>
      </c>
      <c r="F17" s="35">
        <f t="shared" si="4"/>
        <v>0</v>
      </c>
      <c r="G17" s="35">
        <f t="shared" ref="G17" si="19">SUM(D17:F17)</f>
        <v>0</v>
      </c>
      <c r="H17" s="35">
        <f t="shared" si="6"/>
        <v>0</v>
      </c>
      <c r="I17" s="35">
        <f t="shared" si="7"/>
        <v>0</v>
      </c>
      <c r="J17" s="35">
        <f t="shared" si="8"/>
        <v>0</v>
      </c>
      <c r="K17" s="35">
        <f t="shared" si="9"/>
        <v>0</v>
      </c>
      <c r="L17" s="35">
        <f t="shared" si="10"/>
        <v>0</v>
      </c>
      <c r="M17" s="35">
        <f t="shared" si="16"/>
        <v>0</v>
      </c>
      <c r="N17" s="34">
        <v>0</v>
      </c>
      <c r="O17" s="36">
        <f t="shared" si="18"/>
        <v>50912000</v>
      </c>
      <c r="P17" s="61"/>
      <c r="Q17" s="59"/>
    </row>
    <row r="18" spans="1:17" ht="14.25" x14ac:dyDescent="0.2">
      <c r="A18" s="33" t="s">
        <v>70</v>
      </c>
      <c r="B18" s="45">
        <v>65614000</v>
      </c>
      <c r="C18" s="34">
        <v>5000000</v>
      </c>
      <c r="D18" s="35">
        <f>C18*$D$2</f>
        <v>400000</v>
      </c>
      <c r="E18" s="35">
        <f t="shared" si="3"/>
        <v>75000</v>
      </c>
      <c r="F18" s="35">
        <f t="shared" si="4"/>
        <v>50000</v>
      </c>
      <c r="G18" s="35">
        <f t="shared" si="15"/>
        <v>525000</v>
      </c>
      <c r="H18" s="35">
        <f t="shared" si="6"/>
        <v>850000.00000000012</v>
      </c>
      <c r="I18" s="35">
        <f t="shared" si="7"/>
        <v>25000</v>
      </c>
      <c r="J18" s="35">
        <f t="shared" si="8"/>
        <v>150000</v>
      </c>
      <c r="K18" s="35">
        <f t="shared" si="9"/>
        <v>50000</v>
      </c>
      <c r="L18" s="35">
        <f t="shared" si="10"/>
        <v>100000</v>
      </c>
      <c r="M18" s="35">
        <f t="shared" si="16"/>
        <v>1175000</v>
      </c>
      <c r="N18" s="34">
        <v>3000000</v>
      </c>
      <c r="O18" s="36">
        <f t="shared" si="18"/>
        <v>62089000</v>
      </c>
      <c r="P18" s="61"/>
      <c r="Q18" s="59"/>
    </row>
    <row r="19" spans="1:17" s="25" customFormat="1" ht="14.25" x14ac:dyDescent="0.2">
      <c r="A19" s="33" t="s">
        <v>71</v>
      </c>
      <c r="B19" s="63">
        <v>87953000</v>
      </c>
      <c r="C19" s="57">
        <v>24500000</v>
      </c>
      <c r="D19" s="35">
        <f t="shared" si="17"/>
        <v>1960000</v>
      </c>
      <c r="E19" s="35">
        <f t="shared" si="3"/>
        <v>367500</v>
      </c>
      <c r="F19" s="35">
        <f t="shared" si="4"/>
        <v>245000</v>
      </c>
      <c r="G19" s="35">
        <f t="shared" ref="G19" si="20">SUM(D19:F19)</f>
        <v>2572500</v>
      </c>
      <c r="H19" s="35">
        <f t="shared" si="6"/>
        <v>4165000.0000000005</v>
      </c>
      <c r="I19" s="35">
        <f t="shared" si="7"/>
        <v>122500</v>
      </c>
      <c r="J19" s="35">
        <f t="shared" si="8"/>
        <v>735000</v>
      </c>
      <c r="K19" s="35">
        <f t="shared" si="9"/>
        <v>245000</v>
      </c>
      <c r="L19" s="35">
        <f t="shared" si="10"/>
        <v>490000</v>
      </c>
      <c r="M19" s="35">
        <f t="shared" si="16"/>
        <v>5757500</v>
      </c>
      <c r="N19" s="57">
        <v>4000000</v>
      </c>
      <c r="O19" s="36">
        <f t="shared" si="18"/>
        <v>81380500</v>
      </c>
      <c r="P19" s="60"/>
      <c r="Q19" s="60"/>
    </row>
    <row r="20" spans="1:17" s="32" customFormat="1" x14ac:dyDescent="0.2">
      <c r="A20" s="30" t="s">
        <v>2</v>
      </c>
      <c r="B20" s="31">
        <f>SUM(B21:B32)</f>
        <v>730368470.03076959</v>
      </c>
      <c r="C20" s="31">
        <f>SUM(C21:C32)</f>
        <v>203401000</v>
      </c>
      <c r="D20" s="31">
        <f t="shared" ref="D20:H20" si="21">SUM(D21:D32)</f>
        <v>16272080</v>
      </c>
      <c r="E20" s="31">
        <f t="shared" si="21"/>
        <v>3051015</v>
      </c>
      <c r="F20" s="31">
        <f t="shared" si="21"/>
        <v>2034010</v>
      </c>
      <c r="G20" s="31">
        <f t="shared" si="21"/>
        <v>21357105</v>
      </c>
      <c r="H20" s="31">
        <f t="shared" si="21"/>
        <v>34578170</v>
      </c>
      <c r="I20" s="31">
        <f>SUM(I21:I32)</f>
        <v>1017005</v>
      </c>
      <c r="J20" s="31">
        <f t="shared" ref="J20:N20" si="22">SUM(J21:J32)</f>
        <v>6102030</v>
      </c>
      <c r="K20" s="31">
        <f t="shared" si="22"/>
        <v>2034010</v>
      </c>
      <c r="L20" s="31">
        <f t="shared" si="22"/>
        <v>4068020</v>
      </c>
      <c r="M20" s="31">
        <f t="shared" si="22"/>
        <v>47799235</v>
      </c>
      <c r="N20" s="31">
        <f t="shared" si="22"/>
        <v>116500000</v>
      </c>
      <c r="O20" s="31">
        <f>SUM(O21:O32)</f>
        <v>592511365.03076959</v>
      </c>
      <c r="P20" s="62"/>
      <c r="Q20" s="62"/>
    </row>
    <row r="21" spans="1:17" ht="14.25" x14ac:dyDescent="0.2">
      <c r="A21" s="76" t="s">
        <v>105</v>
      </c>
      <c r="B21" s="37">
        <f>63081038.4615385+2200000</f>
        <v>65281038.461538501</v>
      </c>
      <c r="C21" s="38">
        <f>8300000+4800000</f>
        <v>13100000</v>
      </c>
      <c r="D21" s="35">
        <f>C21*$D$2</f>
        <v>1048000</v>
      </c>
      <c r="E21" s="35">
        <f>C21*$E$2</f>
        <v>196500</v>
      </c>
      <c r="F21" s="35">
        <f>C21*$F$2</f>
        <v>131000</v>
      </c>
      <c r="G21" s="35">
        <f>SUM(D21:F21)</f>
        <v>1375500</v>
      </c>
      <c r="H21" s="35">
        <f>C21*$H$2</f>
        <v>2227000</v>
      </c>
      <c r="I21" s="35">
        <f t="shared" si="7"/>
        <v>65500</v>
      </c>
      <c r="J21" s="35">
        <f t="shared" si="8"/>
        <v>393000</v>
      </c>
      <c r="K21" s="35">
        <f>C21*$K$2</f>
        <v>131000</v>
      </c>
      <c r="L21" s="35">
        <f t="shared" si="10"/>
        <v>262000</v>
      </c>
      <c r="M21" s="35">
        <f t="shared" si="16"/>
        <v>3078500</v>
      </c>
      <c r="N21" s="38">
        <v>0</v>
      </c>
      <c r="O21" s="35">
        <f>B21-G21-N21</f>
        <v>63905538.461538501</v>
      </c>
      <c r="P21" s="59"/>
      <c r="Q21" s="59"/>
    </row>
    <row r="22" spans="1:17" ht="14.25" x14ac:dyDescent="0.2">
      <c r="A22" s="65" t="s">
        <v>58</v>
      </c>
      <c r="B22" s="37">
        <f>47888661.5384615+600000</f>
        <v>48488661.538461499</v>
      </c>
      <c r="C22" s="38">
        <f>4800000*3</f>
        <v>14400000</v>
      </c>
      <c r="D22" s="35">
        <f>C22*$D$2</f>
        <v>1152000</v>
      </c>
      <c r="E22" s="35">
        <f>C22*$E$2</f>
        <v>216000</v>
      </c>
      <c r="F22" s="35">
        <f>C22*$F$2</f>
        <v>144000</v>
      </c>
      <c r="G22" s="35">
        <f>SUM(D22:F22)</f>
        <v>1512000</v>
      </c>
      <c r="H22" s="35">
        <f>C22*$H$2</f>
        <v>2448000</v>
      </c>
      <c r="I22" s="35">
        <f t="shared" si="7"/>
        <v>72000</v>
      </c>
      <c r="J22" s="35">
        <f t="shared" si="8"/>
        <v>432000</v>
      </c>
      <c r="K22" s="35">
        <f>C22*$K$2</f>
        <v>144000</v>
      </c>
      <c r="L22" s="35">
        <f t="shared" si="10"/>
        <v>288000</v>
      </c>
      <c r="M22" s="35">
        <f t="shared" si="16"/>
        <v>3384000</v>
      </c>
      <c r="N22" s="38">
        <v>0</v>
      </c>
      <c r="O22" s="35">
        <f>B22-G22-N22</f>
        <v>46976661.538461499</v>
      </c>
      <c r="P22" s="61"/>
      <c r="Q22" s="59"/>
    </row>
    <row r="23" spans="1:17" ht="14.25" x14ac:dyDescent="0.2">
      <c r="A23" s="65" t="s">
        <v>62</v>
      </c>
      <c r="B23" s="37">
        <f>78618600+800000</f>
        <v>79418600</v>
      </c>
      <c r="C23" s="38">
        <f>5100000+4800000*2</f>
        <v>14700000</v>
      </c>
      <c r="D23" s="35">
        <f t="shared" ref="D23:D31" si="23">C23*$D$2</f>
        <v>1176000</v>
      </c>
      <c r="E23" s="35">
        <f t="shared" ref="E23:E31" si="24">C23*$E$2</f>
        <v>220500</v>
      </c>
      <c r="F23" s="35">
        <f t="shared" ref="F23:F31" si="25">C23*$F$2</f>
        <v>147000</v>
      </c>
      <c r="G23" s="35">
        <f t="shared" ref="G23:G26" si="26">SUM(D23:F23)</f>
        <v>1543500</v>
      </c>
      <c r="H23" s="35">
        <f t="shared" ref="H23:H31" si="27">C23*$H$2</f>
        <v>2499000</v>
      </c>
      <c r="I23" s="35">
        <f t="shared" si="7"/>
        <v>73500</v>
      </c>
      <c r="J23" s="35">
        <f t="shared" si="8"/>
        <v>441000</v>
      </c>
      <c r="K23" s="35">
        <f t="shared" ref="K23:K31" si="28">C23*$K$2</f>
        <v>147000</v>
      </c>
      <c r="L23" s="35">
        <f t="shared" si="10"/>
        <v>294000</v>
      </c>
      <c r="M23" s="35">
        <f t="shared" si="16"/>
        <v>3454500</v>
      </c>
      <c r="N23" s="38">
        <v>0</v>
      </c>
      <c r="O23" s="35">
        <f>B23-G23-N23</f>
        <v>77875100</v>
      </c>
      <c r="P23" s="61"/>
      <c r="Q23" s="59"/>
    </row>
    <row r="24" spans="1:17" ht="14.25" x14ac:dyDescent="0.2">
      <c r="A24" s="65" t="s">
        <v>59</v>
      </c>
      <c r="B24" s="37">
        <f>74617692.3076923+1200000</f>
        <v>75817692.307692304</v>
      </c>
      <c r="C24" s="38">
        <f>4800000*4</f>
        <v>19200000</v>
      </c>
      <c r="D24" s="35">
        <f t="shared" si="23"/>
        <v>1536000</v>
      </c>
      <c r="E24" s="35">
        <f t="shared" si="24"/>
        <v>288000</v>
      </c>
      <c r="F24" s="35">
        <f t="shared" si="25"/>
        <v>192000</v>
      </c>
      <c r="G24" s="35">
        <f t="shared" si="26"/>
        <v>2016000</v>
      </c>
      <c r="H24" s="35">
        <f t="shared" si="27"/>
        <v>3264000.0000000005</v>
      </c>
      <c r="I24" s="35">
        <f t="shared" si="7"/>
        <v>96000</v>
      </c>
      <c r="J24" s="35">
        <f t="shared" si="8"/>
        <v>576000</v>
      </c>
      <c r="K24" s="35">
        <f t="shared" si="28"/>
        <v>192000</v>
      </c>
      <c r="L24" s="35">
        <f t="shared" si="10"/>
        <v>384000</v>
      </c>
      <c r="M24" s="35">
        <f t="shared" si="16"/>
        <v>4512000</v>
      </c>
      <c r="N24" s="38">
        <v>0</v>
      </c>
      <c r="O24" s="35">
        <f t="shared" ref="O24:O31" si="29">B24-G24-N24</f>
        <v>73801692.307692304</v>
      </c>
      <c r="P24" s="59"/>
      <c r="Q24" s="59"/>
    </row>
    <row r="25" spans="1:17" ht="14.25" x14ac:dyDescent="0.2">
      <c r="A25" s="65" t="s">
        <v>60</v>
      </c>
      <c r="B25" s="92">
        <v>36753461.538461544</v>
      </c>
      <c r="C25" s="38">
        <v>9600000</v>
      </c>
      <c r="D25" s="35">
        <f t="shared" si="23"/>
        <v>768000</v>
      </c>
      <c r="E25" s="35">
        <f t="shared" si="24"/>
        <v>144000</v>
      </c>
      <c r="F25" s="35">
        <f t="shared" si="25"/>
        <v>96000</v>
      </c>
      <c r="G25" s="35">
        <f t="shared" si="26"/>
        <v>1008000</v>
      </c>
      <c r="H25" s="35">
        <f t="shared" si="27"/>
        <v>1632000.0000000002</v>
      </c>
      <c r="I25" s="35">
        <f t="shared" si="7"/>
        <v>48000</v>
      </c>
      <c r="J25" s="35">
        <f t="shared" si="8"/>
        <v>288000</v>
      </c>
      <c r="K25" s="35">
        <f t="shared" si="28"/>
        <v>96000</v>
      </c>
      <c r="L25" s="35">
        <f t="shared" si="10"/>
        <v>192000</v>
      </c>
      <c r="M25" s="35">
        <f t="shared" si="16"/>
        <v>2256000</v>
      </c>
      <c r="N25" s="38">
        <v>0</v>
      </c>
      <c r="O25" s="35">
        <f t="shared" si="29"/>
        <v>35745461.538461544</v>
      </c>
      <c r="P25" s="59"/>
      <c r="Q25" s="59"/>
    </row>
    <row r="26" spans="1:17" ht="14.25" x14ac:dyDescent="0.2">
      <c r="A26" s="65" t="s">
        <v>61</v>
      </c>
      <c r="B26" s="37">
        <f>53051884.6153846+1000000</f>
        <v>54051884.615384601</v>
      </c>
      <c r="C26" s="38">
        <v>19500000</v>
      </c>
      <c r="D26" s="35">
        <f t="shared" si="23"/>
        <v>1560000</v>
      </c>
      <c r="E26" s="35">
        <f t="shared" si="24"/>
        <v>292500</v>
      </c>
      <c r="F26" s="35">
        <f t="shared" si="25"/>
        <v>195000</v>
      </c>
      <c r="G26" s="35">
        <f t="shared" si="26"/>
        <v>2047500</v>
      </c>
      <c r="H26" s="35">
        <f t="shared" si="27"/>
        <v>3315000.0000000005</v>
      </c>
      <c r="I26" s="35">
        <f t="shared" si="7"/>
        <v>97500</v>
      </c>
      <c r="J26" s="35">
        <f t="shared" si="8"/>
        <v>585000</v>
      </c>
      <c r="K26" s="35">
        <f t="shared" si="28"/>
        <v>195000</v>
      </c>
      <c r="L26" s="35">
        <f t="shared" si="10"/>
        <v>390000</v>
      </c>
      <c r="M26" s="35">
        <f t="shared" si="16"/>
        <v>4582500</v>
      </c>
      <c r="N26" s="38">
        <v>0</v>
      </c>
      <c r="O26" s="35">
        <f t="shared" si="29"/>
        <v>52004384.615384601</v>
      </c>
      <c r="P26" s="59"/>
      <c r="Q26" s="59"/>
    </row>
    <row r="27" spans="1:17" ht="14.25" x14ac:dyDescent="0.2">
      <c r="A27" s="76" t="s">
        <v>106</v>
      </c>
      <c r="B27" s="37">
        <f>46085606.9230769+1000000</f>
        <v>47085606.923076898</v>
      </c>
      <c r="C27" s="38">
        <v>15000000</v>
      </c>
      <c r="D27" s="35">
        <f t="shared" si="23"/>
        <v>1200000</v>
      </c>
      <c r="E27" s="35">
        <f t="shared" si="24"/>
        <v>225000</v>
      </c>
      <c r="F27" s="35">
        <f t="shared" si="25"/>
        <v>150000</v>
      </c>
      <c r="G27" s="35">
        <f t="shared" ref="G27:G31" si="30">SUM(D27:F27)</f>
        <v>1575000</v>
      </c>
      <c r="H27" s="35">
        <f t="shared" si="27"/>
        <v>2550000</v>
      </c>
      <c r="I27" s="35">
        <f t="shared" si="7"/>
        <v>75000</v>
      </c>
      <c r="J27" s="35">
        <f t="shared" si="8"/>
        <v>450000</v>
      </c>
      <c r="K27" s="35">
        <f t="shared" si="28"/>
        <v>150000</v>
      </c>
      <c r="L27" s="35">
        <f t="shared" si="10"/>
        <v>300000</v>
      </c>
      <c r="M27" s="35">
        <f t="shared" ref="M27" si="31">SUM(H27:L27)</f>
        <v>3525000</v>
      </c>
      <c r="N27" s="38">
        <v>9500000</v>
      </c>
      <c r="O27" s="35">
        <f t="shared" si="29"/>
        <v>36010606.923076898</v>
      </c>
      <c r="P27" s="59"/>
      <c r="Q27" s="59"/>
    </row>
    <row r="28" spans="1:17" ht="14.25" x14ac:dyDescent="0.2">
      <c r="A28" s="65" t="s">
        <v>22</v>
      </c>
      <c r="B28" s="37">
        <f>101737565.076923+1600000</f>
        <v>103337565.076923</v>
      </c>
      <c r="C28" s="38">
        <v>28800000</v>
      </c>
      <c r="D28" s="35">
        <f t="shared" si="23"/>
        <v>2304000</v>
      </c>
      <c r="E28" s="35">
        <f t="shared" si="24"/>
        <v>432000</v>
      </c>
      <c r="F28" s="35">
        <f t="shared" si="25"/>
        <v>288000</v>
      </c>
      <c r="G28" s="35">
        <f t="shared" si="30"/>
        <v>3024000</v>
      </c>
      <c r="H28" s="35">
        <f t="shared" si="27"/>
        <v>4896000</v>
      </c>
      <c r="I28" s="35">
        <f t="shared" si="7"/>
        <v>144000</v>
      </c>
      <c r="J28" s="35">
        <f t="shared" si="8"/>
        <v>864000</v>
      </c>
      <c r="K28" s="35">
        <f t="shared" si="28"/>
        <v>288000</v>
      </c>
      <c r="L28" s="35">
        <f t="shared" si="10"/>
        <v>576000</v>
      </c>
      <c r="M28" s="35">
        <f t="shared" si="16"/>
        <v>6768000</v>
      </c>
      <c r="N28" s="38">
        <v>32000000</v>
      </c>
      <c r="O28" s="35">
        <f t="shared" si="29"/>
        <v>68313565.076922998</v>
      </c>
      <c r="P28" s="61"/>
      <c r="Q28" s="59"/>
    </row>
    <row r="29" spans="1:17" ht="14.25" x14ac:dyDescent="0.2">
      <c r="A29" s="76" t="s">
        <v>107</v>
      </c>
      <c r="B29" s="37">
        <f>23608753.0769231+400000</f>
        <v>24008753.076923098</v>
      </c>
      <c r="C29" s="38">
        <v>9600000</v>
      </c>
      <c r="D29" s="35">
        <f t="shared" si="23"/>
        <v>768000</v>
      </c>
      <c r="E29" s="35">
        <f t="shared" si="24"/>
        <v>144000</v>
      </c>
      <c r="F29" s="35">
        <f t="shared" si="25"/>
        <v>96000</v>
      </c>
      <c r="G29" s="35">
        <f t="shared" si="30"/>
        <v>1008000</v>
      </c>
      <c r="H29" s="35">
        <f t="shared" si="27"/>
        <v>1632000.0000000002</v>
      </c>
      <c r="I29" s="35">
        <f t="shared" si="7"/>
        <v>48000</v>
      </c>
      <c r="J29" s="35">
        <f t="shared" si="8"/>
        <v>288000</v>
      </c>
      <c r="K29" s="35">
        <f t="shared" si="28"/>
        <v>96000</v>
      </c>
      <c r="L29" s="35">
        <f t="shared" si="10"/>
        <v>192000</v>
      </c>
      <c r="M29" s="35">
        <f t="shared" ref="M29" si="32">SUM(H29:L29)</f>
        <v>2256000</v>
      </c>
      <c r="N29" s="38">
        <v>9000000</v>
      </c>
      <c r="O29" s="35">
        <f t="shared" si="29"/>
        <v>14000753.076923098</v>
      </c>
      <c r="P29" s="61"/>
      <c r="Q29" s="59"/>
    </row>
    <row r="30" spans="1:17" ht="14.25" x14ac:dyDescent="0.2">
      <c r="A30" s="65" t="s">
        <v>23</v>
      </c>
      <c r="B30" s="37">
        <f>115098527.815385+1500000</f>
        <v>116598527.815385</v>
      </c>
      <c r="C30" s="38">
        <f>32039000</f>
        <v>32039000</v>
      </c>
      <c r="D30" s="35">
        <f t="shared" si="23"/>
        <v>2563120</v>
      </c>
      <c r="E30" s="35">
        <f t="shared" si="24"/>
        <v>480585</v>
      </c>
      <c r="F30" s="35">
        <f t="shared" si="25"/>
        <v>320390</v>
      </c>
      <c r="G30" s="35">
        <f t="shared" si="30"/>
        <v>3364095</v>
      </c>
      <c r="H30" s="35">
        <f t="shared" si="27"/>
        <v>5446630</v>
      </c>
      <c r="I30" s="35">
        <f t="shared" si="7"/>
        <v>160195</v>
      </c>
      <c r="J30" s="35">
        <f t="shared" si="8"/>
        <v>961170</v>
      </c>
      <c r="K30" s="35">
        <f t="shared" si="28"/>
        <v>320390</v>
      </c>
      <c r="L30" s="35">
        <f t="shared" si="10"/>
        <v>640780</v>
      </c>
      <c r="M30" s="35">
        <f t="shared" si="16"/>
        <v>7529165</v>
      </c>
      <c r="N30" s="38">
        <v>42000000</v>
      </c>
      <c r="O30" s="35">
        <f t="shared" si="29"/>
        <v>71234432.815384999</v>
      </c>
      <c r="P30" s="61"/>
      <c r="Q30" s="59"/>
    </row>
    <row r="31" spans="1:17" ht="14.25" x14ac:dyDescent="0.2">
      <c r="A31" s="76" t="s">
        <v>108</v>
      </c>
      <c r="B31" s="37">
        <f>15916290.0769231+200000</f>
        <v>16116290.0769231</v>
      </c>
      <c r="C31" s="38">
        <v>0</v>
      </c>
      <c r="D31" s="35">
        <f t="shared" si="23"/>
        <v>0</v>
      </c>
      <c r="E31" s="35">
        <f t="shared" si="24"/>
        <v>0</v>
      </c>
      <c r="F31" s="35">
        <f t="shared" si="25"/>
        <v>0</v>
      </c>
      <c r="G31" s="35">
        <f t="shared" si="30"/>
        <v>0</v>
      </c>
      <c r="H31" s="35">
        <f t="shared" si="27"/>
        <v>0</v>
      </c>
      <c r="I31" s="35">
        <f t="shared" si="7"/>
        <v>0</v>
      </c>
      <c r="J31" s="35">
        <f t="shared" si="8"/>
        <v>0</v>
      </c>
      <c r="K31" s="35">
        <f t="shared" si="28"/>
        <v>0</v>
      </c>
      <c r="L31" s="35">
        <f t="shared" si="10"/>
        <v>0</v>
      </c>
      <c r="M31" s="35">
        <f t="shared" ref="M31" si="33">SUM(H31:L31)</f>
        <v>0</v>
      </c>
      <c r="N31" s="38">
        <v>6000000</v>
      </c>
      <c r="O31" s="35">
        <f t="shared" si="29"/>
        <v>10116290.0769231</v>
      </c>
      <c r="P31" s="61"/>
      <c r="Q31" s="59"/>
    </row>
    <row r="32" spans="1:17" ht="14.25" x14ac:dyDescent="0.2">
      <c r="A32" s="65" t="s">
        <v>3</v>
      </c>
      <c r="B32" s="37">
        <f>62610388.6+800000</f>
        <v>63410388.600000001</v>
      </c>
      <c r="C32" s="38">
        <v>27462000</v>
      </c>
      <c r="D32" s="35">
        <f>C32*$D$2</f>
        <v>2196960</v>
      </c>
      <c r="E32" s="35">
        <f>C32*$E$2</f>
        <v>411930</v>
      </c>
      <c r="F32" s="35">
        <f>C32*$F$2</f>
        <v>274620</v>
      </c>
      <c r="G32" s="35">
        <f>SUM(D32:F32)</f>
        <v>2883510</v>
      </c>
      <c r="H32" s="35">
        <f>C32*$H$2</f>
        <v>4668540</v>
      </c>
      <c r="I32" s="35">
        <f>C32*$I$2</f>
        <v>137310</v>
      </c>
      <c r="J32" s="35">
        <f>C32*$J$2</f>
        <v>823860</v>
      </c>
      <c r="K32" s="35">
        <f>C32*$K$2</f>
        <v>274620</v>
      </c>
      <c r="L32" s="35">
        <f>C32*$L$2</f>
        <v>549240</v>
      </c>
      <c r="M32" s="35">
        <f>SUM(H32:L32)</f>
        <v>6453570</v>
      </c>
      <c r="N32" s="38">
        <v>18000000</v>
      </c>
      <c r="O32" s="35">
        <f>B32-G32-N32</f>
        <v>42526878.600000001</v>
      </c>
      <c r="P32" s="61"/>
      <c r="Q32" s="59"/>
    </row>
    <row r="33" spans="1:17" s="32" customFormat="1" x14ac:dyDescent="0.2">
      <c r="A33" s="30" t="s">
        <v>24</v>
      </c>
      <c r="B33" s="31">
        <f>SUM(B34:B36)</f>
        <v>1340304989.430058</v>
      </c>
      <c r="C33" s="31">
        <f t="shared" ref="C33:N33" si="34">SUM(C34:C36)</f>
        <v>428866000</v>
      </c>
      <c r="D33" s="31">
        <f t="shared" si="34"/>
        <v>34309280</v>
      </c>
      <c r="E33" s="31">
        <f t="shared" si="34"/>
        <v>6432990</v>
      </c>
      <c r="F33" s="31">
        <f t="shared" si="34"/>
        <v>4288660</v>
      </c>
      <c r="G33" s="31">
        <f t="shared" si="34"/>
        <v>45030930</v>
      </c>
      <c r="H33" s="31">
        <f t="shared" si="34"/>
        <v>72907220</v>
      </c>
      <c r="I33" s="31">
        <f>SUM(I34:I36)</f>
        <v>2144330</v>
      </c>
      <c r="J33" s="31">
        <f t="shared" si="34"/>
        <v>12865980</v>
      </c>
      <c r="K33" s="31">
        <f t="shared" si="34"/>
        <v>4288660</v>
      </c>
      <c r="L33" s="31">
        <f t="shared" si="34"/>
        <v>8577320</v>
      </c>
      <c r="M33" s="31">
        <f t="shared" si="34"/>
        <v>100783510</v>
      </c>
      <c r="N33" s="31">
        <f t="shared" si="34"/>
        <v>366100000</v>
      </c>
      <c r="O33" s="31">
        <f>SUM(O34:O36)</f>
        <v>929174059.430058</v>
      </c>
      <c r="P33" s="62"/>
      <c r="Q33" s="62"/>
    </row>
    <row r="34" spans="1:17" ht="64.5" x14ac:dyDescent="0.25">
      <c r="A34" s="40" t="s">
        <v>43</v>
      </c>
      <c r="B34" s="41">
        <v>839464919.33114624</v>
      </c>
      <c r="C34" s="42">
        <v>277302000</v>
      </c>
      <c r="D34" s="35">
        <f>C34*$D$2</f>
        <v>22184160</v>
      </c>
      <c r="E34" s="35">
        <f>C34*$E$2</f>
        <v>4159530</v>
      </c>
      <c r="F34" s="35">
        <f>C34*$F$2</f>
        <v>2773020</v>
      </c>
      <c r="G34" s="35">
        <f>SUM(D34:F34)</f>
        <v>29116710</v>
      </c>
      <c r="H34" s="35">
        <f>C34*$H$2</f>
        <v>47141340</v>
      </c>
      <c r="I34" s="35">
        <f t="shared" si="7"/>
        <v>1386510</v>
      </c>
      <c r="J34" s="35">
        <f t="shared" si="8"/>
        <v>8319060</v>
      </c>
      <c r="K34" s="35">
        <f>C34*$K$2</f>
        <v>2773020</v>
      </c>
      <c r="L34" s="35">
        <f t="shared" si="10"/>
        <v>5546040</v>
      </c>
      <c r="M34" s="35">
        <f>SUM(H34:L34)</f>
        <v>65165970</v>
      </c>
      <c r="N34" s="42">
        <v>209100000</v>
      </c>
      <c r="O34" s="36">
        <f>B34-G34-N34</f>
        <v>601248209.33114624</v>
      </c>
      <c r="P34" s="59"/>
      <c r="Q34" s="61"/>
    </row>
    <row r="35" spans="1:17" ht="14.25" x14ac:dyDescent="0.25">
      <c r="A35" s="33" t="s">
        <v>41</v>
      </c>
      <c r="B35" s="43">
        <v>233034434.97471309</v>
      </c>
      <c r="C35" s="42">
        <v>77809000</v>
      </c>
      <c r="D35" s="35">
        <f>C35*$D$2</f>
        <v>6224720</v>
      </c>
      <c r="E35" s="35">
        <f>C35*$E$2</f>
        <v>1167135</v>
      </c>
      <c r="F35" s="35">
        <f>C35*$F$2</f>
        <v>778090</v>
      </c>
      <c r="G35" s="35">
        <f>SUM(D35:F35)</f>
        <v>8169945</v>
      </c>
      <c r="H35" s="35">
        <f>C35*$H$2</f>
        <v>13227530.000000002</v>
      </c>
      <c r="I35" s="35">
        <f>C35*$I$2</f>
        <v>389045</v>
      </c>
      <c r="J35" s="35">
        <f>C35*$J$2</f>
        <v>2334270</v>
      </c>
      <c r="K35" s="35">
        <f>C35*$K$2</f>
        <v>778090</v>
      </c>
      <c r="L35" s="35">
        <f t="shared" si="10"/>
        <v>1556180</v>
      </c>
      <c r="M35" s="35">
        <f>SUM(H35:L35)</f>
        <v>18285115</v>
      </c>
      <c r="N35" s="42">
        <v>96000000</v>
      </c>
      <c r="O35" s="36">
        <f>B35-G35-N35</f>
        <v>128864489.97471309</v>
      </c>
      <c r="P35" s="59"/>
      <c r="Q35" s="61"/>
    </row>
    <row r="36" spans="1:17" ht="14.25" x14ac:dyDescent="0.25">
      <c r="A36" s="33" t="s">
        <v>42</v>
      </c>
      <c r="B36" s="41">
        <v>267805635.12419873</v>
      </c>
      <c r="C36" s="42">
        <v>73755000</v>
      </c>
      <c r="D36" s="35">
        <f t="shared" ref="D36" si="35">C36*$D$2</f>
        <v>5900400</v>
      </c>
      <c r="E36" s="35">
        <f t="shared" ref="E36" si="36">C36*$E$2</f>
        <v>1106325</v>
      </c>
      <c r="F36" s="35">
        <f t="shared" ref="F36" si="37">C36*$F$2</f>
        <v>737550</v>
      </c>
      <c r="G36" s="35">
        <f t="shared" ref="G36" si="38">SUM(D36:F36)</f>
        <v>7744275</v>
      </c>
      <c r="H36" s="35">
        <f t="shared" ref="H36" si="39">C36*$H$2</f>
        <v>12538350</v>
      </c>
      <c r="I36" s="35">
        <f t="shared" si="7"/>
        <v>368775</v>
      </c>
      <c r="J36" s="35">
        <f t="shared" si="8"/>
        <v>2212650</v>
      </c>
      <c r="K36" s="35">
        <f t="shared" ref="K36" si="40">C36*$K$2</f>
        <v>737550</v>
      </c>
      <c r="L36" s="35">
        <f t="shared" si="10"/>
        <v>1475100</v>
      </c>
      <c r="M36" s="35">
        <f>SUM(H36:L36)</f>
        <v>17332425</v>
      </c>
      <c r="N36" s="42">
        <v>61000000</v>
      </c>
      <c r="O36" s="54">
        <f>B36-G36-N36</f>
        <v>199061360.12419873</v>
      </c>
      <c r="P36" s="59"/>
      <c r="Q36" s="61"/>
    </row>
    <row r="37" spans="1:17" x14ac:dyDescent="0.2">
      <c r="A37" s="29" t="s">
        <v>4</v>
      </c>
      <c r="B37" s="28">
        <f t="shared" ref="B37:O37" si="41">+B4+B20+B33</f>
        <v>3159407237.6659555</v>
      </c>
      <c r="C37" s="28">
        <f t="shared" si="41"/>
        <v>854844000</v>
      </c>
      <c r="D37" s="28">
        <f t="shared" si="41"/>
        <v>67723520</v>
      </c>
      <c r="E37" s="28">
        <f t="shared" si="41"/>
        <v>12698160</v>
      </c>
      <c r="F37" s="28">
        <f t="shared" si="41"/>
        <v>8465440</v>
      </c>
      <c r="G37" s="28">
        <f t="shared" si="41"/>
        <v>88887120</v>
      </c>
      <c r="H37" s="28">
        <f t="shared" si="41"/>
        <v>143912480</v>
      </c>
      <c r="I37" s="28">
        <f t="shared" si="41"/>
        <v>4274220</v>
      </c>
      <c r="J37" s="28">
        <f t="shared" si="41"/>
        <v>25396320</v>
      </c>
      <c r="K37" s="28">
        <f t="shared" si="41"/>
        <v>8465440</v>
      </c>
      <c r="L37" s="28">
        <f t="shared" si="41"/>
        <v>16930880</v>
      </c>
      <c r="M37" s="28">
        <f t="shared" si="41"/>
        <v>198979340</v>
      </c>
      <c r="N37" s="28">
        <f t="shared" si="41"/>
        <v>545600000</v>
      </c>
      <c r="O37" s="28">
        <f t="shared" si="41"/>
        <v>2524920117.665956</v>
      </c>
      <c r="P37" s="59"/>
      <c r="Q37" s="61"/>
    </row>
    <row r="38" spans="1:17" x14ac:dyDescent="0.2">
      <c r="O38" s="74">
        <v>2520700000</v>
      </c>
    </row>
    <row r="39" spans="1:17" ht="15" customHeight="1" x14ac:dyDescent="0.2">
      <c r="C39" s="39"/>
      <c r="J39" s="115" t="s">
        <v>117</v>
      </c>
      <c r="K39" s="115"/>
      <c r="L39" s="115"/>
      <c r="M39" s="115"/>
      <c r="N39" s="115"/>
      <c r="O39" s="39">
        <v>4200000</v>
      </c>
    </row>
    <row r="40" spans="1:17" x14ac:dyDescent="0.2">
      <c r="B40" s="91"/>
      <c r="O40" s="39"/>
    </row>
  </sheetData>
  <mergeCells count="1">
    <mergeCell ref="J39:N39"/>
  </mergeCell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"/>
  <sheetViews>
    <sheetView workbookViewId="0">
      <pane xSplit="3" ySplit="3" topLeftCell="I16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ColWidth="36.42578125" defaultRowHeight="12.75" x14ac:dyDescent="0.2"/>
  <cols>
    <col min="1" max="1" width="33.5703125" style="24" customWidth="1"/>
    <col min="2" max="2" width="14.28515625" style="93" customWidth="1"/>
    <col min="3" max="3" width="14.85546875" style="24" customWidth="1"/>
    <col min="4" max="7" width="12" style="24" customWidth="1"/>
    <col min="8" max="8" width="13.42578125" style="24" customWidth="1"/>
    <col min="9" max="9" width="11.42578125" style="24" customWidth="1"/>
    <col min="10" max="10" width="13" style="24" customWidth="1"/>
    <col min="11" max="11" width="10.7109375" style="24" customWidth="1"/>
    <col min="12" max="12" width="12.28515625" style="24" customWidth="1"/>
    <col min="13" max="13" width="12.7109375" style="24" customWidth="1"/>
    <col min="14" max="14" width="12.42578125" style="24" customWidth="1"/>
    <col min="15" max="15" width="16.28515625" style="24" customWidth="1"/>
    <col min="16" max="16" width="11.7109375" style="24" customWidth="1"/>
    <col min="17" max="17" width="12.140625" style="24" customWidth="1"/>
    <col min="18" max="16384" width="36.42578125" style="24"/>
  </cols>
  <sheetData>
    <row r="1" spans="1:17" x14ac:dyDescent="0.2">
      <c r="A1" s="20"/>
      <c r="B1" s="21"/>
      <c r="C1" s="20"/>
      <c r="D1" s="20"/>
      <c r="E1" s="20"/>
      <c r="F1" s="20"/>
      <c r="G1" s="22">
        <f>SUM(D2:F2)</f>
        <v>0.105</v>
      </c>
      <c r="H1" s="23"/>
      <c r="I1" s="23"/>
      <c r="J1" s="20" t="s">
        <v>21</v>
      </c>
      <c r="K1" s="22">
        <f>SUM(H2:K2)</f>
        <v>0.21500000000000002</v>
      </c>
      <c r="L1" s="20"/>
      <c r="M1" s="20"/>
      <c r="N1" s="20"/>
      <c r="O1" s="20"/>
    </row>
    <row r="2" spans="1:17" x14ac:dyDescent="0.2">
      <c r="A2" s="20"/>
      <c r="B2" s="21"/>
      <c r="C2" s="20"/>
      <c r="D2" s="47">
        <v>0.08</v>
      </c>
      <c r="E2" s="48">
        <v>1.4999999999999999E-2</v>
      </c>
      <c r="F2" s="47">
        <v>0.01</v>
      </c>
      <c r="G2" s="49"/>
      <c r="H2" s="50">
        <v>0.17</v>
      </c>
      <c r="I2" s="50">
        <v>5.0000000000000001E-3</v>
      </c>
      <c r="J2" s="51">
        <v>0.03</v>
      </c>
      <c r="K2" s="51">
        <v>0.01</v>
      </c>
      <c r="L2" s="26">
        <v>0.02</v>
      </c>
      <c r="M2" s="20">
        <f>SUM(H2:L2)</f>
        <v>0.23500000000000001</v>
      </c>
      <c r="N2" s="20"/>
      <c r="O2" s="20"/>
    </row>
    <row r="3" spans="1:17" x14ac:dyDescent="0.2">
      <c r="A3" s="27" t="s">
        <v>64</v>
      </c>
      <c r="B3" s="28" t="s">
        <v>17</v>
      </c>
      <c r="C3" s="29" t="s">
        <v>8</v>
      </c>
      <c r="D3" s="29" t="s">
        <v>9</v>
      </c>
      <c r="E3" s="29" t="s">
        <v>10</v>
      </c>
      <c r="F3" s="29" t="s">
        <v>11</v>
      </c>
      <c r="G3" s="29" t="s">
        <v>16</v>
      </c>
      <c r="H3" s="29" t="s">
        <v>12</v>
      </c>
      <c r="I3" s="29" t="s">
        <v>40</v>
      </c>
      <c r="J3" s="29" t="s">
        <v>13</v>
      </c>
      <c r="K3" s="29" t="s">
        <v>14</v>
      </c>
      <c r="L3" s="29" t="s">
        <v>15</v>
      </c>
      <c r="M3" s="29" t="s">
        <v>26</v>
      </c>
      <c r="N3" s="29" t="s">
        <v>0</v>
      </c>
      <c r="O3" s="29" t="s">
        <v>18</v>
      </c>
    </row>
    <row r="4" spans="1:17" s="32" customFormat="1" x14ac:dyDescent="0.2">
      <c r="A4" s="30" t="s">
        <v>1</v>
      </c>
      <c r="B4" s="31">
        <f>B5+B6+B11+B12+B13+B14+B15+B16+B17+B18+B19</f>
        <v>1088842381.5384614</v>
      </c>
      <c r="C4" s="31">
        <f>C5+C6+C11+C12+C13+C14+C15+C16+C17+C18+C19</f>
        <v>231954000</v>
      </c>
      <c r="D4" s="31">
        <f t="shared" ref="D4:N4" si="0">D5+D6+D11+D12+D13+D14+D15+D16+D17+D18+D19</f>
        <v>17892320</v>
      </c>
      <c r="E4" s="31">
        <f t="shared" si="0"/>
        <v>3354810</v>
      </c>
      <c r="F4" s="31">
        <f t="shared" si="0"/>
        <v>2236540</v>
      </c>
      <c r="G4" s="31">
        <f t="shared" si="0"/>
        <v>23483670</v>
      </c>
      <c r="H4" s="31">
        <f t="shared" si="0"/>
        <v>38021180.000000007</v>
      </c>
      <c r="I4" s="31">
        <f t="shared" si="0"/>
        <v>1159770</v>
      </c>
      <c r="J4" s="31">
        <f t="shared" si="0"/>
        <v>6709620</v>
      </c>
      <c r="K4" s="31">
        <f t="shared" si="0"/>
        <v>2236540</v>
      </c>
      <c r="L4" s="31">
        <f t="shared" si="0"/>
        <v>4473080</v>
      </c>
      <c r="M4" s="31">
        <f t="shared" si="0"/>
        <v>52600190</v>
      </c>
      <c r="N4" s="31">
        <f t="shared" si="0"/>
        <v>68000000</v>
      </c>
      <c r="O4" s="31">
        <f>O5+O6+O11+O12+O13+O14+O15+O16+O17+O18+O19</f>
        <v>997358711.53846145</v>
      </c>
      <c r="P4" s="62"/>
      <c r="Q4" s="62"/>
    </row>
    <row r="5" spans="1:17" ht="14.25" x14ac:dyDescent="0.2">
      <c r="A5" s="33" t="s">
        <v>5</v>
      </c>
      <c r="B5" s="52">
        <v>274670769.23076922</v>
      </c>
      <c r="C5" s="34">
        <v>11900000</v>
      </c>
      <c r="D5" s="35">
        <f>C5*$D$2</f>
        <v>952000</v>
      </c>
      <c r="E5" s="35">
        <f>C5*$E$2</f>
        <v>178500</v>
      </c>
      <c r="F5" s="35">
        <f>C5*$F$2</f>
        <v>119000</v>
      </c>
      <c r="G5" s="35">
        <f>SUM(D5:F5)</f>
        <v>1249500</v>
      </c>
      <c r="H5" s="35">
        <f>C5*$H$2</f>
        <v>2023000.0000000002</v>
      </c>
      <c r="I5" s="35">
        <f>C5*$I$2</f>
        <v>59500</v>
      </c>
      <c r="J5" s="35">
        <f>C5*$J$2</f>
        <v>357000</v>
      </c>
      <c r="K5" s="35">
        <f>C5*$K$2</f>
        <v>119000</v>
      </c>
      <c r="L5" s="35">
        <f>C5*$L$2</f>
        <v>238000</v>
      </c>
      <c r="M5" s="35">
        <f>SUM(H5:L5)</f>
        <v>2796500</v>
      </c>
      <c r="N5" s="34">
        <v>0</v>
      </c>
      <c r="O5" s="36">
        <f>B5-G5-N5</f>
        <v>273421269.23076922</v>
      </c>
      <c r="P5" s="61"/>
      <c r="Q5" s="59"/>
    </row>
    <row r="6" spans="1:17" s="69" customFormat="1" ht="15.75" x14ac:dyDescent="0.2">
      <c r="A6" s="33" t="s">
        <v>65</v>
      </c>
      <c r="B6" s="66">
        <f>SUM(B7:B10)</f>
        <v>180706612.30769229</v>
      </c>
      <c r="C6" s="66">
        <f>SUM(C7:C10)</f>
        <v>51677000</v>
      </c>
      <c r="D6" s="66">
        <f t="shared" ref="D6:O6" si="1">SUM(D7:D10)</f>
        <v>4134160</v>
      </c>
      <c r="E6" s="66">
        <f t="shared" si="1"/>
        <v>775155</v>
      </c>
      <c r="F6" s="66">
        <f t="shared" si="1"/>
        <v>516770</v>
      </c>
      <c r="G6" s="66">
        <f t="shared" si="1"/>
        <v>5426085</v>
      </c>
      <c r="H6" s="66">
        <f t="shared" si="1"/>
        <v>8785090.0000000019</v>
      </c>
      <c r="I6" s="66">
        <f t="shared" si="1"/>
        <v>258385</v>
      </c>
      <c r="J6" s="66">
        <f t="shared" si="1"/>
        <v>1550310</v>
      </c>
      <c r="K6" s="66">
        <f t="shared" si="1"/>
        <v>516770</v>
      </c>
      <c r="L6" s="66">
        <f t="shared" si="1"/>
        <v>1033540</v>
      </c>
      <c r="M6" s="66">
        <f t="shared" si="1"/>
        <v>12144095</v>
      </c>
      <c r="N6" s="66">
        <f t="shared" si="1"/>
        <v>11000000</v>
      </c>
      <c r="O6" s="75">
        <f t="shared" si="1"/>
        <v>164280527.30769229</v>
      </c>
      <c r="P6" s="67"/>
      <c r="Q6" s="68"/>
    </row>
    <row r="7" spans="1:17" ht="14.25" x14ac:dyDescent="0.2">
      <c r="A7" s="65" t="s">
        <v>66</v>
      </c>
      <c r="B7" s="45">
        <f>66468753.8461538+5600000</f>
        <v>72068753.846153796</v>
      </c>
      <c r="C7" s="45">
        <f>27277000-4577000</f>
        <v>22700000</v>
      </c>
      <c r="D7" s="35">
        <f t="shared" ref="D7:D10" si="2">C7*$D$2</f>
        <v>1816000</v>
      </c>
      <c r="E7" s="35">
        <f t="shared" ref="E7:E19" si="3">C7*$E$2</f>
        <v>340500</v>
      </c>
      <c r="F7" s="35">
        <f t="shared" ref="F7:F19" si="4">C7*$F$2</f>
        <v>227000</v>
      </c>
      <c r="G7" s="35">
        <f t="shared" ref="G7" si="5">SUM(D7:F7)</f>
        <v>2383500</v>
      </c>
      <c r="H7" s="35">
        <f t="shared" ref="H7:H19" si="6">C7*$H$2</f>
        <v>3859000.0000000005</v>
      </c>
      <c r="I7" s="35">
        <f t="shared" ref="I7:I36" si="7">C7*$I$2</f>
        <v>113500</v>
      </c>
      <c r="J7" s="35">
        <f t="shared" ref="J7:J36" si="8">C7*$J$2</f>
        <v>681000</v>
      </c>
      <c r="K7" s="35">
        <f t="shared" ref="K7:K19" si="9">C7*$K$2</f>
        <v>227000</v>
      </c>
      <c r="L7" s="35">
        <f t="shared" ref="L7:L36" si="10">C7*$L$2</f>
        <v>454000</v>
      </c>
      <c r="M7" s="35">
        <f t="shared" ref="M7:M10" si="11">SUM(H7:L7)</f>
        <v>5334500</v>
      </c>
      <c r="N7" s="58">
        <v>3000000</v>
      </c>
      <c r="O7" s="36">
        <f t="shared" ref="O7:O10" si="12">B7-G7-N7</f>
        <v>66685253.846153796</v>
      </c>
      <c r="P7" s="61"/>
      <c r="Q7" s="59"/>
    </row>
    <row r="8" spans="1:17" ht="14.25" x14ac:dyDescent="0.2">
      <c r="A8" s="65" t="s">
        <v>68</v>
      </c>
      <c r="B8" s="45">
        <f>45943076.9230769+800000</f>
        <v>46743076.923076898</v>
      </c>
      <c r="C8" s="34">
        <v>10000000</v>
      </c>
      <c r="D8" s="35">
        <f t="shared" si="2"/>
        <v>800000</v>
      </c>
      <c r="E8" s="35">
        <f t="shared" si="3"/>
        <v>150000</v>
      </c>
      <c r="F8" s="35">
        <f t="shared" si="4"/>
        <v>100000</v>
      </c>
      <c r="G8" s="35">
        <f t="shared" ref="G8:G10" si="13">SUM(D8:F8)</f>
        <v>1050000</v>
      </c>
      <c r="H8" s="35">
        <f t="shared" si="6"/>
        <v>1700000.0000000002</v>
      </c>
      <c r="I8" s="35">
        <f t="shared" si="7"/>
        <v>50000</v>
      </c>
      <c r="J8" s="35">
        <f t="shared" si="8"/>
        <v>300000</v>
      </c>
      <c r="K8" s="35">
        <f t="shared" si="9"/>
        <v>100000</v>
      </c>
      <c r="L8" s="35">
        <f t="shared" si="10"/>
        <v>200000</v>
      </c>
      <c r="M8" s="35">
        <f t="shared" si="11"/>
        <v>2350000</v>
      </c>
      <c r="N8" s="58">
        <v>0</v>
      </c>
      <c r="O8" s="36">
        <f t="shared" si="12"/>
        <v>45693076.923076898</v>
      </c>
      <c r="P8" s="61"/>
      <c r="Q8" s="59"/>
    </row>
    <row r="9" spans="1:17" ht="14.25" x14ac:dyDescent="0.2">
      <c r="A9" s="65" t="s">
        <v>104</v>
      </c>
      <c r="B9" s="45">
        <f>23340550.7692308+1000000</f>
        <v>24340550.769230802</v>
      </c>
      <c r="C9" s="34">
        <f>4800000+4577000</f>
        <v>9377000</v>
      </c>
      <c r="D9" s="35">
        <f t="shared" si="2"/>
        <v>750160</v>
      </c>
      <c r="E9" s="35">
        <f t="shared" si="3"/>
        <v>140655</v>
      </c>
      <c r="F9" s="35">
        <f t="shared" si="4"/>
        <v>93770</v>
      </c>
      <c r="G9" s="35">
        <f t="shared" si="13"/>
        <v>984585</v>
      </c>
      <c r="H9" s="35">
        <f t="shared" si="6"/>
        <v>1594090</v>
      </c>
      <c r="I9" s="35">
        <f t="shared" si="7"/>
        <v>46885</v>
      </c>
      <c r="J9" s="35">
        <f t="shared" si="8"/>
        <v>281310</v>
      </c>
      <c r="K9" s="35">
        <f t="shared" si="9"/>
        <v>93770</v>
      </c>
      <c r="L9" s="35">
        <f t="shared" si="10"/>
        <v>187540</v>
      </c>
      <c r="M9" s="35">
        <f t="shared" si="11"/>
        <v>2203595</v>
      </c>
      <c r="N9" s="58">
        <v>4000000</v>
      </c>
      <c r="O9" s="36">
        <f t="shared" si="12"/>
        <v>19355965.769230802</v>
      </c>
      <c r="P9" s="61"/>
      <c r="Q9" s="59"/>
    </row>
    <row r="10" spans="1:17" ht="14.25" x14ac:dyDescent="0.2">
      <c r="A10" s="65" t="s">
        <v>67</v>
      </c>
      <c r="B10" s="45">
        <f>36754230.7692308+800000</f>
        <v>37554230.769230798</v>
      </c>
      <c r="C10" s="34">
        <v>9600000</v>
      </c>
      <c r="D10" s="35">
        <f t="shared" si="2"/>
        <v>768000</v>
      </c>
      <c r="E10" s="35">
        <f t="shared" si="3"/>
        <v>144000</v>
      </c>
      <c r="F10" s="35">
        <f t="shared" si="4"/>
        <v>96000</v>
      </c>
      <c r="G10" s="35">
        <f t="shared" si="13"/>
        <v>1008000</v>
      </c>
      <c r="H10" s="35">
        <f t="shared" si="6"/>
        <v>1632000.0000000002</v>
      </c>
      <c r="I10" s="35">
        <f t="shared" si="7"/>
        <v>48000</v>
      </c>
      <c r="J10" s="35">
        <f t="shared" si="8"/>
        <v>288000</v>
      </c>
      <c r="K10" s="35">
        <f t="shared" si="9"/>
        <v>96000</v>
      </c>
      <c r="L10" s="35">
        <f t="shared" si="10"/>
        <v>192000</v>
      </c>
      <c r="M10" s="35">
        <f t="shared" si="11"/>
        <v>2256000</v>
      </c>
      <c r="N10" s="58">
        <v>4000000</v>
      </c>
      <c r="O10" s="36">
        <f t="shared" si="12"/>
        <v>32546230.769230798</v>
      </c>
      <c r="P10" s="61"/>
      <c r="Q10" s="59"/>
    </row>
    <row r="11" spans="1:17" ht="14.25" x14ac:dyDescent="0.2">
      <c r="A11" s="33" t="s">
        <v>25</v>
      </c>
      <c r="B11" s="45">
        <v>156879000</v>
      </c>
      <c r="C11" s="34">
        <f>38000000-C12+5100000+4800000+4800000</f>
        <v>44400000</v>
      </c>
      <c r="D11" s="35">
        <f>C11*$D$2</f>
        <v>3552000</v>
      </c>
      <c r="E11" s="35">
        <f t="shared" si="3"/>
        <v>666000</v>
      </c>
      <c r="F11" s="35">
        <f t="shared" si="4"/>
        <v>444000</v>
      </c>
      <c r="G11" s="35">
        <f t="shared" ref="G11:G18" si="14">SUM(D11:F11)</f>
        <v>4662000</v>
      </c>
      <c r="H11" s="35">
        <f t="shared" si="6"/>
        <v>7548000.0000000009</v>
      </c>
      <c r="I11" s="35">
        <f t="shared" si="7"/>
        <v>222000</v>
      </c>
      <c r="J11" s="35">
        <f t="shared" si="8"/>
        <v>1332000</v>
      </c>
      <c r="K11" s="35">
        <f t="shared" si="9"/>
        <v>444000</v>
      </c>
      <c r="L11" s="35">
        <f t="shared" si="10"/>
        <v>888000</v>
      </c>
      <c r="M11" s="35">
        <f t="shared" ref="M11:M30" si="15">SUM(H11:L11)</f>
        <v>10434000</v>
      </c>
      <c r="N11" s="58">
        <v>5000000</v>
      </c>
      <c r="O11" s="36">
        <f>B11-G11-N11</f>
        <v>147217000</v>
      </c>
      <c r="P11" s="61"/>
      <c r="Q11" s="59"/>
    </row>
    <row r="12" spans="1:17" ht="14.25" x14ac:dyDescent="0.2">
      <c r="A12" s="33" t="s">
        <v>25</v>
      </c>
      <c r="B12" s="45">
        <v>0</v>
      </c>
      <c r="C12" s="46">
        <v>8300000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f t="shared" si="7"/>
        <v>41500</v>
      </c>
      <c r="J12" s="35">
        <v>0</v>
      </c>
      <c r="K12" s="35">
        <v>0</v>
      </c>
      <c r="L12" s="35">
        <v>0</v>
      </c>
      <c r="M12" s="35">
        <f t="shared" si="15"/>
        <v>41500</v>
      </c>
      <c r="N12" s="55">
        <v>0</v>
      </c>
      <c r="O12" s="35">
        <v>0</v>
      </c>
      <c r="P12" s="61"/>
      <c r="Q12" s="59"/>
    </row>
    <row r="13" spans="1:17" ht="14.25" x14ac:dyDescent="0.2">
      <c r="A13" s="33" t="s">
        <v>7</v>
      </c>
      <c r="B13" s="45">
        <v>67123000</v>
      </c>
      <c r="C13" s="34">
        <v>27500000</v>
      </c>
      <c r="D13" s="35">
        <f t="shared" ref="D13:D19" si="16">C13*$D$2</f>
        <v>2200000</v>
      </c>
      <c r="E13" s="35">
        <f t="shared" si="3"/>
        <v>412500</v>
      </c>
      <c r="F13" s="35">
        <f t="shared" si="4"/>
        <v>275000</v>
      </c>
      <c r="G13" s="35">
        <f t="shared" si="14"/>
        <v>2887500</v>
      </c>
      <c r="H13" s="35">
        <f t="shared" si="6"/>
        <v>4675000</v>
      </c>
      <c r="I13" s="35">
        <f t="shared" si="7"/>
        <v>137500</v>
      </c>
      <c r="J13" s="35">
        <f t="shared" si="8"/>
        <v>825000</v>
      </c>
      <c r="K13" s="35">
        <f t="shared" si="9"/>
        <v>275000</v>
      </c>
      <c r="L13" s="35">
        <f t="shared" si="10"/>
        <v>550000</v>
      </c>
      <c r="M13" s="35">
        <f t="shared" si="15"/>
        <v>6462500</v>
      </c>
      <c r="N13" s="58">
        <v>0</v>
      </c>
      <c r="O13" s="36">
        <f t="shared" ref="O13:O19" si="17">B13-G13-N13</f>
        <v>64235500</v>
      </c>
      <c r="P13" s="61"/>
      <c r="Q13" s="59"/>
    </row>
    <row r="14" spans="1:17" ht="14.25" x14ac:dyDescent="0.2">
      <c r="A14" s="33" t="s">
        <v>19</v>
      </c>
      <c r="B14" s="45">
        <v>86207000</v>
      </c>
      <c r="C14" s="34">
        <v>23300000</v>
      </c>
      <c r="D14" s="35">
        <f t="shared" si="16"/>
        <v>1864000</v>
      </c>
      <c r="E14" s="35">
        <f t="shared" si="3"/>
        <v>349500</v>
      </c>
      <c r="F14" s="35">
        <f t="shared" si="4"/>
        <v>233000</v>
      </c>
      <c r="G14" s="35">
        <f t="shared" si="14"/>
        <v>2446500</v>
      </c>
      <c r="H14" s="35">
        <f t="shared" si="6"/>
        <v>3961000.0000000005</v>
      </c>
      <c r="I14" s="35">
        <f t="shared" si="7"/>
        <v>116500</v>
      </c>
      <c r="J14" s="35">
        <f t="shared" si="8"/>
        <v>699000</v>
      </c>
      <c r="K14" s="35">
        <f t="shared" si="9"/>
        <v>233000</v>
      </c>
      <c r="L14" s="35">
        <f t="shared" si="10"/>
        <v>466000</v>
      </c>
      <c r="M14" s="35">
        <f t="shared" si="15"/>
        <v>5475500</v>
      </c>
      <c r="N14" s="58">
        <v>10000000</v>
      </c>
      <c r="O14" s="36">
        <f t="shared" si="17"/>
        <v>73760500</v>
      </c>
      <c r="P14" s="61"/>
      <c r="Q14" s="59"/>
    </row>
    <row r="15" spans="1:17" ht="14.25" x14ac:dyDescent="0.2">
      <c r="A15" s="33" t="s">
        <v>20</v>
      </c>
      <c r="B15" s="45">
        <v>93898000</v>
      </c>
      <c r="C15" s="34">
        <f>25800000</f>
        <v>25800000</v>
      </c>
      <c r="D15" s="35">
        <f t="shared" si="16"/>
        <v>2064000</v>
      </c>
      <c r="E15" s="35">
        <f t="shared" si="3"/>
        <v>387000</v>
      </c>
      <c r="F15" s="35">
        <f t="shared" si="4"/>
        <v>258000</v>
      </c>
      <c r="G15" s="35">
        <f t="shared" si="14"/>
        <v>2709000</v>
      </c>
      <c r="H15" s="35">
        <f t="shared" si="6"/>
        <v>4386000</v>
      </c>
      <c r="I15" s="35">
        <f t="shared" si="7"/>
        <v>129000</v>
      </c>
      <c r="J15" s="35">
        <f t="shared" si="8"/>
        <v>774000</v>
      </c>
      <c r="K15" s="35">
        <f t="shared" si="9"/>
        <v>258000</v>
      </c>
      <c r="L15" s="35">
        <f t="shared" si="10"/>
        <v>516000</v>
      </c>
      <c r="M15" s="35">
        <f t="shared" si="15"/>
        <v>6063000</v>
      </c>
      <c r="N15" s="58">
        <v>32000000</v>
      </c>
      <c r="O15" s="36">
        <f t="shared" si="17"/>
        <v>59189000</v>
      </c>
      <c r="P15" s="61"/>
      <c r="Q15" s="59"/>
    </row>
    <row r="16" spans="1:17" ht="14.25" x14ac:dyDescent="0.2">
      <c r="A16" s="33" t="s">
        <v>6</v>
      </c>
      <c r="B16" s="45">
        <v>11930000</v>
      </c>
      <c r="C16" s="34">
        <v>5000000</v>
      </c>
      <c r="D16" s="35">
        <f t="shared" si="16"/>
        <v>400000</v>
      </c>
      <c r="E16" s="35">
        <f t="shared" si="3"/>
        <v>75000</v>
      </c>
      <c r="F16" s="35">
        <f t="shared" si="4"/>
        <v>50000</v>
      </c>
      <c r="G16" s="35">
        <f t="shared" si="14"/>
        <v>525000</v>
      </c>
      <c r="H16" s="35">
        <f t="shared" si="6"/>
        <v>850000.00000000012</v>
      </c>
      <c r="I16" s="35">
        <f t="shared" si="7"/>
        <v>25000</v>
      </c>
      <c r="J16" s="35">
        <f t="shared" si="8"/>
        <v>150000</v>
      </c>
      <c r="K16" s="35">
        <f t="shared" si="9"/>
        <v>50000</v>
      </c>
      <c r="L16" s="35">
        <f t="shared" si="10"/>
        <v>100000</v>
      </c>
      <c r="M16" s="35">
        <f t="shared" si="15"/>
        <v>1175000</v>
      </c>
      <c r="N16" s="58">
        <v>0</v>
      </c>
      <c r="O16" s="36">
        <f t="shared" si="17"/>
        <v>11405000</v>
      </c>
      <c r="P16" s="61"/>
      <c r="Q16" s="59"/>
    </row>
    <row r="17" spans="1:17" ht="14.25" x14ac:dyDescent="0.2">
      <c r="A17" s="56" t="s">
        <v>103</v>
      </c>
      <c r="B17" s="45">
        <v>50327000</v>
      </c>
      <c r="C17" s="34">
        <v>0</v>
      </c>
      <c r="D17" s="35">
        <f t="shared" si="16"/>
        <v>0</v>
      </c>
      <c r="E17" s="35">
        <f t="shared" si="3"/>
        <v>0</v>
      </c>
      <c r="F17" s="35">
        <f t="shared" si="4"/>
        <v>0</v>
      </c>
      <c r="G17" s="35">
        <f t="shared" ref="G17" si="18">SUM(D17:F17)</f>
        <v>0</v>
      </c>
      <c r="H17" s="35">
        <f t="shared" si="6"/>
        <v>0</v>
      </c>
      <c r="I17" s="35">
        <f t="shared" si="7"/>
        <v>0</v>
      </c>
      <c r="J17" s="35">
        <f t="shared" si="8"/>
        <v>0</v>
      </c>
      <c r="K17" s="35">
        <f t="shared" si="9"/>
        <v>0</v>
      </c>
      <c r="L17" s="35">
        <f t="shared" si="10"/>
        <v>0</v>
      </c>
      <c r="M17" s="35">
        <f t="shared" si="15"/>
        <v>0</v>
      </c>
      <c r="N17" s="34">
        <v>0</v>
      </c>
      <c r="O17" s="36">
        <f t="shared" si="17"/>
        <v>50327000</v>
      </c>
      <c r="P17" s="61"/>
      <c r="Q17" s="59"/>
    </row>
    <row r="18" spans="1:17" ht="14.25" x14ac:dyDescent="0.2">
      <c r="A18" s="33" t="s">
        <v>70</v>
      </c>
      <c r="B18" s="45">
        <v>79470000</v>
      </c>
      <c r="C18" s="34">
        <v>9577000</v>
      </c>
      <c r="D18" s="35">
        <f>C18*$D$2</f>
        <v>766160</v>
      </c>
      <c r="E18" s="35">
        <f t="shared" si="3"/>
        <v>143655</v>
      </c>
      <c r="F18" s="35">
        <f t="shared" si="4"/>
        <v>95770</v>
      </c>
      <c r="G18" s="35">
        <f t="shared" si="14"/>
        <v>1005585</v>
      </c>
      <c r="H18" s="35">
        <f t="shared" si="6"/>
        <v>1628090.0000000002</v>
      </c>
      <c r="I18" s="35">
        <f t="shared" si="7"/>
        <v>47885</v>
      </c>
      <c r="J18" s="35">
        <f t="shared" si="8"/>
        <v>287310</v>
      </c>
      <c r="K18" s="35">
        <f t="shared" si="9"/>
        <v>95770</v>
      </c>
      <c r="L18" s="35">
        <f t="shared" si="10"/>
        <v>191540</v>
      </c>
      <c r="M18" s="35">
        <f t="shared" si="15"/>
        <v>2250595</v>
      </c>
      <c r="N18" s="34">
        <v>3000000</v>
      </c>
      <c r="O18" s="36">
        <f t="shared" si="17"/>
        <v>75464415</v>
      </c>
      <c r="P18" s="61"/>
      <c r="Q18" s="59"/>
    </row>
    <row r="19" spans="1:17" s="25" customFormat="1" ht="14.25" x14ac:dyDescent="0.2">
      <c r="A19" s="33" t="s">
        <v>71</v>
      </c>
      <c r="B19" s="63">
        <v>87631000</v>
      </c>
      <c r="C19" s="57">
        <v>24500000</v>
      </c>
      <c r="D19" s="35">
        <f t="shared" si="16"/>
        <v>1960000</v>
      </c>
      <c r="E19" s="35">
        <f t="shared" si="3"/>
        <v>367500</v>
      </c>
      <c r="F19" s="35">
        <f t="shared" si="4"/>
        <v>245000</v>
      </c>
      <c r="G19" s="35">
        <f t="shared" ref="G19" si="19">SUM(D19:F19)</f>
        <v>2572500</v>
      </c>
      <c r="H19" s="35">
        <f t="shared" si="6"/>
        <v>4165000.0000000005</v>
      </c>
      <c r="I19" s="35">
        <f t="shared" si="7"/>
        <v>122500</v>
      </c>
      <c r="J19" s="35">
        <f t="shared" si="8"/>
        <v>735000</v>
      </c>
      <c r="K19" s="35">
        <f t="shared" si="9"/>
        <v>245000</v>
      </c>
      <c r="L19" s="35">
        <f t="shared" si="10"/>
        <v>490000</v>
      </c>
      <c r="M19" s="35">
        <f t="shared" si="15"/>
        <v>5757500</v>
      </c>
      <c r="N19" s="57">
        <v>7000000</v>
      </c>
      <c r="O19" s="36">
        <f t="shared" si="17"/>
        <v>78058500</v>
      </c>
      <c r="P19" s="60"/>
      <c r="Q19" s="60"/>
    </row>
    <row r="20" spans="1:17" s="32" customFormat="1" x14ac:dyDescent="0.2">
      <c r="A20" s="30" t="s">
        <v>2</v>
      </c>
      <c r="B20" s="31">
        <f>SUM(B21:B32)</f>
        <v>741861706.54184628</v>
      </c>
      <c r="C20" s="31">
        <f>SUM(C21:C32)</f>
        <v>189224000</v>
      </c>
      <c r="D20" s="31">
        <f t="shared" ref="D20:H20" si="20">SUM(D21:D32)</f>
        <v>15137920</v>
      </c>
      <c r="E20" s="31">
        <f t="shared" si="20"/>
        <v>2838360</v>
      </c>
      <c r="F20" s="31">
        <f t="shared" si="20"/>
        <v>1892240</v>
      </c>
      <c r="G20" s="31">
        <f t="shared" si="20"/>
        <v>19868520</v>
      </c>
      <c r="H20" s="31">
        <f t="shared" si="20"/>
        <v>32168080</v>
      </c>
      <c r="I20" s="31">
        <f>SUM(I21:I32)</f>
        <v>946120</v>
      </c>
      <c r="J20" s="31">
        <f t="shared" ref="J20:N20" si="21">SUM(J21:J32)</f>
        <v>5676720</v>
      </c>
      <c r="K20" s="31">
        <f t="shared" si="21"/>
        <v>1892240</v>
      </c>
      <c r="L20" s="31">
        <f t="shared" si="21"/>
        <v>3784480</v>
      </c>
      <c r="M20" s="31">
        <f t="shared" si="21"/>
        <v>44467640</v>
      </c>
      <c r="N20" s="31">
        <f t="shared" si="21"/>
        <v>117500000</v>
      </c>
      <c r="O20" s="31">
        <f>SUM(O21:O32)</f>
        <v>604493186.54184639</v>
      </c>
      <c r="P20" s="62"/>
      <c r="Q20" s="62"/>
    </row>
    <row r="21" spans="1:17" ht="14.25" x14ac:dyDescent="0.2">
      <c r="A21" s="76" t="s">
        <v>105</v>
      </c>
      <c r="B21" s="37">
        <f>62273369.2307692+4400000</f>
        <v>66673369.230769202</v>
      </c>
      <c r="C21" s="38">
        <f>8300000+4800000</f>
        <v>13100000</v>
      </c>
      <c r="D21" s="35">
        <f>C21*$D$2</f>
        <v>1048000</v>
      </c>
      <c r="E21" s="35">
        <f>C21*$E$2</f>
        <v>196500</v>
      </c>
      <c r="F21" s="35">
        <f>C21*$F$2</f>
        <v>131000</v>
      </c>
      <c r="G21" s="35">
        <f>SUM(D21:F21)</f>
        <v>1375500</v>
      </c>
      <c r="H21" s="35">
        <f>C21*$H$2</f>
        <v>2227000</v>
      </c>
      <c r="I21" s="35">
        <f t="shared" si="7"/>
        <v>65500</v>
      </c>
      <c r="J21" s="35">
        <f t="shared" si="8"/>
        <v>393000</v>
      </c>
      <c r="K21" s="35">
        <f>C21*$K$2</f>
        <v>131000</v>
      </c>
      <c r="L21" s="35">
        <f t="shared" si="10"/>
        <v>262000</v>
      </c>
      <c r="M21" s="35">
        <f t="shared" si="15"/>
        <v>3078500</v>
      </c>
      <c r="N21" s="38">
        <v>3000000</v>
      </c>
      <c r="O21" s="35">
        <f>B21-G21-N21</f>
        <v>62297869.230769202</v>
      </c>
      <c r="P21" s="59"/>
      <c r="Q21" s="59"/>
    </row>
    <row r="22" spans="1:17" ht="14.25" x14ac:dyDescent="0.2">
      <c r="A22" s="65" t="s">
        <v>58</v>
      </c>
      <c r="B22" s="37">
        <f>52208750+1200000</f>
        <v>53408750</v>
      </c>
      <c r="C22" s="38">
        <f>4800000*3</f>
        <v>14400000</v>
      </c>
      <c r="D22" s="35">
        <f>C22*$D$2</f>
        <v>1152000</v>
      </c>
      <c r="E22" s="35">
        <f>C22*$E$2</f>
        <v>216000</v>
      </c>
      <c r="F22" s="35">
        <f>C22*$F$2</f>
        <v>144000</v>
      </c>
      <c r="G22" s="35">
        <f>SUM(D22:F22)</f>
        <v>1512000</v>
      </c>
      <c r="H22" s="35">
        <f>C22*$H$2</f>
        <v>2448000</v>
      </c>
      <c r="I22" s="35">
        <f t="shared" si="7"/>
        <v>72000</v>
      </c>
      <c r="J22" s="35">
        <f t="shared" si="8"/>
        <v>432000</v>
      </c>
      <c r="K22" s="35">
        <f>C22*$K$2</f>
        <v>144000</v>
      </c>
      <c r="L22" s="35">
        <f t="shared" si="10"/>
        <v>288000</v>
      </c>
      <c r="M22" s="35">
        <f t="shared" si="15"/>
        <v>3384000</v>
      </c>
      <c r="N22" s="38">
        <v>0</v>
      </c>
      <c r="O22" s="35">
        <f>B22-G22-N22</f>
        <v>51896750</v>
      </c>
      <c r="P22" s="61"/>
      <c r="Q22" s="59"/>
    </row>
    <row r="23" spans="1:17" ht="14.25" x14ac:dyDescent="0.2">
      <c r="A23" s="65" t="s">
        <v>62</v>
      </c>
      <c r="B23" s="37">
        <f>75507738.4615385+1600000</f>
        <v>77107738.461538494</v>
      </c>
      <c r="C23" s="38">
        <f>5100000+4800000*2</f>
        <v>14700000</v>
      </c>
      <c r="D23" s="35">
        <f t="shared" ref="D23:D31" si="22">C23*$D$2</f>
        <v>1176000</v>
      </c>
      <c r="E23" s="35">
        <f t="shared" ref="E23:E31" si="23">C23*$E$2</f>
        <v>220500</v>
      </c>
      <c r="F23" s="35">
        <f t="shared" ref="F23:F31" si="24">C23*$F$2</f>
        <v>147000</v>
      </c>
      <c r="G23" s="35">
        <f t="shared" ref="G23:G26" si="25">SUM(D23:F23)</f>
        <v>1543500</v>
      </c>
      <c r="H23" s="35">
        <f t="shared" ref="H23:H31" si="26">C23*$H$2</f>
        <v>2499000</v>
      </c>
      <c r="I23" s="35">
        <f t="shared" si="7"/>
        <v>73500</v>
      </c>
      <c r="J23" s="35">
        <f t="shared" si="8"/>
        <v>441000</v>
      </c>
      <c r="K23" s="35">
        <f t="shared" ref="K23:K31" si="27">C23*$K$2</f>
        <v>147000</v>
      </c>
      <c r="L23" s="35">
        <f t="shared" si="10"/>
        <v>294000</v>
      </c>
      <c r="M23" s="35">
        <f t="shared" si="15"/>
        <v>3454500</v>
      </c>
      <c r="N23" s="38">
        <v>0</v>
      </c>
      <c r="O23" s="35">
        <f>B23-G23-N23</f>
        <v>75564238.461538494</v>
      </c>
      <c r="P23" s="61"/>
      <c r="Q23" s="59"/>
    </row>
    <row r="24" spans="1:17" ht="14.25" x14ac:dyDescent="0.2">
      <c r="A24" s="65" t="s">
        <v>59</v>
      </c>
      <c r="B24" s="37">
        <f>72522307.6923077+2400000</f>
        <v>74922307.692307696</v>
      </c>
      <c r="C24" s="38">
        <f>4800000*4</f>
        <v>19200000</v>
      </c>
      <c r="D24" s="35">
        <f t="shared" si="22"/>
        <v>1536000</v>
      </c>
      <c r="E24" s="35">
        <f t="shared" si="23"/>
        <v>288000</v>
      </c>
      <c r="F24" s="35">
        <f t="shared" si="24"/>
        <v>192000</v>
      </c>
      <c r="G24" s="35">
        <f t="shared" si="25"/>
        <v>2016000</v>
      </c>
      <c r="H24" s="35">
        <f t="shared" si="26"/>
        <v>3264000.0000000005</v>
      </c>
      <c r="I24" s="35">
        <f t="shared" si="7"/>
        <v>96000</v>
      </c>
      <c r="J24" s="35">
        <f t="shared" si="8"/>
        <v>576000</v>
      </c>
      <c r="K24" s="35">
        <f t="shared" si="27"/>
        <v>192000</v>
      </c>
      <c r="L24" s="35">
        <f t="shared" si="10"/>
        <v>384000</v>
      </c>
      <c r="M24" s="35">
        <f t="shared" si="15"/>
        <v>4512000</v>
      </c>
      <c r="N24" s="38">
        <v>0</v>
      </c>
      <c r="O24" s="35">
        <f t="shared" ref="O24:O31" si="28">B24-G24-N24</f>
        <v>72906307.692307696</v>
      </c>
      <c r="P24" s="59"/>
      <c r="Q24" s="59"/>
    </row>
    <row r="25" spans="1:17" ht="14.25" x14ac:dyDescent="0.2">
      <c r="A25" s="65" t="s">
        <v>60</v>
      </c>
      <c r="B25" s="92">
        <f>15667403.8461538+800000</f>
        <v>16467403.846153799</v>
      </c>
      <c r="C25" s="38">
        <v>0</v>
      </c>
      <c r="D25" s="35">
        <f t="shared" si="22"/>
        <v>0</v>
      </c>
      <c r="E25" s="35">
        <f t="shared" si="23"/>
        <v>0</v>
      </c>
      <c r="F25" s="35">
        <f t="shared" si="24"/>
        <v>0</v>
      </c>
      <c r="G25" s="35">
        <f t="shared" si="25"/>
        <v>0</v>
      </c>
      <c r="H25" s="35">
        <f t="shared" si="26"/>
        <v>0</v>
      </c>
      <c r="I25" s="35">
        <f t="shared" si="7"/>
        <v>0</v>
      </c>
      <c r="J25" s="35">
        <f t="shared" si="8"/>
        <v>0</v>
      </c>
      <c r="K25" s="35">
        <f t="shared" si="27"/>
        <v>0</v>
      </c>
      <c r="L25" s="35">
        <f t="shared" si="10"/>
        <v>0</v>
      </c>
      <c r="M25" s="35">
        <f t="shared" si="15"/>
        <v>0</v>
      </c>
      <c r="N25" s="38">
        <v>0</v>
      </c>
      <c r="O25" s="35">
        <f t="shared" si="28"/>
        <v>16467403.846153799</v>
      </c>
      <c r="P25" s="59"/>
      <c r="Q25" s="59"/>
    </row>
    <row r="26" spans="1:17" ht="14.25" x14ac:dyDescent="0.2">
      <c r="A26" s="65" t="s">
        <v>61</v>
      </c>
      <c r="B26" s="37">
        <f>58019096.1538462+1200000</f>
        <v>59219096.153846197</v>
      </c>
      <c r="C26" s="38">
        <v>19500000</v>
      </c>
      <c r="D26" s="35">
        <f t="shared" si="22"/>
        <v>1560000</v>
      </c>
      <c r="E26" s="35">
        <f t="shared" si="23"/>
        <v>292500</v>
      </c>
      <c r="F26" s="35">
        <f t="shared" si="24"/>
        <v>195000</v>
      </c>
      <c r="G26" s="35">
        <f t="shared" si="25"/>
        <v>2047500</v>
      </c>
      <c r="H26" s="35">
        <f t="shared" si="26"/>
        <v>3315000.0000000005</v>
      </c>
      <c r="I26" s="35">
        <f t="shared" si="7"/>
        <v>97500</v>
      </c>
      <c r="J26" s="35">
        <f t="shared" si="8"/>
        <v>585000</v>
      </c>
      <c r="K26" s="35">
        <f t="shared" si="27"/>
        <v>195000</v>
      </c>
      <c r="L26" s="35">
        <f t="shared" si="10"/>
        <v>390000</v>
      </c>
      <c r="M26" s="35">
        <f t="shared" si="15"/>
        <v>4582500</v>
      </c>
      <c r="N26" s="38">
        <v>0</v>
      </c>
      <c r="O26" s="35">
        <f t="shared" si="28"/>
        <v>57171596.153846197</v>
      </c>
      <c r="P26" s="59"/>
      <c r="Q26" s="59"/>
    </row>
    <row r="27" spans="1:17" ht="14.25" x14ac:dyDescent="0.2">
      <c r="A27" s="76" t="s">
        <v>106</v>
      </c>
      <c r="B27" s="37">
        <f>51148396.1538462+2000000</f>
        <v>53148396.153846197</v>
      </c>
      <c r="C27" s="38">
        <v>15000000</v>
      </c>
      <c r="D27" s="35">
        <f t="shared" si="22"/>
        <v>1200000</v>
      </c>
      <c r="E27" s="35">
        <f t="shared" si="23"/>
        <v>225000</v>
      </c>
      <c r="F27" s="35">
        <f t="shared" si="24"/>
        <v>150000</v>
      </c>
      <c r="G27" s="35">
        <f t="shared" ref="G27:G31" si="29">SUM(D27:F27)</f>
        <v>1575000</v>
      </c>
      <c r="H27" s="35">
        <f t="shared" si="26"/>
        <v>2550000</v>
      </c>
      <c r="I27" s="35">
        <f t="shared" si="7"/>
        <v>75000</v>
      </c>
      <c r="J27" s="35">
        <f t="shared" si="8"/>
        <v>450000</v>
      </c>
      <c r="K27" s="35">
        <f t="shared" si="27"/>
        <v>150000</v>
      </c>
      <c r="L27" s="35">
        <f t="shared" si="10"/>
        <v>300000</v>
      </c>
      <c r="M27" s="35">
        <f t="shared" ref="M27" si="30">SUM(H27:L27)</f>
        <v>3525000</v>
      </c>
      <c r="N27" s="38">
        <v>9500000</v>
      </c>
      <c r="O27" s="35">
        <f t="shared" si="28"/>
        <v>42073396.153846197</v>
      </c>
      <c r="P27" s="59"/>
      <c r="Q27" s="59"/>
    </row>
    <row r="28" spans="1:17" ht="14.25" x14ac:dyDescent="0.2">
      <c r="A28" s="65" t="s">
        <v>22</v>
      </c>
      <c r="B28" s="37">
        <f>107780279.846154+3200000</f>
        <v>110980279.846154</v>
      </c>
      <c r="C28" s="38">
        <v>28800000</v>
      </c>
      <c r="D28" s="35">
        <f t="shared" si="22"/>
        <v>2304000</v>
      </c>
      <c r="E28" s="35">
        <f t="shared" si="23"/>
        <v>432000</v>
      </c>
      <c r="F28" s="35">
        <f t="shared" si="24"/>
        <v>288000</v>
      </c>
      <c r="G28" s="35">
        <f t="shared" si="29"/>
        <v>3024000</v>
      </c>
      <c r="H28" s="35">
        <f t="shared" si="26"/>
        <v>4896000</v>
      </c>
      <c r="I28" s="35">
        <f t="shared" si="7"/>
        <v>144000</v>
      </c>
      <c r="J28" s="35">
        <f t="shared" si="8"/>
        <v>864000</v>
      </c>
      <c r="K28" s="35">
        <f t="shared" si="27"/>
        <v>288000</v>
      </c>
      <c r="L28" s="35">
        <f t="shared" si="10"/>
        <v>576000</v>
      </c>
      <c r="M28" s="35">
        <f t="shared" si="15"/>
        <v>6768000</v>
      </c>
      <c r="N28" s="38">
        <v>32000000</v>
      </c>
      <c r="O28" s="35">
        <f t="shared" si="28"/>
        <v>75956279.846154004</v>
      </c>
      <c r="P28" s="61"/>
      <c r="Q28" s="59"/>
    </row>
    <row r="29" spans="1:17" ht="14.25" x14ac:dyDescent="0.2">
      <c r="A29" s="76" t="s">
        <v>107</v>
      </c>
      <c r="B29" s="37">
        <f>27425249.2307692+800000</f>
        <v>28225249.230769198</v>
      </c>
      <c r="C29" s="38">
        <v>9600000</v>
      </c>
      <c r="D29" s="35">
        <f t="shared" si="22"/>
        <v>768000</v>
      </c>
      <c r="E29" s="35">
        <f t="shared" si="23"/>
        <v>144000</v>
      </c>
      <c r="F29" s="35">
        <f t="shared" si="24"/>
        <v>96000</v>
      </c>
      <c r="G29" s="35">
        <f t="shared" si="29"/>
        <v>1008000</v>
      </c>
      <c r="H29" s="35">
        <f t="shared" si="26"/>
        <v>1632000.0000000002</v>
      </c>
      <c r="I29" s="35">
        <f t="shared" si="7"/>
        <v>48000</v>
      </c>
      <c r="J29" s="35">
        <f t="shared" si="8"/>
        <v>288000</v>
      </c>
      <c r="K29" s="35">
        <f t="shared" si="27"/>
        <v>96000</v>
      </c>
      <c r="L29" s="35">
        <f t="shared" si="10"/>
        <v>192000</v>
      </c>
      <c r="M29" s="35">
        <f t="shared" ref="M29" si="31">SUM(H29:L29)</f>
        <v>2256000</v>
      </c>
      <c r="N29" s="38">
        <v>9000000</v>
      </c>
      <c r="O29" s="35">
        <f t="shared" si="28"/>
        <v>18217249.230769198</v>
      </c>
      <c r="P29" s="61"/>
      <c r="Q29" s="59"/>
    </row>
    <row r="30" spans="1:17" ht="14.25" x14ac:dyDescent="0.2">
      <c r="A30" s="65" t="s">
        <v>23</v>
      </c>
      <c r="B30" s="37">
        <f>115412666.976923+2800000</f>
        <v>118212666.976923</v>
      </c>
      <c r="C30" s="38">
        <f>32039000-4577000</f>
        <v>27462000</v>
      </c>
      <c r="D30" s="35">
        <f t="shared" si="22"/>
        <v>2196960</v>
      </c>
      <c r="E30" s="35">
        <f t="shared" si="23"/>
        <v>411930</v>
      </c>
      <c r="F30" s="35">
        <f t="shared" si="24"/>
        <v>274620</v>
      </c>
      <c r="G30" s="35">
        <f t="shared" si="29"/>
        <v>2883510</v>
      </c>
      <c r="H30" s="35">
        <f t="shared" si="26"/>
        <v>4668540</v>
      </c>
      <c r="I30" s="35">
        <f t="shared" si="7"/>
        <v>137310</v>
      </c>
      <c r="J30" s="35">
        <f t="shared" si="8"/>
        <v>823860</v>
      </c>
      <c r="K30" s="35">
        <f t="shared" si="27"/>
        <v>274620</v>
      </c>
      <c r="L30" s="35">
        <f t="shared" si="10"/>
        <v>549240</v>
      </c>
      <c r="M30" s="35">
        <f t="shared" si="15"/>
        <v>6453570</v>
      </c>
      <c r="N30" s="38">
        <v>42000000</v>
      </c>
      <c r="O30" s="35">
        <f t="shared" si="28"/>
        <v>73329156.976923004</v>
      </c>
      <c r="P30" s="61"/>
      <c r="Q30" s="59"/>
    </row>
    <row r="31" spans="1:17" ht="14.25" x14ac:dyDescent="0.2">
      <c r="A31" s="76" t="s">
        <v>108</v>
      </c>
      <c r="B31" s="37">
        <f>18105952.2347692+400000</f>
        <v>18505952.234769199</v>
      </c>
      <c r="C31" s="38">
        <v>0</v>
      </c>
      <c r="D31" s="35">
        <f t="shared" si="22"/>
        <v>0</v>
      </c>
      <c r="E31" s="35">
        <f t="shared" si="23"/>
        <v>0</v>
      </c>
      <c r="F31" s="35">
        <f t="shared" si="24"/>
        <v>0</v>
      </c>
      <c r="G31" s="35">
        <f t="shared" si="29"/>
        <v>0</v>
      </c>
      <c r="H31" s="35">
        <f t="shared" si="26"/>
        <v>0</v>
      </c>
      <c r="I31" s="35">
        <f t="shared" si="7"/>
        <v>0</v>
      </c>
      <c r="J31" s="35">
        <f t="shared" si="8"/>
        <v>0</v>
      </c>
      <c r="K31" s="35">
        <f t="shared" si="27"/>
        <v>0</v>
      </c>
      <c r="L31" s="35">
        <f t="shared" si="10"/>
        <v>0</v>
      </c>
      <c r="M31" s="35">
        <f t="shared" ref="M31" si="32">SUM(H31:L31)</f>
        <v>0</v>
      </c>
      <c r="N31" s="38">
        <v>6000000</v>
      </c>
      <c r="O31" s="35">
        <f t="shared" si="28"/>
        <v>12505952.234769199</v>
      </c>
      <c r="P31" s="61"/>
      <c r="Q31" s="59"/>
    </row>
    <row r="32" spans="1:17" ht="14.25" x14ac:dyDescent="0.2">
      <c r="A32" s="65" t="s">
        <v>3</v>
      </c>
      <c r="B32" s="37">
        <f>63390496.7147692+1600000</f>
        <v>64990496.714769199</v>
      </c>
      <c r="C32" s="38">
        <v>27462000</v>
      </c>
      <c r="D32" s="35">
        <f>C32*$D$2</f>
        <v>2196960</v>
      </c>
      <c r="E32" s="35">
        <f>C32*$E$2</f>
        <v>411930</v>
      </c>
      <c r="F32" s="35">
        <f>C32*$F$2</f>
        <v>274620</v>
      </c>
      <c r="G32" s="35">
        <f>SUM(D32:F32)</f>
        <v>2883510</v>
      </c>
      <c r="H32" s="35">
        <f>C32*$H$2</f>
        <v>4668540</v>
      </c>
      <c r="I32" s="35">
        <f>C32*$I$2</f>
        <v>137310</v>
      </c>
      <c r="J32" s="35">
        <f>C32*$J$2</f>
        <v>823860</v>
      </c>
      <c r="K32" s="35">
        <f>C32*$K$2</f>
        <v>274620</v>
      </c>
      <c r="L32" s="35">
        <f>C32*$L$2</f>
        <v>549240</v>
      </c>
      <c r="M32" s="35">
        <f>SUM(H32:L32)</f>
        <v>6453570</v>
      </c>
      <c r="N32" s="38">
        <v>16000000</v>
      </c>
      <c r="O32" s="35">
        <f>B32-G32-N32</f>
        <v>46106986.714769199</v>
      </c>
      <c r="P32" s="61"/>
      <c r="Q32" s="59"/>
    </row>
    <row r="33" spans="1:17" s="32" customFormat="1" x14ac:dyDescent="0.2">
      <c r="A33" s="30" t="s">
        <v>24</v>
      </c>
      <c r="B33" s="31">
        <f>SUM(B34:B36)</f>
        <v>1244439971.5659773</v>
      </c>
      <c r="C33" s="31">
        <f t="shared" ref="C33:N33" si="33">SUM(C34:C36)</f>
        <v>409235000</v>
      </c>
      <c r="D33" s="31">
        <f t="shared" si="33"/>
        <v>32738800</v>
      </c>
      <c r="E33" s="31">
        <f t="shared" si="33"/>
        <v>6138525</v>
      </c>
      <c r="F33" s="31">
        <f t="shared" si="33"/>
        <v>4092350</v>
      </c>
      <c r="G33" s="31">
        <f t="shared" si="33"/>
        <v>42969675</v>
      </c>
      <c r="H33" s="31">
        <f t="shared" si="33"/>
        <v>69569950</v>
      </c>
      <c r="I33" s="31">
        <f>SUM(I34:I36)</f>
        <v>2046175</v>
      </c>
      <c r="J33" s="31">
        <f t="shared" si="33"/>
        <v>12277050</v>
      </c>
      <c r="K33" s="31">
        <f t="shared" si="33"/>
        <v>4092350</v>
      </c>
      <c r="L33" s="31">
        <f t="shared" si="33"/>
        <v>8184700</v>
      </c>
      <c r="M33" s="31">
        <f t="shared" si="33"/>
        <v>96170225</v>
      </c>
      <c r="N33" s="31">
        <f t="shared" si="33"/>
        <v>349600000</v>
      </c>
      <c r="O33" s="31">
        <f>SUM(O34:O36)</f>
        <v>851870296.56597733</v>
      </c>
      <c r="P33" s="62"/>
      <c r="Q33" s="62"/>
    </row>
    <row r="34" spans="1:17" ht="64.5" x14ac:dyDescent="0.25">
      <c r="A34" s="40" t="s">
        <v>43</v>
      </c>
      <c r="B34" s="41">
        <v>780265390.50308251</v>
      </c>
      <c r="C34" s="42">
        <f>276902000-5500000</f>
        <v>271402000</v>
      </c>
      <c r="D34" s="35">
        <f>C34*$D$2</f>
        <v>21712160</v>
      </c>
      <c r="E34" s="35">
        <f>C34*$E$2</f>
        <v>4071030</v>
      </c>
      <c r="F34" s="35">
        <f>C34*$F$2</f>
        <v>2714020</v>
      </c>
      <c r="G34" s="35">
        <f>SUM(D34:F34)</f>
        <v>28497210</v>
      </c>
      <c r="H34" s="35">
        <f>C34*$H$2</f>
        <v>46138340</v>
      </c>
      <c r="I34" s="35">
        <f t="shared" si="7"/>
        <v>1357010</v>
      </c>
      <c r="J34" s="35">
        <f t="shared" si="8"/>
        <v>8142060</v>
      </c>
      <c r="K34" s="35">
        <f>C34*$K$2</f>
        <v>2714020</v>
      </c>
      <c r="L34" s="35">
        <f t="shared" si="10"/>
        <v>5428040</v>
      </c>
      <c r="M34" s="35">
        <f>SUM(H34:L34)</f>
        <v>63779470</v>
      </c>
      <c r="N34" s="42">
        <v>201600000</v>
      </c>
      <c r="O34" s="36">
        <f>B34-G34-N34</f>
        <v>550168180.50308251</v>
      </c>
      <c r="P34" s="59"/>
      <c r="Q34" s="61"/>
    </row>
    <row r="35" spans="1:17" ht="14.25" x14ac:dyDescent="0.25">
      <c r="A35" s="33" t="s">
        <v>41</v>
      </c>
      <c r="B35" s="43">
        <v>236426022.44109988</v>
      </c>
      <c r="C35" s="42">
        <v>68655000</v>
      </c>
      <c r="D35" s="35">
        <f>C35*$D$2</f>
        <v>5492400</v>
      </c>
      <c r="E35" s="35">
        <f>C35*$E$2</f>
        <v>1029825</v>
      </c>
      <c r="F35" s="35">
        <f>C35*$F$2</f>
        <v>686550</v>
      </c>
      <c r="G35" s="35">
        <f>SUM(D35:F35)</f>
        <v>7208775</v>
      </c>
      <c r="H35" s="35">
        <f>C35*$H$2</f>
        <v>11671350</v>
      </c>
      <c r="I35" s="35">
        <f>C35*$I$2</f>
        <v>343275</v>
      </c>
      <c r="J35" s="35">
        <f>C35*$J$2</f>
        <v>2059650</v>
      </c>
      <c r="K35" s="35">
        <f>C35*$K$2</f>
        <v>686550</v>
      </c>
      <c r="L35" s="35">
        <f t="shared" si="10"/>
        <v>1373100</v>
      </c>
      <c r="M35" s="35">
        <f>SUM(H35:L35)</f>
        <v>16133925</v>
      </c>
      <c r="N35" s="42">
        <v>93000000</v>
      </c>
      <c r="O35" s="36">
        <f>B35-G35-N35</f>
        <v>136217247.44109988</v>
      </c>
      <c r="P35" s="59"/>
      <c r="Q35" s="61"/>
    </row>
    <row r="36" spans="1:17" ht="14.25" x14ac:dyDescent="0.25">
      <c r="A36" s="33" t="s">
        <v>42</v>
      </c>
      <c r="B36" s="41">
        <v>227748558.62179488</v>
      </c>
      <c r="C36" s="42">
        <v>69178000</v>
      </c>
      <c r="D36" s="35">
        <f t="shared" ref="D36" si="34">C36*$D$2</f>
        <v>5534240</v>
      </c>
      <c r="E36" s="35">
        <f t="shared" ref="E36" si="35">C36*$E$2</f>
        <v>1037670</v>
      </c>
      <c r="F36" s="35">
        <f t="shared" ref="F36" si="36">C36*$F$2</f>
        <v>691780</v>
      </c>
      <c r="G36" s="35">
        <f t="shared" ref="G36" si="37">SUM(D36:F36)</f>
        <v>7263690</v>
      </c>
      <c r="H36" s="35">
        <f t="shared" ref="H36" si="38">C36*$H$2</f>
        <v>11760260</v>
      </c>
      <c r="I36" s="35">
        <f t="shared" si="7"/>
        <v>345890</v>
      </c>
      <c r="J36" s="35">
        <f t="shared" si="8"/>
        <v>2075340</v>
      </c>
      <c r="K36" s="35">
        <f t="shared" ref="K36" si="39">C36*$K$2</f>
        <v>691780</v>
      </c>
      <c r="L36" s="35">
        <f t="shared" si="10"/>
        <v>1383560</v>
      </c>
      <c r="M36" s="35">
        <f>SUM(H36:L36)</f>
        <v>16256830</v>
      </c>
      <c r="N36" s="42">
        <v>55000000</v>
      </c>
      <c r="O36" s="54">
        <f>B36-G36-N36</f>
        <v>165484868.62179488</v>
      </c>
      <c r="P36" s="59"/>
      <c r="Q36" s="61"/>
    </row>
    <row r="37" spans="1:17" x14ac:dyDescent="0.2">
      <c r="A37" s="29" t="s">
        <v>4</v>
      </c>
      <c r="B37" s="28">
        <f t="shared" ref="B37:O37" si="40">+B4+B20+B33</f>
        <v>3075144059.6462851</v>
      </c>
      <c r="C37" s="28">
        <f t="shared" si="40"/>
        <v>830413000</v>
      </c>
      <c r="D37" s="28">
        <f t="shared" si="40"/>
        <v>65769040</v>
      </c>
      <c r="E37" s="28">
        <f t="shared" si="40"/>
        <v>12331695</v>
      </c>
      <c r="F37" s="28">
        <f t="shared" si="40"/>
        <v>8221130</v>
      </c>
      <c r="G37" s="28">
        <f t="shared" si="40"/>
        <v>86321865</v>
      </c>
      <c r="H37" s="28">
        <f t="shared" si="40"/>
        <v>139759210</v>
      </c>
      <c r="I37" s="28">
        <f t="shared" si="40"/>
        <v>4152065</v>
      </c>
      <c r="J37" s="28">
        <f t="shared" si="40"/>
        <v>24663390</v>
      </c>
      <c r="K37" s="28">
        <f t="shared" si="40"/>
        <v>8221130</v>
      </c>
      <c r="L37" s="28">
        <f t="shared" si="40"/>
        <v>16442260</v>
      </c>
      <c r="M37" s="28">
        <f t="shared" si="40"/>
        <v>193238055</v>
      </c>
      <c r="N37" s="28">
        <f t="shared" si="40"/>
        <v>535100000</v>
      </c>
      <c r="O37" s="28">
        <f t="shared" si="40"/>
        <v>2453722194.6462851</v>
      </c>
      <c r="P37" s="59"/>
      <c r="Q37" s="61"/>
    </row>
    <row r="38" spans="1:17" x14ac:dyDescent="0.2">
      <c r="L38" s="39"/>
      <c r="M38" s="39"/>
      <c r="O38" s="74">
        <v>2453651000</v>
      </c>
    </row>
    <row r="39" spans="1:17" ht="15" customHeight="1" x14ac:dyDescent="0.2">
      <c r="B39" s="96"/>
      <c r="C39" s="39"/>
      <c r="H39" s="97"/>
      <c r="I39" s="97"/>
      <c r="J39" s="115"/>
      <c r="K39" s="115"/>
      <c r="L39" s="115"/>
      <c r="M39" s="115"/>
      <c r="N39" s="115"/>
      <c r="O39" s="39"/>
    </row>
    <row r="40" spans="1:17" x14ac:dyDescent="0.2">
      <c r="B40" s="91"/>
      <c r="O40" s="39"/>
    </row>
    <row r="44" spans="1:17" x14ac:dyDescent="0.2">
      <c r="K44" s="39"/>
    </row>
    <row r="53" spans="2:11" x14ac:dyDescent="0.2">
      <c r="B53" s="94"/>
    </row>
    <row r="54" spans="2:11" x14ac:dyDescent="0.2">
      <c r="D54" s="94"/>
    </row>
    <row r="57" spans="2:11" x14ac:dyDescent="0.2">
      <c r="G57" s="98"/>
    </row>
    <row r="61" spans="2:11" x14ac:dyDescent="0.2">
      <c r="I61" s="98"/>
      <c r="J61" s="98"/>
      <c r="K61" s="98"/>
    </row>
  </sheetData>
  <mergeCells count="1">
    <mergeCell ref="J39:N39"/>
  </mergeCell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1"/>
  <sheetViews>
    <sheetView workbookViewId="0">
      <pane xSplit="4" ySplit="3" topLeftCell="K20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ColWidth="36.42578125" defaultRowHeight="12.75" x14ac:dyDescent="0.2"/>
  <cols>
    <col min="1" max="1" width="5.7109375" style="24" customWidth="1"/>
    <col min="2" max="2" width="33.5703125" style="24" customWidth="1"/>
    <col min="3" max="3" width="14.28515625" style="95" customWidth="1"/>
    <col min="4" max="4" width="14.85546875" style="24" customWidth="1"/>
    <col min="5" max="8" width="12" style="24" customWidth="1"/>
    <col min="9" max="9" width="13.42578125" style="24" customWidth="1"/>
    <col min="10" max="10" width="11.42578125" style="24" customWidth="1"/>
    <col min="11" max="11" width="13" style="24" customWidth="1"/>
    <col min="12" max="12" width="10.7109375" style="24" customWidth="1"/>
    <col min="13" max="13" width="12.28515625" style="24" customWidth="1"/>
    <col min="14" max="14" width="12.7109375" style="24" customWidth="1"/>
    <col min="15" max="15" width="12.42578125" style="24" customWidth="1"/>
    <col min="16" max="16" width="16.28515625" style="24" customWidth="1"/>
    <col min="17" max="17" width="11.7109375" style="24" customWidth="1"/>
    <col min="18" max="18" width="12.140625" style="24" customWidth="1"/>
    <col min="19" max="16384" width="36.42578125" style="24"/>
  </cols>
  <sheetData>
    <row r="1" spans="1:18" x14ac:dyDescent="0.2">
      <c r="B1" s="20"/>
      <c r="C1" s="21"/>
      <c r="D1" s="20"/>
      <c r="E1" s="20"/>
      <c r="F1" s="20"/>
      <c r="G1" s="20"/>
      <c r="H1" s="22">
        <f>SUM(E2:G2)</f>
        <v>0.105</v>
      </c>
      <c r="I1" s="23"/>
      <c r="J1" s="23"/>
      <c r="K1" s="20" t="s">
        <v>21</v>
      </c>
      <c r="L1" s="22">
        <f>SUM(I2:L2)</f>
        <v>0.21500000000000002</v>
      </c>
      <c r="M1" s="20"/>
      <c r="N1" s="20"/>
      <c r="O1" s="20"/>
      <c r="P1" s="20"/>
    </row>
    <row r="2" spans="1:18" x14ac:dyDescent="0.2">
      <c r="B2" s="20"/>
      <c r="C2" s="21"/>
      <c r="D2" s="20"/>
      <c r="E2" s="47">
        <v>0.08</v>
      </c>
      <c r="F2" s="48">
        <v>1.4999999999999999E-2</v>
      </c>
      <c r="G2" s="47">
        <v>0.01</v>
      </c>
      <c r="H2" s="49"/>
      <c r="I2" s="50">
        <v>0.17</v>
      </c>
      <c r="J2" s="50">
        <v>5.0000000000000001E-3</v>
      </c>
      <c r="K2" s="51">
        <v>0.03</v>
      </c>
      <c r="L2" s="51">
        <v>0.01</v>
      </c>
      <c r="M2" s="26">
        <v>0.02</v>
      </c>
      <c r="N2" s="20">
        <f>SUM(I2:M2)</f>
        <v>0.23500000000000001</v>
      </c>
      <c r="O2" s="20"/>
      <c r="P2" s="20"/>
    </row>
    <row r="3" spans="1:18" x14ac:dyDescent="0.2">
      <c r="B3" s="27" t="s">
        <v>64</v>
      </c>
      <c r="C3" s="28" t="s">
        <v>17</v>
      </c>
      <c r="D3" s="29" t="s">
        <v>8</v>
      </c>
      <c r="E3" s="29" t="s">
        <v>9</v>
      </c>
      <c r="F3" s="29" t="s">
        <v>10</v>
      </c>
      <c r="G3" s="29" t="s">
        <v>11</v>
      </c>
      <c r="H3" s="29" t="s">
        <v>16</v>
      </c>
      <c r="I3" s="29" t="s">
        <v>12</v>
      </c>
      <c r="J3" s="29" t="s">
        <v>40</v>
      </c>
      <c r="K3" s="29" t="s">
        <v>13</v>
      </c>
      <c r="L3" s="29" t="s">
        <v>14</v>
      </c>
      <c r="M3" s="29" t="s">
        <v>15</v>
      </c>
      <c r="N3" s="29" t="s">
        <v>26</v>
      </c>
      <c r="O3" s="29" t="s">
        <v>0</v>
      </c>
      <c r="P3" s="29" t="s">
        <v>18</v>
      </c>
    </row>
    <row r="4" spans="1:18" s="32" customFormat="1" x14ac:dyDescent="0.2">
      <c r="B4" s="30" t="s">
        <v>1</v>
      </c>
      <c r="C4" s="31">
        <f>C5+C6+C11+C12+C13+C14+C15+C16+C17+C18+C19</f>
        <v>1056853493.9983975</v>
      </c>
      <c r="D4" s="31">
        <f>D5+D6+D11+D12+D13+D14+D15+D16+D17+D18+D19</f>
        <v>220354000</v>
      </c>
      <c r="E4" s="31">
        <f t="shared" ref="E4:O4" si="0">E5+E6+E11+E12+E13+E14+E15+E16+E17+E18+E19</f>
        <v>16964320</v>
      </c>
      <c r="F4" s="31">
        <f t="shared" si="0"/>
        <v>3180810</v>
      </c>
      <c r="G4" s="31">
        <f t="shared" si="0"/>
        <v>2120540</v>
      </c>
      <c r="H4" s="31">
        <f t="shared" si="0"/>
        <v>22265670</v>
      </c>
      <c r="I4" s="31">
        <f t="shared" si="0"/>
        <v>36049180.000000007</v>
      </c>
      <c r="J4" s="31">
        <f t="shared" si="0"/>
        <v>1101770</v>
      </c>
      <c r="K4" s="31">
        <f t="shared" si="0"/>
        <v>6361620</v>
      </c>
      <c r="L4" s="31">
        <f t="shared" si="0"/>
        <v>2120540</v>
      </c>
      <c r="M4" s="31">
        <f t="shared" si="0"/>
        <v>4241080</v>
      </c>
      <c r="N4" s="31">
        <f t="shared" si="0"/>
        <v>49874190</v>
      </c>
      <c r="O4" s="31">
        <f t="shared" si="0"/>
        <v>67000000</v>
      </c>
      <c r="P4" s="31">
        <f>P5+P6+P11+P12+P13+P14+P15+P16+P17+P18+P19</f>
        <v>967587823.99839747</v>
      </c>
      <c r="Q4" s="62"/>
      <c r="R4" s="62"/>
    </row>
    <row r="5" spans="1:18" ht="14.25" x14ac:dyDescent="0.2">
      <c r="A5" s="99" t="s">
        <v>118</v>
      </c>
      <c r="B5" s="33" t="s">
        <v>5</v>
      </c>
      <c r="C5" s="52">
        <v>269280000</v>
      </c>
      <c r="D5" s="34">
        <v>11900000</v>
      </c>
      <c r="E5" s="35">
        <f>D5*$E$2</f>
        <v>952000</v>
      </c>
      <c r="F5" s="35">
        <f>D5*$F$2</f>
        <v>178500</v>
      </c>
      <c r="G5" s="35">
        <f>D5*$G$2</f>
        <v>119000</v>
      </c>
      <c r="H5" s="35">
        <f>SUM(E5:G5)</f>
        <v>1249500</v>
      </c>
      <c r="I5" s="35">
        <f>D5*$I$2</f>
        <v>2023000.0000000002</v>
      </c>
      <c r="J5" s="35">
        <f>D5*$J$2</f>
        <v>59500</v>
      </c>
      <c r="K5" s="35">
        <f>D5*$K$2</f>
        <v>357000</v>
      </c>
      <c r="L5" s="35">
        <f>D5*$L$2</f>
        <v>119000</v>
      </c>
      <c r="M5" s="35">
        <f>D5*$M$2</f>
        <v>238000</v>
      </c>
      <c r="N5" s="35">
        <f>SUM(I5:M5)</f>
        <v>2796500</v>
      </c>
      <c r="O5" s="34">
        <v>0</v>
      </c>
      <c r="P5" s="36">
        <f>C5-H5-O5</f>
        <v>268030500</v>
      </c>
      <c r="Q5" s="61"/>
      <c r="R5" s="59"/>
    </row>
    <row r="6" spans="1:18" s="69" customFormat="1" ht="15.75" x14ac:dyDescent="0.2">
      <c r="A6" s="101"/>
      <c r="B6" s="33" t="s">
        <v>65</v>
      </c>
      <c r="C6" s="66">
        <f>SUM(C7:C10)</f>
        <v>164906474.35897434</v>
      </c>
      <c r="D6" s="66">
        <f>SUM(D7:D10)</f>
        <v>51677000</v>
      </c>
      <c r="E6" s="66">
        <f t="shared" ref="E6:P6" si="1">SUM(E7:E10)</f>
        <v>4134160</v>
      </c>
      <c r="F6" s="66">
        <f t="shared" si="1"/>
        <v>775155</v>
      </c>
      <c r="G6" s="66">
        <f t="shared" si="1"/>
        <v>516770</v>
      </c>
      <c r="H6" s="66">
        <f t="shared" si="1"/>
        <v>5426085</v>
      </c>
      <c r="I6" s="66">
        <f t="shared" si="1"/>
        <v>8785090.0000000019</v>
      </c>
      <c r="J6" s="66">
        <f t="shared" si="1"/>
        <v>258385</v>
      </c>
      <c r="K6" s="66">
        <f t="shared" si="1"/>
        <v>1550310</v>
      </c>
      <c r="L6" s="66">
        <f t="shared" si="1"/>
        <v>516770</v>
      </c>
      <c r="M6" s="66">
        <f t="shared" si="1"/>
        <v>1033540</v>
      </c>
      <c r="N6" s="66">
        <f t="shared" si="1"/>
        <v>12144095</v>
      </c>
      <c r="O6" s="66">
        <f t="shared" si="1"/>
        <v>10000000</v>
      </c>
      <c r="P6" s="75">
        <f t="shared" si="1"/>
        <v>149480389.35897434</v>
      </c>
      <c r="Q6" s="67"/>
      <c r="R6" s="68"/>
    </row>
    <row r="7" spans="1:18" ht="14.25" x14ac:dyDescent="0.2">
      <c r="A7" s="99" t="s">
        <v>119</v>
      </c>
      <c r="B7" s="65" t="s">
        <v>66</v>
      </c>
      <c r="C7" s="45">
        <v>57629853.846153848</v>
      </c>
      <c r="D7" s="45">
        <f>27277000-4577000</f>
        <v>22700000</v>
      </c>
      <c r="E7" s="35">
        <f t="shared" ref="E7:E10" si="2">D7*$E$2</f>
        <v>1816000</v>
      </c>
      <c r="F7" s="35">
        <f t="shared" ref="F7:F19" si="3">D7*$F$2</f>
        <v>340500</v>
      </c>
      <c r="G7" s="35">
        <f t="shared" ref="G7:G19" si="4">D7*$G$2</f>
        <v>227000</v>
      </c>
      <c r="H7" s="35">
        <f t="shared" ref="H7" si="5">SUM(E7:G7)</f>
        <v>2383500</v>
      </c>
      <c r="I7" s="35">
        <f t="shared" ref="I7:I19" si="6">D7*$I$2</f>
        <v>3859000.0000000005</v>
      </c>
      <c r="J7" s="35">
        <f t="shared" ref="J7:J36" si="7">D7*$J$2</f>
        <v>113500</v>
      </c>
      <c r="K7" s="35">
        <f t="shared" ref="K7:K36" si="8">D7*$K$2</f>
        <v>681000</v>
      </c>
      <c r="L7" s="35">
        <f t="shared" ref="L7:L19" si="9">D7*$L$2</f>
        <v>227000</v>
      </c>
      <c r="M7" s="35">
        <f t="shared" ref="M7:M36" si="10">D7*$M$2</f>
        <v>454000</v>
      </c>
      <c r="N7" s="35">
        <f t="shared" ref="N7:N10" si="11">SUM(I7:M7)</f>
        <v>5334500</v>
      </c>
      <c r="O7" s="58">
        <v>0</v>
      </c>
      <c r="P7" s="36">
        <f t="shared" ref="P7:P10" si="12">C7-H7-O7</f>
        <v>55246353.846153848</v>
      </c>
      <c r="Q7" s="61"/>
      <c r="R7" s="59"/>
    </row>
    <row r="8" spans="1:18" ht="14.25" x14ac:dyDescent="0.2">
      <c r="A8" s="99" t="s">
        <v>120</v>
      </c>
      <c r="B8" s="65" t="s">
        <v>68</v>
      </c>
      <c r="C8" s="45">
        <v>45620769.230769232</v>
      </c>
      <c r="D8" s="34">
        <v>10000000</v>
      </c>
      <c r="E8" s="35">
        <f t="shared" si="2"/>
        <v>800000</v>
      </c>
      <c r="F8" s="35">
        <f t="shared" si="3"/>
        <v>150000</v>
      </c>
      <c r="G8" s="35">
        <f t="shared" si="4"/>
        <v>100000</v>
      </c>
      <c r="H8" s="35">
        <f t="shared" ref="H8:H10" si="13">SUM(E8:G8)</f>
        <v>1050000</v>
      </c>
      <c r="I8" s="35">
        <f t="shared" si="6"/>
        <v>1700000.0000000002</v>
      </c>
      <c r="J8" s="35">
        <f t="shared" si="7"/>
        <v>50000</v>
      </c>
      <c r="K8" s="35">
        <f t="shared" si="8"/>
        <v>300000</v>
      </c>
      <c r="L8" s="35">
        <f t="shared" si="9"/>
        <v>100000</v>
      </c>
      <c r="M8" s="35">
        <f t="shared" si="10"/>
        <v>200000</v>
      </c>
      <c r="N8" s="35">
        <f t="shared" si="11"/>
        <v>2350000</v>
      </c>
      <c r="O8" s="58">
        <v>0</v>
      </c>
      <c r="P8" s="36">
        <f t="shared" si="12"/>
        <v>44570769.230769232</v>
      </c>
      <c r="Q8" s="61"/>
      <c r="R8" s="59"/>
    </row>
    <row r="9" spans="1:18" ht="14.25" x14ac:dyDescent="0.2">
      <c r="A9" s="99" t="s">
        <v>121</v>
      </c>
      <c r="B9" s="65" t="s">
        <v>104</v>
      </c>
      <c r="C9" s="45">
        <v>24295851.282051284</v>
      </c>
      <c r="D9" s="34">
        <f>4800000+4577000</f>
        <v>9377000</v>
      </c>
      <c r="E9" s="35">
        <f t="shared" si="2"/>
        <v>750160</v>
      </c>
      <c r="F9" s="35">
        <f t="shared" si="3"/>
        <v>140655</v>
      </c>
      <c r="G9" s="35">
        <f t="shared" si="4"/>
        <v>93770</v>
      </c>
      <c r="H9" s="35">
        <f t="shared" si="13"/>
        <v>984585</v>
      </c>
      <c r="I9" s="35">
        <f t="shared" si="6"/>
        <v>1594090</v>
      </c>
      <c r="J9" s="35">
        <f t="shared" si="7"/>
        <v>46885</v>
      </c>
      <c r="K9" s="35">
        <f t="shared" si="8"/>
        <v>281310</v>
      </c>
      <c r="L9" s="35">
        <f t="shared" si="9"/>
        <v>93770</v>
      </c>
      <c r="M9" s="35">
        <f t="shared" si="10"/>
        <v>187540</v>
      </c>
      <c r="N9" s="35">
        <f t="shared" si="11"/>
        <v>2203595</v>
      </c>
      <c r="O9" s="58">
        <v>6000000</v>
      </c>
      <c r="P9" s="36">
        <f t="shared" si="12"/>
        <v>17311266.282051284</v>
      </c>
      <c r="Q9" s="61"/>
      <c r="R9" s="59"/>
    </row>
    <row r="10" spans="1:18" ht="14.25" x14ac:dyDescent="0.2">
      <c r="A10" s="99" t="s">
        <v>122</v>
      </c>
      <c r="B10" s="65" t="s">
        <v>67</v>
      </c>
      <c r="C10" s="45">
        <v>37360000</v>
      </c>
      <c r="D10" s="34">
        <v>9600000</v>
      </c>
      <c r="E10" s="35">
        <f t="shared" si="2"/>
        <v>768000</v>
      </c>
      <c r="F10" s="35">
        <f t="shared" si="3"/>
        <v>144000</v>
      </c>
      <c r="G10" s="35">
        <f t="shared" si="4"/>
        <v>96000</v>
      </c>
      <c r="H10" s="35">
        <f t="shared" si="13"/>
        <v>1008000</v>
      </c>
      <c r="I10" s="35">
        <f t="shared" si="6"/>
        <v>1632000.0000000002</v>
      </c>
      <c r="J10" s="35">
        <f t="shared" si="7"/>
        <v>48000</v>
      </c>
      <c r="K10" s="35">
        <f t="shared" si="8"/>
        <v>288000</v>
      </c>
      <c r="L10" s="35">
        <f t="shared" si="9"/>
        <v>96000</v>
      </c>
      <c r="M10" s="35">
        <f t="shared" si="10"/>
        <v>192000</v>
      </c>
      <c r="N10" s="35">
        <f t="shared" si="11"/>
        <v>2256000</v>
      </c>
      <c r="O10" s="58">
        <v>4000000</v>
      </c>
      <c r="P10" s="36">
        <f t="shared" si="12"/>
        <v>32352000</v>
      </c>
      <c r="Q10" s="61"/>
      <c r="R10" s="59"/>
    </row>
    <row r="11" spans="1:18" ht="14.25" x14ac:dyDescent="0.2">
      <c r="A11" s="99" t="s">
        <v>123</v>
      </c>
      <c r="B11" s="33" t="s">
        <v>25</v>
      </c>
      <c r="C11" s="45">
        <v>155976559.61538464</v>
      </c>
      <c r="D11" s="34">
        <f>38000000-D12+5100000+4800000+4800000</f>
        <v>44400000</v>
      </c>
      <c r="E11" s="35">
        <f>D11*$E$2</f>
        <v>3552000</v>
      </c>
      <c r="F11" s="35">
        <f t="shared" si="3"/>
        <v>666000</v>
      </c>
      <c r="G11" s="35">
        <f t="shared" si="4"/>
        <v>444000</v>
      </c>
      <c r="H11" s="35">
        <f t="shared" ref="H11:H18" si="14">SUM(E11:G11)</f>
        <v>4662000</v>
      </c>
      <c r="I11" s="35">
        <f t="shared" si="6"/>
        <v>7548000.0000000009</v>
      </c>
      <c r="J11" s="35">
        <f t="shared" si="7"/>
        <v>222000</v>
      </c>
      <c r="K11" s="35">
        <f t="shared" si="8"/>
        <v>1332000</v>
      </c>
      <c r="L11" s="35">
        <f t="shared" si="9"/>
        <v>444000</v>
      </c>
      <c r="M11" s="35">
        <f t="shared" si="10"/>
        <v>888000</v>
      </c>
      <c r="N11" s="35">
        <f t="shared" ref="N11:N30" si="15">SUM(I11:M11)</f>
        <v>10434000</v>
      </c>
      <c r="O11" s="58">
        <v>6000000</v>
      </c>
      <c r="P11" s="36">
        <f>C11-H11-O11</f>
        <v>145314559.61538464</v>
      </c>
      <c r="Q11" s="61"/>
      <c r="R11" s="59"/>
    </row>
    <row r="12" spans="1:18" ht="14.25" x14ac:dyDescent="0.2">
      <c r="A12" s="99" t="s">
        <v>123</v>
      </c>
      <c r="B12" s="33" t="s">
        <v>25</v>
      </c>
      <c r="C12" s="45">
        <v>0</v>
      </c>
      <c r="D12" s="46">
        <v>8300000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f t="shared" si="7"/>
        <v>41500</v>
      </c>
      <c r="K12" s="35">
        <v>0</v>
      </c>
      <c r="L12" s="35">
        <v>0</v>
      </c>
      <c r="M12" s="35">
        <v>0</v>
      </c>
      <c r="N12" s="35">
        <f t="shared" si="15"/>
        <v>41500</v>
      </c>
      <c r="O12" s="55">
        <v>0</v>
      </c>
      <c r="P12" s="35">
        <v>0</v>
      </c>
      <c r="Q12" s="61"/>
      <c r="R12" s="59"/>
    </row>
    <row r="13" spans="1:18" ht="14.25" x14ac:dyDescent="0.2">
      <c r="A13" s="99" t="s">
        <v>124</v>
      </c>
      <c r="B13" s="33" t="s">
        <v>7</v>
      </c>
      <c r="C13" s="45">
        <v>54089976.923076928</v>
      </c>
      <c r="D13" s="34">
        <v>22700000</v>
      </c>
      <c r="E13" s="35">
        <f t="shared" ref="E13:E19" si="16">D13*$E$2</f>
        <v>1816000</v>
      </c>
      <c r="F13" s="35">
        <f t="shared" si="3"/>
        <v>340500</v>
      </c>
      <c r="G13" s="35">
        <f t="shared" si="4"/>
        <v>227000</v>
      </c>
      <c r="H13" s="35">
        <f t="shared" si="14"/>
        <v>2383500</v>
      </c>
      <c r="I13" s="35">
        <f t="shared" si="6"/>
        <v>3859000.0000000005</v>
      </c>
      <c r="J13" s="35">
        <f t="shared" si="7"/>
        <v>113500</v>
      </c>
      <c r="K13" s="35">
        <f t="shared" si="8"/>
        <v>681000</v>
      </c>
      <c r="L13" s="35">
        <f t="shared" si="9"/>
        <v>227000</v>
      </c>
      <c r="M13" s="35">
        <f t="shared" si="10"/>
        <v>454000</v>
      </c>
      <c r="N13" s="35">
        <f t="shared" si="15"/>
        <v>5334500</v>
      </c>
      <c r="O13" s="58">
        <v>0</v>
      </c>
      <c r="P13" s="36">
        <f t="shared" ref="P13:P19" si="17">C13-H13-O13</f>
        <v>51706476.923076928</v>
      </c>
      <c r="Q13" s="61"/>
      <c r="R13" s="59"/>
    </row>
    <row r="14" spans="1:18" ht="14.25" x14ac:dyDescent="0.2">
      <c r="A14" s="99" t="s">
        <v>125</v>
      </c>
      <c r="B14" s="33" t="s">
        <v>19</v>
      </c>
      <c r="C14" s="45">
        <v>106352692.3076923</v>
      </c>
      <c r="D14" s="34">
        <v>23300000</v>
      </c>
      <c r="E14" s="35">
        <f t="shared" si="16"/>
        <v>1864000</v>
      </c>
      <c r="F14" s="35">
        <f t="shared" si="3"/>
        <v>349500</v>
      </c>
      <c r="G14" s="35">
        <f t="shared" si="4"/>
        <v>233000</v>
      </c>
      <c r="H14" s="35">
        <f t="shared" si="14"/>
        <v>2446500</v>
      </c>
      <c r="I14" s="35">
        <f t="shared" si="6"/>
        <v>3961000.0000000005</v>
      </c>
      <c r="J14" s="35">
        <f t="shared" si="7"/>
        <v>116500</v>
      </c>
      <c r="K14" s="35">
        <f t="shared" si="8"/>
        <v>699000</v>
      </c>
      <c r="L14" s="35">
        <f t="shared" si="9"/>
        <v>233000</v>
      </c>
      <c r="M14" s="35">
        <f t="shared" si="10"/>
        <v>466000</v>
      </c>
      <c r="N14" s="35">
        <f t="shared" si="15"/>
        <v>5475500</v>
      </c>
      <c r="O14" s="58">
        <v>10000000</v>
      </c>
      <c r="P14" s="36">
        <f t="shared" si="17"/>
        <v>93906192.307692304</v>
      </c>
      <c r="Q14" s="61"/>
      <c r="R14" s="59"/>
    </row>
    <row r="15" spans="1:18" ht="14.25" x14ac:dyDescent="0.2">
      <c r="A15" s="99" t="s">
        <v>126</v>
      </c>
      <c r="B15" s="33" t="s">
        <v>20</v>
      </c>
      <c r="C15" s="45">
        <v>75092607.692307696</v>
      </c>
      <c r="D15" s="34">
        <f>23800000</f>
        <v>23800000</v>
      </c>
      <c r="E15" s="35">
        <f t="shared" si="16"/>
        <v>1904000</v>
      </c>
      <c r="F15" s="35">
        <f t="shared" si="3"/>
        <v>357000</v>
      </c>
      <c r="G15" s="35">
        <f t="shared" si="4"/>
        <v>238000</v>
      </c>
      <c r="H15" s="35">
        <f t="shared" si="14"/>
        <v>2499000</v>
      </c>
      <c r="I15" s="35">
        <f t="shared" si="6"/>
        <v>4046000.0000000005</v>
      </c>
      <c r="J15" s="35">
        <f t="shared" si="7"/>
        <v>119000</v>
      </c>
      <c r="K15" s="35">
        <f t="shared" si="8"/>
        <v>714000</v>
      </c>
      <c r="L15" s="35">
        <f t="shared" si="9"/>
        <v>238000</v>
      </c>
      <c r="M15" s="35">
        <f t="shared" si="10"/>
        <v>476000</v>
      </c>
      <c r="N15" s="35">
        <f t="shared" si="15"/>
        <v>5593000</v>
      </c>
      <c r="O15" s="58">
        <v>27000000</v>
      </c>
      <c r="P15" s="36">
        <f t="shared" si="17"/>
        <v>45593607.692307696</v>
      </c>
      <c r="Q15" s="61"/>
      <c r="R15" s="59"/>
    </row>
    <row r="16" spans="1:18" ht="14.25" x14ac:dyDescent="0.2">
      <c r="A16" s="99" t="s">
        <v>127</v>
      </c>
      <c r="B16" s="33" t="s">
        <v>6</v>
      </c>
      <c r="C16" s="45">
        <v>11530000</v>
      </c>
      <c r="D16" s="34">
        <v>5000000</v>
      </c>
      <c r="E16" s="35">
        <f t="shared" si="16"/>
        <v>400000</v>
      </c>
      <c r="F16" s="35">
        <f t="shared" si="3"/>
        <v>75000</v>
      </c>
      <c r="G16" s="35">
        <f t="shared" si="4"/>
        <v>50000</v>
      </c>
      <c r="H16" s="35">
        <f t="shared" si="14"/>
        <v>525000</v>
      </c>
      <c r="I16" s="35">
        <f t="shared" si="6"/>
        <v>850000.00000000012</v>
      </c>
      <c r="J16" s="35">
        <f t="shared" si="7"/>
        <v>25000</v>
      </c>
      <c r="K16" s="35">
        <f t="shared" si="8"/>
        <v>150000</v>
      </c>
      <c r="L16" s="35">
        <f t="shared" si="9"/>
        <v>50000</v>
      </c>
      <c r="M16" s="35">
        <f t="shared" si="10"/>
        <v>100000</v>
      </c>
      <c r="N16" s="35">
        <f t="shared" si="15"/>
        <v>1175000</v>
      </c>
      <c r="O16" s="58">
        <v>0</v>
      </c>
      <c r="P16" s="36">
        <f t="shared" si="17"/>
        <v>11005000</v>
      </c>
      <c r="Q16" s="61"/>
      <c r="R16" s="59"/>
    </row>
    <row r="17" spans="1:18" ht="14.25" x14ac:dyDescent="0.2">
      <c r="A17" s="99" t="s">
        <v>128</v>
      </c>
      <c r="B17" s="56" t="s">
        <v>103</v>
      </c>
      <c r="C17" s="45">
        <v>62521000</v>
      </c>
      <c r="D17" s="34">
        <v>0</v>
      </c>
      <c r="E17" s="35">
        <f t="shared" si="16"/>
        <v>0</v>
      </c>
      <c r="F17" s="35">
        <f t="shared" si="3"/>
        <v>0</v>
      </c>
      <c r="G17" s="35">
        <f t="shared" si="4"/>
        <v>0</v>
      </c>
      <c r="H17" s="35">
        <f t="shared" ref="H17" si="18">SUM(E17:G17)</f>
        <v>0</v>
      </c>
      <c r="I17" s="35">
        <f t="shared" si="6"/>
        <v>0</v>
      </c>
      <c r="J17" s="35">
        <f t="shared" si="7"/>
        <v>0</v>
      </c>
      <c r="K17" s="35">
        <f t="shared" si="8"/>
        <v>0</v>
      </c>
      <c r="L17" s="35">
        <f t="shared" si="9"/>
        <v>0</v>
      </c>
      <c r="M17" s="35">
        <f t="shared" si="10"/>
        <v>0</v>
      </c>
      <c r="N17" s="35">
        <f t="shared" si="15"/>
        <v>0</v>
      </c>
      <c r="O17" s="34">
        <v>0</v>
      </c>
      <c r="P17" s="36">
        <f t="shared" si="17"/>
        <v>62521000</v>
      </c>
      <c r="Q17" s="61"/>
      <c r="R17" s="59"/>
    </row>
    <row r="18" spans="1:18" ht="14.25" x14ac:dyDescent="0.2">
      <c r="A18" s="99" t="s">
        <v>129</v>
      </c>
      <c r="B18" s="33" t="s">
        <v>70</v>
      </c>
      <c r="C18" s="45">
        <v>74668623.004807696</v>
      </c>
      <c r="D18" s="34">
        <v>9577000</v>
      </c>
      <c r="E18" s="35">
        <f>D18*$E$2</f>
        <v>766160</v>
      </c>
      <c r="F18" s="35">
        <f t="shared" si="3"/>
        <v>143655</v>
      </c>
      <c r="G18" s="35">
        <f t="shared" si="4"/>
        <v>95770</v>
      </c>
      <c r="H18" s="35">
        <f t="shared" si="14"/>
        <v>1005585</v>
      </c>
      <c r="I18" s="35">
        <f t="shared" si="6"/>
        <v>1628090.0000000002</v>
      </c>
      <c r="J18" s="35">
        <f t="shared" si="7"/>
        <v>47885</v>
      </c>
      <c r="K18" s="35">
        <f t="shared" si="8"/>
        <v>287310</v>
      </c>
      <c r="L18" s="35">
        <f t="shared" si="9"/>
        <v>95770</v>
      </c>
      <c r="M18" s="35">
        <f t="shared" si="10"/>
        <v>191540</v>
      </c>
      <c r="N18" s="35">
        <f t="shared" si="15"/>
        <v>2250595</v>
      </c>
      <c r="O18" s="34">
        <v>10000000</v>
      </c>
      <c r="P18" s="36">
        <f t="shared" si="17"/>
        <v>63663038.004807696</v>
      </c>
      <c r="Q18" s="61"/>
      <c r="R18" s="59"/>
    </row>
    <row r="19" spans="1:18" s="25" customFormat="1" ht="14.25" x14ac:dyDescent="0.2">
      <c r="A19" s="102" t="s">
        <v>130</v>
      </c>
      <c r="B19" s="33" t="s">
        <v>71</v>
      </c>
      <c r="C19" s="63">
        <v>82435560.09615384</v>
      </c>
      <c r="D19" s="57">
        <v>19700000</v>
      </c>
      <c r="E19" s="35">
        <f t="shared" si="16"/>
        <v>1576000</v>
      </c>
      <c r="F19" s="35">
        <f t="shared" si="3"/>
        <v>295500</v>
      </c>
      <c r="G19" s="35">
        <f t="shared" si="4"/>
        <v>197000</v>
      </c>
      <c r="H19" s="35">
        <f t="shared" ref="H19" si="19">SUM(E19:G19)</f>
        <v>2068500</v>
      </c>
      <c r="I19" s="35">
        <f t="shared" si="6"/>
        <v>3349000.0000000005</v>
      </c>
      <c r="J19" s="35">
        <f t="shared" si="7"/>
        <v>98500</v>
      </c>
      <c r="K19" s="35">
        <f t="shared" si="8"/>
        <v>591000</v>
      </c>
      <c r="L19" s="35">
        <f t="shared" si="9"/>
        <v>197000</v>
      </c>
      <c r="M19" s="35">
        <f t="shared" si="10"/>
        <v>394000</v>
      </c>
      <c r="N19" s="35">
        <f t="shared" si="15"/>
        <v>4629500</v>
      </c>
      <c r="O19" s="57">
        <v>4000000</v>
      </c>
      <c r="P19" s="36">
        <f t="shared" si="17"/>
        <v>76367060.09615384</v>
      </c>
      <c r="Q19" s="60"/>
      <c r="R19" s="60"/>
    </row>
    <row r="20" spans="1:18" s="32" customFormat="1" x14ac:dyDescent="0.2">
      <c r="A20" s="103"/>
      <c r="B20" s="30" t="s">
        <v>2</v>
      </c>
      <c r="C20" s="31">
        <f>SUM(C21:C32)</f>
        <v>678615760.81415391</v>
      </c>
      <c r="D20" s="31">
        <f>SUM(D21:D32)</f>
        <v>189001000</v>
      </c>
      <c r="E20" s="31">
        <f t="shared" ref="E20:I20" si="20">SUM(E21:E32)</f>
        <v>15120080</v>
      </c>
      <c r="F20" s="31">
        <f t="shared" si="20"/>
        <v>2835015</v>
      </c>
      <c r="G20" s="31">
        <f t="shared" si="20"/>
        <v>1890010</v>
      </c>
      <c r="H20" s="31">
        <f t="shared" si="20"/>
        <v>19845105</v>
      </c>
      <c r="I20" s="31">
        <f t="shared" si="20"/>
        <v>32130170</v>
      </c>
      <c r="J20" s="31">
        <f>SUM(J21:J32)</f>
        <v>945005</v>
      </c>
      <c r="K20" s="31">
        <f t="shared" ref="K20:O20" si="21">SUM(K21:K32)</f>
        <v>5670030</v>
      </c>
      <c r="L20" s="31">
        <f t="shared" si="21"/>
        <v>1890010</v>
      </c>
      <c r="M20" s="31">
        <f t="shared" si="21"/>
        <v>3780020</v>
      </c>
      <c r="N20" s="31">
        <f t="shared" si="21"/>
        <v>44415235</v>
      </c>
      <c r="O20" s="31">
        <f t="shared" si="21"/>
        <v>120500000</v>
      </c>
      <c r="P20" s="31">
        <f>SUM(P21:P32)</f>
        <v>538270655.81415379</v>
      </c>
      <c r="Q20" s="62"/>
      <c r="R20" s="62"/>
    </row>
    <row r="21" spans="1:18" ht="14.25" x14ac:dyDescent="0.2">
      <c r="A21" s="99" t="s">
        <v>131</v>
      </c>
      <c r="B21" s="76" t="s">
        <v>105</v>
      </c>
      <c r="C21" s="37">
        <v>71240046.153846145</v>
      </c>
      <c r="D21" s="38">
        <f>8300000+4800000</f>
        <v>13100000</v>
      </c>
      <c r="E21" s="35">
        <f>D21*$E$2</f>
        <v>1048000</v>
      </c>
      <c r="F21" s="35">
        <f>D21*$F$2</f>
        <v>196500</v>
      </c>
      <c r="G21" s="35">
        <f>D21*$G$2</f>
        <v>131000</v>
      </c>
      <c r="H21" s="35">
        <f>SUM(E21:G21)</f>
        <v>1375500</v>
      </c>
      <c r="I21" s="35">
        <f>D21*$I$2</f>
        <v>2227000</v>
      </c>
      <c r="J21" s="35">
        <f t="shared" si="7"/>
        <v>65500</v>
      </c>
      <c r="K21" s="35">
        <f t="shared" si="8"/>
        <v>393000</v>
      </c>
      <c r="L21" s="35">
        <f>D21*$L$2</f>
        <v>131000</v>
      </c>
      <c r="M21" s="35">
        <f t="shared" si="10"/>
        <v>262000</v>
      </c>
      <c r="N21" s="35">
        <f t="shared" si="15"/>
        <v>3078500</v>
      </c>
      <c r="O21" s="38">
        <v>3000000</v>
      </c>
      <c r="P21" s="35">
        <f>C21-H21-O21</f>
        <v>66864546.153846145</v>
      </c>
      <c r="Q21" s="59"/>
      <c r="R21" s="59"/>
    </row>
    <row r="22" spans="1:18" ht="14.25" x14ac:dyDescent="0.2">
      <c r="A22" s="99" t="s">
        <v>132</v>
      </c>
      <c r="B22" s="65" t="s">
        <v>58</v>
      </c>
      <c r="C22" s="37">
        <v>52207853.84615384</v>
      </c>
      <c r="D22" s="38">
        <f>4800000*3</f>
        <v>14400000</v>
      </c>
      <c r="E22" s="35">
        <f>D22*$E$2</f>
        <v>1152000</v>
      </c>
      <c r="F22" s="35">
        <f>D22*$F$2</f>
        <v>216000</v>
      </c>
      <c r="G22" s="35">
        <f>D22*$G$2</f>
        <v>144000</v>
      </c>
      <c r="H22" s="35">
        <f>SUM(E22:G22)</f>
        <v>1512000</v>
      </c>
      <c r="I22" s="35">
        <f>D22*$I$2</f>
        <v>2448000</v>
      </c>
      <c r="J22" s="35">
        <f t="shared" si="7"/>
        <v>72000</v>
      </c>
      <c r="K22" s="35">
        <f t="shared" si="8"/>
        <v>432000</v>
      </c>
      <c r="L22" s="35">
        <f>D22*$L$2</f>
        <v>144000</v>
      </c>
      <c r="M22" s="35">
        <f t="shared" si="10"/>
        <v>288000</v>
      </c>
      <c r="N22" s="35">
        <f t="shared" si="15"/>
        <v>3384000</v>
      </c>
      <c r="O22" s="38">
        <v>0</v>
      </c>
      <c r="P22" s="35">
        <f>C22-H22-O22</f>
        <v>50695853.84615384</v>
      </c>
      <c r="Q22" s="61"/>
      <c r="R22" s="59"/>
    </row>
    <row r="23" spans="1:18" ht="14.25" x14ac:dyDescent="0.2">
      <c r="A23" s="99" t="s">
        <v>133</v>
      </c>
      <c r="B23" s="65" t="s">
        <v>62</v>
      </c>
      <c r="C23" s="37">
        <v>82712600</v>
      </c>
      <c r="D23" s="38">
        <f>5100000+4800000*2</f>
        <v>14700000</v>
      </c>
      <c r="E23" s="35">
        <f t="shared" ref="E23:E31" si="22">D23*$E$2</f>
        <v>1176000</v>
      </c>
      <c r="F23" s="35">
        <f t="shared" ref="F23:F31" si="23">D23*$F$2</f>
        <v>220500</v>
      </c>
      <c r="G23" s="35">
        <f t="shared" ref="G23:G31" si="24">D23*$G$2</f>
        <v>147000</v>
      </c>
      <c r="H23" s="35">
        <f t="shared" ref="H23:H26" si="25">SUM(E23:G23)</f>
        <v>1543500</v>
      </c>
      <c r="I23" s="35">
        <f t="shared" ref="I23:I31" si="26">D23*$I$2</f>
        <v>2499000</v>
      </c>
      <c r="J23" s="35">
        <f t="shared" si="7"/>
        <v>73500</v>
      </c>
      <c r="K23" s="35">
        <f t="shared" si="8"/>
        <v>441000</v>
      </c>
      <c r="L23" s="35">
        <f t="shared" ref="L23:L31" si="27">D23*$L$2</f>
        <v>147000</v>
      </c>
      <c r="M23" s="35">
        <f t="shared" si="10"/>
        <v>294000</v>
      </c>
      <c r="N23" s="35">
        <f t="shared" si="15"/>
        <v>3454500</v>
      </c>
      <c r="O23" s="38">
        <v>0</v>
      </c>
      <c r="P23" s="35">
        <f>C23-H23-O23</f>
        <v>81169100</v>
      </c>
      <c r="Q23" s="61"/>
      <c r="R23" s="59"/>
    </row>
    <row r="24" spans="1:18" ht="14.25" x14ac:dyDescent="0.2">
      <c r="A24" s="99" t="s">
        <v>134</v>
      </c>
      <c r="B24" s="65" t="s">
        <v>59</v>
      </c>
      <c r="C24" s="37">
        <v>68714615.384615391</v>
      </c>
      <c r="D24" s="38">
        <f>4800000*4</f>
        <v>19200000</v>
      </c>
      <c r="E24" s="35">
        <f t="shared" si="22"/>
        <v>1536000</v>
      </c>
      <c r="F24" s="35">
        <f t="shared" si="23"/>
        <v>288000</v>
      </c>
      <c r="G24" s="35">
        <f t="shared" si="24"/>
        <v>192000</v>
      </c>
      <c r="H24" s="35">
        <f t="shared" si="25"/>
        <v>2016000</v>
      </c>
      <c r="I24" s="35">
        <f t="shared" si="26"/>
        <v>3264000.0000000005</v>
      </c>
      <c r="J24" s="35">
        <f t="shared" si="7"/>
        <v>96000</v>
      </c>
      <c r="K24" s="35">
        <f t="shared" si="8"/>
        <v>576000</v>
      </c>
      <c r="L24" s="35">
        <f t="shared" si="27"/>
        <v>192000</v>
      </c>
      <c r="M24" s="35">
        <f t="shared" si="10"/>
        <v>384000</v>
      </c>
      <c r="N24" s="35">
        <f t="shared" si="15"/>
        <v>4512000</v>
      </c>
      <c r="O24" s="38">
        <v>0</v>
      </c>
      <c r="P24" s="35">
        <f t="shared" ref="P24:P31" si="28">C24-H24-O24</f>
        <v>66698615.384615391</v>
      </c>
      <c r="Q24" s="59"/>
      <c r="R24" s="59"/>
    </row>
    <row r="25" spans="1:18" ht="14.25" x14ac:dyDescent="0.2">
      <c r="A25" s="99" t="s">
        <v>135</v>
      </c>
      <c r="B25" s="65" t="s">
        <v>60</v>
      </c>
      <c r="C25" s="92">
        <v>18266153.846153848</v>
      </c>
      <c r="D25" s="38">
        <v>0</v>
      </c>
      <c r="E25" s="35">
        <f t="shared" si="22"/>
        <v>0</v>
      </c>
      <c r="F25" s="35">
        <f t="shared" si="23"/>
        <v>0</v>
      </c>
      <c r="G25" s="35">
        <f t="shared" si="24"/>
        <v>0</v>
      </c>
      <c r="H25" s="35">
        <f t="shared" si="25"/>
        <v>0</v>
      </c>
      <c r="I25" s="35">
        <f t="shared" si="26"/>
        <v>0</v>
      </c>
      <c r="J25" s="35">
        <f t="shared" si="7"/>
        <v>0</v>
      </c>
      <c r="K25" s="35">
        <f t="shared" si="8"/>
        <v>0</v>
      </c>
      <c r="L25" s="35">
        <f t="shared" si="27"/>
        <v>0</v>
      </c>
      <c r="M25" s="35">
        <f t="shared" si="10"/>
        <v>0</v>
      </c>
      <c r="N25" s="35">
        <f t="shared" si="15"/>
        <v>0</v>
      </c>
      <c r="O25" s="38">
        <v>0</v>
      </c>
      <c r="P25" s="35">
        <f t="shared" si="28"/>
        <v>18266153.846153848</v>
      </c>
      <c r="Q25" s="59"/>
      <c r="R25" s="59"/>
    </row>
    <row r="26" spans="1:18" ht="14.25" x14ac:dyDescent="0.2">
      <c r="A26" s="99" t="s">
        <v>136</v>
      </c>
      <c r="B26" s="65" t="s">
        <v>61</v>
      </c>
      <c r="C26" s="37">
        <v>51383961.538461536</v>
      </c>
      <c r="D26" s="38">
        <v>14700000</v>
      </c>
      <c r="E26" s="35">
        <f t="shared" si="22"/>
        <v>1176000</v>
      </c>
      <c r="F26" s="35">
        <f t="shared" si="23"/>
        <v>220500</v>
      </c>
      <c r="G26" s="35">
        <f t="shared" si="24"/>
        <v>147000</v>
      </c>
      <c r="H26" s="35">
        <f t="shared" si="25"/>
        <v>1543500</v>
      </c>
      <c r="I26" s="35">
        <f t="shared" si="26"/>
        <v>2499000</v>
      </c>
      <c r="J26" s="35">
        <f t="shared" si="7"/>
        <v>73500</v>
      </c>
      <c r="K26" s="35">
        <f t="shared" si="8"/>
        <v>441000</v>
      </c>
      <c r="L26" s="35">
        <f t="shared" si="27"/>
        <v>147000</v>
      </c>
      <c r="M26" s="35">
        <f t="shared" si="10"/>
        <v>294000</v>
      </c>
      <c r="N26" s="35">
        <f t="shared" si="15"/>
        <v>3454500</v>
      </c>
      <c r="O26" s="38">
        <v>0</v>
      </c>
      <c r="P26" s="35">
        <f t="shared" si="28"/>
        <v>49840461.538461536</v>
      </c>
      <c r="Q26" s="59"/>
      <c r="R26" s="59"/>
    </row>
    <row r="27" spans="1:18" ht="14.25" x14ac:dyDescent="0.2">
      <c r="A27" s="99" t="s">
        <v>137</v>
      </c>
      <c r="B27" s="76" t="s">
        <v>106</v>
      </c>
      <c r="C27" s="37">
        <v>46212929.230769232</v>
      </c>
      <c r="D27" s="38">
        <v>15000000</v>
      </c>
      <c r="E27" s="35">
        <f t="shared" si="22"/>
        <v>1200000</v>
      </c>
      <c r="F27" s="35">
        <f t="shared" si="23"/>
        <v>225000</v>
      </c>
      <c r="G27" s="35">
        <f t="shared" si="24"/>
        <v>150000</v>
      </c>
      <c r="H27" s="35">
        <f t="shared" ref="H27:H31" si="29">SUM(E27:G27)</f>
        <v>1575000</v>
      </c>
      <c r="I27" s="35">
        <f t="shared" si="26"/>
        <v>2550000</v>
      </c>
      <c r="J27" s="35">
        <f t="shared" si="7"/>
        <v>75000</v>
      </c>
      <c r="K27" s="35">
        <f t="shared" si="8"/>
        <v>450000</v>
      </c>
      <c r="L27" s="35">
        <f t="shared" si="27"/>
        <v>150000</v>
      </c>
      <c r="M27" s="35">
        <f t="shared" si="10"/>
        <v>300000</v>
      </c>
      <c r="N27" s="35">
        <f t="shared" ref="N27" si="30">SUM(I27:M27)</f>
        <v>3525000</v>
      </c>
      <c r="O27" s="38">
        <v>13500000</v>
      </c>
      <c r="P27" s="35">
        <f t="shared" si="28"/>
        <v>31137929.230769232</v>
      </c>
      <c r="Q27" s="59"/>
      <c r="R27" s="59"/>
    </row>
    <row r="28" spans="1:18" ht="14.25" x14ac:dyDescent="0.2">
      <c r="A28" s="99" t="s">
        <v>138</v>
      </c>
      <c r="B28" s="65" t="s">
        <v>22</v>
      </c>
      <c r="C28" s="37">
        <v>92387096.076923072</v>
      </c>
      <c r="D28" s="38">
        <v>28800000</v>
      </c>
      <c r="E28" s="35">
        <f t="shared" si="22"/>
        <v>2304000</v>
      </c>
      <c r="F28" s="35">
        <f t="shared" si="23"/>
        <v>432000</v>
      </c>
      <c r="G28" s="35">
        <f t="shared" si="24"/>
        <v>288000</v>
      </c>
      <c r="H28" s="35">
        <f t="shared" si="29"/>
        <v>3024000</v>
      </c>
      <c r="I28" s="35">
        <f t="shared" si="26"/>
        <v>4896000</v>
      </c>
      <c r="J28" s="35">
        <f t="shared" si="7"/>
        <v>144000</v>
      </c>
      <c r="K28" s="35">
        <f t="shared" si="8"/>
        <v>864000</v>
      </c>
      <c r="L28" s="35">
        <f t="shared" si="27"/>
        <v>288000</v>
      </c>
      <c r="M28" s="35">
        <f t="shared" si="10"/>
        <v>576000</v>
      </c>
      <c r="N28" s="35">
        <f t="shared" si="15"/>
        <v>6768000</v>
      </c>
      <c r="O28" s="38">
        <v>30000000</v>
      </c>
      <c r="P28" s="35">
        <f t="shared" si="28"/>
        <v>59363096.076923072</v>
      </c>
      <c r="Q28" s="61"/>
      <c r="R28" s="59"/>
    </row>
    <row r="29" spans="1:18" ht="14.25" x14ac:dyDescent="0.2">
      <c r="A29" s="99" t="s">
        <v>139</v>
      </c>
      <c r="B29" s="76" t="s">
        <v>107</v>
      </c>
      <c r="C29" s="37">
        <v>23606387.692307692</v>
      </c>
      <c r="D29" s="38">
        <v>9600000</v>
      </c>
      <c r="E29" s="35">
        <f t="shared" si="22"/>
        <v>768000</v>
      </c>
      <c r="F29" s="35">
        <f t="shared" si="23"/>
        <v>144000</v>
      </c>
      <c r="G29" s="35">
        <f t="shared" si="24"/>
        <v>96000</v>
      </c>
      <c r="H29" s="35">
        <f t="shared" si="29"/>
        <v>1008000</v>
      </c>
      <c r="I29" s="35">
        <f t="shared" si="26"/>
        <v>1632000.0000000002</v>
      </c>
      <c r="J29" s="35">
        <f t="shared" si="7"/>
        <v>48000</v>
      </c>
      <c r="K29" s="35">
        <f t="shared" si="8"/>
        <v>288000</v>
      </c>
      <c r="L29" s="35">
        <f t="shared" si="27"/>
        <v>96000</v>
      </c>
      <c r="M29" s="35">
        <f t="shared" si="10"/>
        <v>192000</v>
      </c>
      <c r="N29" s="35">
        <f t="shared" ref="N29" si="31">SUM(I29:M29)</f>
        <v>2256000</v>
      </c>
      <c r="O29" s="38">
        <v>9000000</v>
      </c>
      <c r="P29" s="35">
        <f t="shared" si="28"/>
        <v>13598387.692307692</v>
      </c>
      <c r="Q29" s="61"/>
      <c r="R29" s="59"/>
    </row>
    <row r="30" spans="1:18" ht="14.25" x14ac:dyDescent="0.2">
      <c r="A30" s="99" t="s">
        <v>140</v>
      </c>
      <c r="B30" s="65" t="s">
        <v>23</v>
      </c>
      <c r="C30" s="37">
        <v>105800683.90307692</v>
      </c>
      <c r="D30" s="38">
        <v>32039000</v>
      </c>
      <c r="E30" s="35">
        <f t="shared" si="22"/>
        <v>2563120</v>
      </c>
      <c r="F30" s="35">
        <f t="shared" si="23"/>
        <v>480585</v>
      </c>
      <c r="G30" s="35">
        <f t="shared" si="24"/>
        <v>320390</v>
      </c>
      <c r="H30" s="35">
        <f t="shared" si="29"/>
        <v>3364095</v>
      </c>
      <c r="I30" s="35">
        <f t="shared" si="26"/>
        <v>5446630</v>
      </c>
      <c r="J30" s="35">
        <f t="shared" si="7"/>
        <v>160195</v>
      </c>
      <c r="K30" s="35">
        <f t="shared" si="8"/>
        <v>961170</v>
      </c>
      <c r="L30" s="35">
        <f t="shared" si="27"/>
        <v>320390</v>
      </c>
      <c r="M30" s="35">
        <f t="shared" si="10"/>
        <v>640780</v>
      </c>
      <c r="N30" s="35">
        <f t="shared" si="15"/>
        <v>7529165</v>
      </c>
      <c r="O30" s="38">
        <v>42000000</v>
      </c>
      <c r="P30" s="35">
        <f t="shared" si="28"/>
        <v>60436588.903076917</v>
      </c>
      <c r="Q30" s="61"/>
      <c r="R30" s="59"/>
    </row>
    <row r="31" spans="1:18" ht="14.25" x14ac:dyDescent="0.2">
      <c r="A31" s="99" t="s">
        <v>141</v>
      </c>
      <c r="B31" s="76" t="s">
        <v>108</v>
      </c>
      <c r="C31" s="37">
        <v>14770533.991999999</v>
      </c>
      <c r="D31" s="38">
        <v>0</v>
      </c>
      <c r="E31" s="35">
        <f t="shared" si="22"/>
        <v>0</v>
      </c>
      <c r="F31" s="35">
        <f t="shared" si="23"/>
        <v>0</v>
      </c>
      <c r="G31" s="35">
        <f t="shared" si="24"/>
        <v>0</v>
      </c>
      <c r="H31" s="35">
        <f t="shared" si="29"/>
        <v>0</v>
      </c>
      <c r="I31" s="35">
        <f t="shared" si="26"/>
        <v>0</v>
      </c>
      <c r="J31" s="35">
        <f t="shared" si="7"/>
        <v>0</v>
      </c>
      <c r="K31" s="35">
        <f t="shared" si="8"/>
        <v>0</v>
      </c>
      <c r="L31" s="35">
        <f t="shared" si="27"/>
        <v>0</v>
      </c>
      <c r="M31" s="35">
        <f t="shared" si="10"/>
        <v>0</v>
      </c>
      <c r="N31" s="35">
        <f t="shared" ref="N31" si="32">SUM(I31:M31)</f>
        <v>0</v>
      </c>
      <c r="O31" s="38">
        <v>6000000</v>
      </c>
      <c r="P31" s="35">
        <f t="shared" si="28"/>
        <v>8770533.9919999987</v>
      </c>
      <c r="Q31" s="61"/>
      <c r="R31" s="59"/>
    </row>
    <row r="32" spans="1:18" ht="14.25" x14ac:dyDescent="0.2">
      <c r="A32" s="99" t="s">
        <v>142</v>
      </c>
      <c r="B32" s="65" t="s">
        <v>3</v>
      </c>
      <c r="C32" s="37">
        <v>51312899.149846151</v>
      </c>
      <c r="D32" s="38">
        <v>27462000</v>
      </c>
      <c r="E32" s="35">
        <f>D32*$E$2</f>
        <v>2196960</v>
      </c>
      <c r="F32" s="35">
        <f>D32*$F$2</f>
        <v>411930</v>
      </c>
      <c r="G32" s="35">
        <f>D32*$G$2</f>
        <v>274620</v>
      </c>
      <c r="H32" s="35">
        <f>SUM(E32:G32)</f>
        <v>2883510</v>
      </c>
      <c r="I32" s="35">
        <f>D32*$I$2</f>
        <v>4668540</v>
      </c>
      <c r="J32" s="35">
        <f>D32*$J$2</f>
        <v>137310</v>
      </c>
      <c r="K32" s="35">
        <f>D32*$K$2</f>
        <v>823860</v>
      </c>
      <c r="L32" s="35">
        <f>D32*$L$2</f>
        <v>274620</v>
      </c>
      <c r="M32" s="35">
        <f>D32*$M$2</f>
        <v>549240</v>
      </c>
      <c r="N32" s="35">
        <f>SUM(I32:M32)</f>
        <v>6453570</v>
      </c>
      <c r="O32" s="38">
        <v>17000000</v>
      </c>
      <c r="P32" s="35">
        <f>C32-H32-O32</f>
        <v>31429389.149846151</v>
      </c>
      <c r="Q32" s="61"/>
      <c r="R32" s="59"/>
    </row>
    <row r="33" spans="1:18" s="32" customFormat="1" x14ac:dyDescent="0.2">
      <c r="A33" s="103"/>
      <c r="B33" s="30" t="s">
        <v>24</v>
      </c>
      <c r="C33" s="31">
        <f>SUM(C34:C36)</f>
        <v>1205630324.4608834</v>
      </c>
      <c r="D33" s="31">
        <f t="shared" ref="D33:O33" si="33">SUM(D34:D36)</f>
        <v>466251000</v>
      </c>
      <c r="E33" s="31">
        <f t="shared" si="33"/>
        <v>37300080</v>
      </c>
      <c r="F33" s="31">
        <f t="shared" si="33"/>
        <v>6993765</v>
      </c>
      <c r="G33" s="31">
        <f t="shared" si="33"/>
        <v>4662510</v>
      </c>
      <c r="H33" s="31">
        <f t="shared" si="33"/>
        <v>48956355</v>
      </c>
      <c r="I33" s="31">
        <f t="shared" si="33"/>
        <v>79262670</v>
      </c>
      <c r="J33" s="31">
        <f>SUM(J34:J36)</f>
        <v>2331255</v>
      </c>
      <c r="K33" s="31">
        <f t="shared" si="33"/>
        <v>13987530</v>
      </c>
      <c r="L33" s="31">
        <f t="shared" si="33"/>
        <v>4662510</v>
      </c>
      <c r="M33" s="31">
        <f t="shared" si="33"/>
        <v>9325020</v>
      </c>
      <c r="N33" s="31">
        <f t="shared" si="33"/>
        <v>109568985</v>
      </c>
      <c r="O33" s="31">
        <f t="shared" si="33"/>
        <v>354100000</v>
      </c>
      <c r="P33" s="31">
        <f>SUM(P34:P36)</f>
        <v>802573969.46088338</v>
      </c>
      <c r="Q33" s="62"/>
      <c r="R33" s="62"/>
    </row>
    <row r="34" spans="1:18" ht="64.5" x14ac:dyDescent="0.25">
      <c r="A34" s="99" t="s">
        <v>143</v>
      </c>
      <c r="B34" s="40" t="s">
        <v>43</v>
      </c>
      <c r="C34" s="41">
        <v>790089055.42409897</v>
      </c>
      <c r="D34" s="42">
        <v>296379000</v>
      </c>
      <c r="E34" s="35">
        <f>D34*$E$2</f>
        <v>23710320</v>
      </c>
      <c r="F34" s="35">
        <f>D34*$F$2</f>
        <v>4445685</v>
      </c>
      <c r="G34" s="35">
        <f>D34*$G$2</f>
        <v>2963790</v>
      </c>
      <c r="H34" s="35">
        <f>SUM(E34:G34)</f>
        <v>31119795</v>
      </c>
      <c r="I34" s="35">
        <f>D34*$I$2</f>
        <v>50384430</v>
      </c>
      <c r="J34" s="35">
        <f t="shared" si="7"/>
        <v>1481895</v>
      </c>
      <c r="K34" s="35">
        <f t="shared" si="8"/>
        <v>8891370</v>
      </c>
      <c r="L34" s="35">
        <f>D34*$L$2</f>
        <v>2963790</v>
      </c>
      <c r="M34" s="35">
        <f t="shared" si="10"/>
        <v>5927580</v>
      </c>
      <c r="N34" s="35">
        <f>SUM(I34:M34)</f>
        <v>69649065</v>
      </c>
      <c r="O34" s="42">
        <v>203100000</v>
      </c>
      <c r="P34" s="36">
        <f>C34-H34-O34</f>
        <v>555869260.42409897</v>
      </c>
      <c r="Q34" s="60"/>
      <c r="R34" s="61"/>
    </row>
    <row r="35" spans="1:18" ht="14.25" x14ac:dyDescent="0.25">
      <c r="A35" s="99" t="s">
        <v>144</v>
      </c>
      <c r="B35" s="33" t="s">
        <v>41</v>
      </c>
      <c r="C35" s="43">
        <f>206681546.092073+380000</f>
        <v>207061546.09207299</v>
      </c>
      <c r="D35" s="42">
        <v>73232000</v>
      </c>
      <c r="E35" s="35">
        <f>D35*$E$2</f>
        <v>5858560</v>
      </c>
      <c r="F35" s="35">
        <f>D35*$F$2</f>
        <v>1098480</v>
      </c>
      <c r="G35" s="35">
        <f>D35*$G$2</f>
        <v>732320</v>
      </c>
      <c r="H35" s="35">
        <f>SUM(E35:G35)</f>
        <v>7689360</v>
      </c>
      <c r="I35" s="35">
        <f>D35*$I$2</f>
        <v>12449440</v>
      </c>
      <c r="J35" s="35">
        <f>D35*$J$2</f>
        <v>366160</v>
      </c>
      <c r="K35" s="35">
        <f>D35*$K$2</f>
        <v>2196960</v>
      </c>
      <c r="L35" s="35">
        <f>D35*$L$2</f>
        <v>732320</v>
      </c>
      <c r="M35" s="35">
        <f t="shared" si="10"/>
        <v>1464640</v>
      </c>
      <c r="N35" s="35">
        <f>SUM(I35:M35)</f>
        <v>17209520</v>
      </c>
      <c r="O35" s="42">
        <v>91000000</v>
      </c>
      <c r="P35" s="36">
        <f>C35-H35-O35</f>
        <v>108372186.09207299</v>
      </c>
      <c r="Q35" s="60"/>
      <c r="R35" s="61"/>
    </row>
    <row r="36" spans="1:18" ht="14.25" x14ac:dyDescent="0.25">
      <c r="A36" s="99" t="s">
        <v>145</v>
      </c>
      <c r="B36" s="33" t="s">
        <v>42</v>
      </c>
      <c r="C36" s="41">
        <v>208479722.94471151</v>
      </c>
      <c r="D36" s="42">
        <v>96640000</v>
      </c>
      <c r="E36" s="35">
        <f t="shared" ref="E36" si="34">D36*$E$2</f>
        <v>7731200</v>
      </c>
      <c r="F36" s="35">
        <f t="shared" ref="F36" si="35">D36*$F$2</f>
        <v>1449600</v>
      </c>
      <c r="G36" s="35">
        <f t="shared" ref="G36" si="36">D36*$G$2</f>
        <v>966400</v>
      </c>
      <c r="H36" s="35">
        <f t="shared" ref="H36" si="37">SUM(E36:G36)</f>
        <v>10147200</v>
      </c>
      <c r="I36" s="35">
        <f t="shared" ref="I36" si="38">D36*$I$2</f>
        <v>16428800.000000002</v>
      </c>
      <c r="J36" s="35">
        <f t="shared" si="7"/>
        <v>483200</v>
      </c>
      <c r="K36" s="35">
        <f t="shared" si="8"/>
        <v>2899200</v>
      </c>
      <c r="L36" s="35">
        <f t="shared" ref="L36" si="39">D36*$L$2</f>
        <v>966400</v>
      </c>
      <c r="M36" s="35">
        <f t="shared" si="10"/>
        <v>1932800</v>
      </c>
      <c r="N36" s="35">
        <f>SUM(I36:M36)</f>
        <v>22710400</v>
      </c>
      <c r="O36" s="42">
        <v>60000000</v>
      </c>
      <c r="P36" s="54">
        <f>C36-H36-O36</f>
        <v>138332522.94471151</v>
      </c>
      <c r="Q36" s="60"/>
      <c r="R36" s="61"/>
    </row>
    <row r="37" spans="1:18" x14ac:dyDescent="0.2">
      <c r="B37" s="29" t="s">
        <v>4</v>
      </c>
      <c r="C37" s="28">
        <f t="shared" ref="C37:O37" si="40">+C4+C20+C33</f>
        <v>2941099579.2734346</v>
      </c>
      <c r="D37" s="28">
        <f t="shared" si="40"/>
        <v>875606000</v>
      </c>
      <c r="E37" s="28">
        <f t="shared" si="40"/>
        <v>69384480</v>
      </c>
      <c r="F37" s="28">
        <f t="shared" si="40"/>
        <v>13009590</v>
      </c>
      <c r="G37" s="28">
        <f t="shared" si="40"/>
        <v>8673060</v>
      </c>
      <c r="H37" s="28">
        <f t="shared" si="40"/>
        <v>91067130</v>
      </c>
      <c r="I37" s="28">
        <f t="shared" si="40"/>
        <v>147442020</v>
      </c>
      <c r="J37" s="28">
        <f t="shared" si="40"/>
        <v>4378030</v>
      </c>
      <c r="K37" s="28">
        <f t="shared" si="40"/>
        <v>26019180</v>
      </c>
      <c r="L37" s="28">
        <f t="shared" si="40"/>
        <v>8673060</v>
      </c>
      <c r="M37" s="28">
        <f t="shared" si="40"/>
        <v>17346120</v>
      </c>
      <c r="N37" s="28">
        <f t="shared" si="40"/>
        <v>203858410</v>
      </c>
      <c r="O37" s="28">
        <f t="shared" si="40"/>
        <v>541600000</v>
      </c>
      <c r="P37" s="28">
        <f>+P4+P20+P33</f>
        <v>2308432449.2734346</v>
      </c>
      <c r="Q37" s="59"/>
      <c r="R37" s="61"/>
    </row>
    <row r="38" spans="1:18" x14ac:dyDescent="0.2">
      <c r="M38" s="39"/>
      <c r="N38" s="39"/>
      <c r="P38" s="74">
        <v>2308443000</v>
      </c>
    </row>
    <row r="39" spans="1:18" ht="15" customHeight="1" x14ac:dyDescent="0.2">
      <c r="C39" s="96"/>
      <c r="D39" s="39"/>
      <c r="I39" s="97"/>
      <c r="J39" s="97"/>
      <c r="K39" s="115"/>
      <c r="L39" s="115"/>
      <c r="M39" s="115"/>
      <c r="N39" s="115"/>
      <c r="O39" s="115"/>
      <c r="P39" s="39"/>
    </row>
    <row r="40" spans="1:18" x14ac:dyDescent="0.2">
      <c r="C40" s="91"/>
      <c r="D40" s="39"/>
      <c r="P40" s="39"/>
    </row>
    <row r="41" spans="1:18" x14ac:dyDescent="0.2">
      <c r="C41" s="91"/>
      <c r="D41" s="39"/>
    </row>
    <row r="44" spans="1:18" x14ac:dyDescent="0.2">
      <c r="L44" s="39"/>
    </row>
    <row r="54" spans="5:12" x14ac:dyDescent="0.2">
      <c r="E54" s="95"/>
    </row>
    <row r="57" spans="5:12" x14ac:dyDescent="0.2">
      <c r="H57" s="98"/>
    </row>
    <row r="61" spans="5:12" x14ac:dyDescent="0.2">
      <c r="J61" s="98"/>
      <c r="K61" s="98"/>
      <c r="L61" s="98"/>
    </row>
  </sheetData>
  <mergeCells count="1">
    <mergeCell ref="K39:O3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TRUY LANH GN-VC 12T</vt:lpstr>
      <vt:lpstr>THUONG DOT 1 - 2018</vt:lpstr>
      <vt:lpstr>THUONG DOT 2 -2018</vt:lpstr>
      <vt:lpstr>Thang 01-2019</vt:lpstr>
      <vt:lpstr>Thang 02-2019</vt:lpstr>
      <vt:lpstr>Thang 03 - 2019</vt:lpstr>
      <vt:lpstr>Thang 04 - 2019</vt:lpstr>
      <vt:lpstr>Thang 05 - 2019</vt:lpstr>
      <vt:lpstr>Thang 06 - 2019</vt:lpstr>
      <vt:lpstr>Thang 07 - 2019</vt:lpstr>
      <vt:lpstr>Thang 08 - 2019</vt:lpstr>
      <vt:lpstr>Thang 09 - 2019</vt:lpstr>
      <vt:lpstr>Thang 10 - 2019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ANH</cp:lastModifiedBy>
  <dcterms:created xsi:type="dcterms:W3CDTF">2016-06-21T08:27:38Z</dcterms:created>
  <dcterms:modified xsi:type="dcterms:W3CDTF">2019-11-13T06:58:01Z</dcterms:modified>
</cp:coreProperties>
</file>