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hidePivotFieldList="1"/>
  <mc:AlternateContent xmlns:mc="http://schemas.openxmlformats.org/markup-compatibility/2006">
    <mc:Choice Requires="x15">
      <x15ac:absPath xmlns:x15ac="http://schemas.microsoft.com/office/spreadsheetml/2010/11/ac" url="D:\projects\sgx\requirements\NM\"/>
    </mc:Choice>
  </mc:AlternateContent>
  <bookViews>
    <workbookView xWindow="0" yWindow="180" windowWidth="15360" windowHeight="7280" tabRatio="630" firstSheet="1" activeTab="4"/>
  </bookViews>
  <sheets>
    <sheet name="Nhân Sự" sheetId="40" state="hidden" r:id="rId1"/>
    <sheet name="MA SO" sheetId="1" r:id="rId2"/>
    <sheet name="DATA PHOI TRON" sheetId="34" state="hidden" r:id="rId3"/>
    <sheet name="DATA N-X-T" sheetId="36" state="hidden" r:id="rId4"/>
    <sheet name="DATA VAN HANH" sheetId="2" r:id="rId5"/>
    <sheet name="IN CA 2" sheetId="42" r:id="rId6"/>
    <sheet name="IN CA 1" sheetId="45" state="hidden" r:id="rId7"/>
    <sheet name="BC NHAN SU" sheetId="39" state="hidden" r:id="rId8"/>
    <sheet name="BC XCG" sheetId="38" state="hidden" r:id="rId9"/>
    <sheet name="BC PHOI TRON" sheetId="35" state="hidden" r:id="rId10"/>
    <sheet name="DANH GIA XE XUC" sheetId="30" state="hidden" r:id="rId11"/>
    <sheet name="Data DL XCG" sheetId="33" state="hidden" r:id="rId12"/>
    <sheet name="XCG" sheetId="24" state="hidden" r:id="rId13"/>
    <sheet name="BC N-X-T" sheetId="41" state="hidden" r:id="rId14"/>
    <sheet name="VHM" sheetId="46" r:id="rId15"/>
  </sheets>
  <externalReferences>
    <externalReference r:id="rId16"/>
  </externalReferences>
  <definedNames>
    <definedName name="_xlnm._FilterDatabase" localSheetId="10" hidden="1">'DANH GIA XE XUC'!$G$4:$K$8</definedName>
    <definedName name="_xlnm._FilterDatabase" localSheetId="12" hidden="1">XCG!$T$1:$AB$34</definedName>
    <definedName name="BCĐG">#REF!</definedName>
    <definedName name="_xlnm.Print_Area" localSheetId="4">'DATA VAN HANH'!$B$2:$R$213</definedName>
    <definedName name="_xlnm.Print_Area" localSheetId="1">'MA SO'!$B$3:$E$73</definedName>
  </definedNames>
  <calcPr calcId="162913" concurrentCalc="0"/>
  <pivotCaches>
    <pivotCache cacheId="0" r:id="rId17"/>
    <pivotCache cacheId="1" r:id="rId18"/>
    <pivotCache cacheId="2" r:id="rId19"/>
  </pivotCaches>
</workbook>
</file>

<file path=xl/calcChain.xml><?xml version="1.0" encoding="utf-8"?>
<calcChain xmlns="http://schemas.openxmlformats.org/spreadsheetml/2006/main">
  <c r="I8" i="46" l="1"/>
  <c r="I17" i="46"/>
  <c r="S200" i="2"/>
  <c r="S194" i="2"/>
  <c r="I8" i="42"/>
  <c r="B8" i="4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A96" i="2"/>
  <c r="A97" i="2"/>
  <c r="A98" i="2"/>
  <c r="A99" i="2"/>
  <c r="R96" i="2"/>
  <c r="R97" i="2"/>
  <c r="R98" i="2"/>
  <c r="R99" i="2"/>
  <c r="A95" i="2"/>
  <c r="R95" i="2"/>
  <c r="A93" i="2"/>
  <c r="A94" i="2"/>
  <c r="R93" i="2"/>
  <c r="R94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A3" i="2"/>
  <c r="A4" i="2"/>
  <c r="A5" i="2"/>
  <c r="A6" i="2"/>
  <c r="A7" i="2"/>
  <c r="A8" i="2"/>
  <c r="A9" i="2"/>
  <c r="R3" i="2"/>
  <c r="R4" i="2"/>
  <c r="R5" i="2"/>
  <c r="R6" i="2"/>
  <c r="R7" i="2"/>
  <c r="R8" i="2"/>
  <c r="R9" i="2"/>
  <c r="E16" i="46" a="1"/>
  <c r="E16" i="46"/>
  <c r="I13" i="46" a="1"/>
  <c r="I13" i="46"/>
  <c r="E12" i="46" a="1"/>
  <c r="E12" i="46"/>
  <c r="B9" i="46"/>
  <c r="B8" i="46"/>
  <c r="O426" i="24"/>
  <c r="O432" i="24"/>
  <c r="O439" i="24"/>
  <c r="P416" i="24"/>
  <c r="P426" i="24"/>
  <c r="P432" i="24"/>
  <c r="P439" i="24"/>
  <c r="Q439" i="24"/>
  <c r="AB16" i="24"/>
  <c r="K433" i="24"/>
  <c r="D433" i="24"/>
  <c r="L433" i="24"/>
  <c r="AB15" i="24"/>
  <c r="K434" i="24"/>
  <c r="D434" i="24"/>
  <c r="L434" i="24"/>
  <c r="L435" i="24"/>
  <c r="L436" i="24"/>
  <c r="L437" i="24"/>
  <c r="L438" i="24"/>
  <c r="L439" i="24"/>
  <c r="K435" i="24"/>
  <c r="K436" i="24"/>
  <c r="K437" i="24"/>
  <c r="K438" i="24"/>
  <c r="K439" i="24"/>
  <c r="M439" i="24"/>
  <c r="G433" i="24"/>
  <c r="H433" i="24"/>
  <c r="I433" i="24"/>
  <c r="G434" i="24"/>
  <c r="H434" i="24"/>
  <c r="I434" i="24"/>
  <c r="G435" i="24"/>
  <c r="H435" i="24"/>
  <c r="I435" i="24"/>
  <c r="H436" i="24"/>
  <c r="I436" i="24"/>
  <c r="G437" i="24"/>
  <c r="H437" i="24"/>
  <c r="I437" i="24"/>
  <c r="G438" i="24"/>
  <c r="H438" i="24"/>
  <c r="I438" i="24"/>
  <c r="I439" i="24"/>
  <c r="S433" i="24"/>
  <c r="R433" i="24"/>
  <c r="Q433" i="24"/>
  <c r="Q432" i="24"/>
  <c r="L427" i="24"/>
  <c r="L428" i="24"/>
  <c r="L429" i="24"/>
  <c r="L430" i="24"/>
  <c r="L431" i="24"/>
  <c r="L432" i="24"/>
  <c r="K427" i="24"/>
  <c r="K428" i="24"/>
  <c r="K429" i="24"/>
  <c r="K430" i="24"/>
  <c r="K431" i="24"/>
  <c r="K432" i="24"/>
  <c r="M432" i="24"/>
  <c r="G427" i="24"/>
  <c r="H427" i="24"/>
  <c r="I427" i="24"/>
  <c r="I432" i="24"/>
  <c r="G431" i="24"/>
  <c r="H431" i="24"/>
  <c r="I431" i="24"/>
  <c r="G430" i="24"/>
  <c r="H430" i="24"/>
  <c r="I430" i="24"/>
  <c r="G429" i="24"/>
  <c r="H429" i="24"/>
  <c r="I429" i="24"/>
  <c r="G428" i="24"/>
  <c r="H428" i="24"/>
  <c r="I428" i="24"/>
  <c r="S427" i="24"/>
  <c r="R427" i="24"/>
  <c r="Q427" i="24"/>
  <c r="Q426" i="24"/>
  <c r="L416" i="24"/>
  <c r="L417" i="24"/>
  <c r="L418" i="24"/>
  <c r="L419" i="24"/>
  <c r="L420" i="24"/>
  <c r="L421" i="24"/>
  <c r="L422" i="24"/>
  <c r="L423" i="24"/>
  <c r="L424" i="24"/>
  <c r="L425" i="24"/>
  <c r="L426" i="24"/>
  <c r="K416" i="24"/>
  <c r="K417" i="24"/>
  <c r="K418" i="24"/>
  <c r="K419" i="24"/>
  <c r="K420" i="24"/>
  <c r="K421" i="24"/>
  <c r="K422" i="24"/>
  <c r="K423" i="24"/>
  <c r="K424" i="24"/>
  <c r="K425" i="24"/>
  <c r="K426" i="24"/>
  <c r="M426" i="24"/>
  <c r="G416" i="24"/>
  <c r="H416" i="24"/>
  <c r="I416" i="24"/>
  <c r="I426" i="24"/>
  <c r="G425" i="24"/>
  <c r="H425" i="24"/>
  <c r="I425" i="24"/>
  <c r="G424" i="24"/>
  <c r="H424" i="24"/>
  <c r="I424" i="24"/>
  <c r="G423" i="24"/>
  <c r="H423" i="24"/>
  <c r="I423" i="24"/>
  <c r="G422" i="24"/>
  <c r="H422" i="24"/>
  <c r="I422" i="24"/>
  <c r="G421" i="24"/>
  <c r="H421" i="24"/>
  <c r="I421" i="24"/>
  <c r="G420" i="24"/>
  <c r="H420" i="24"/>
  <c r="I420" i="24"/>
  <c r="G419" i="24"/>
  <c r="H419" i="24"/>
  <c r="I419" i="24"/>
  <c r="G418" i="24"/>
  <c r="H418" i="24"/>
  <c r="I418" i="24"/>
  <c r="G417" i="24"/>
  <c r="H417" i="24"/>
  <c r="I417" i="24"/>
  <c r="S416" i="24"/>
  <c r="R416" i="24"/>
  <c r="O415" i="24"/>
  <c r="P405" i="24"/>
  <c r="P415" i="24"/>
  <c r="Q415" i="24"/>
  <c r="L405" i="24"/>
  <c r="L406" i="24"/>
  <c r="L407" i="24"/>
  <c r="L408" i="24"/>
  <c r="L409" i="24"/>
  <c r="L410" i="24"/>
  <c r="L411" i="24"/>
  <c r="L412" i="24"/>
  <c r="L413" i="24"/>
  <c r="L414" i="24"/>
  <c r="L415" i="24"/>
  <c r="K405" i="24"/>
  <c r="K406" i="24"/>
  <c r="K407" i="24"/>
  <c r="K408" i="24"/>
  <c r="K409" i="24"/>
  <c r="K410" i="24"/>
  <c r="K411" i="24"/>
  <c r="K412" i="24"/>
  <c r="K413" i="24"/>
  <c r="K414" i="24"/>
  <c r="K415" i="24"/>
  <c r="M415" i="24"/>
  <c r="G405" i="24"/>
  <c r="H405" i="24"/>
  <c r="I405" i="24"/>
  <c r="I415" i="24"/>
  <c r="G414" i="24"/>
  <c r="H414" i="24"/>
  <c r="I414" i="24"/>
  <c r="G413" i="24"/>
  <c r="H413" i="24"/>
  <c r="I413" i="24"/>
  <c r="G412" i="24"/>
  <c r="H412" i="24"/>
  <c r="I412" i="24"/>
  <c r="G411" i="24"/>
  <c r="H411" i="24"/>
  <c r="I411" i="24"/>
  <c r="G410" i="24"/>
  <c r="H410" i="24"/>
  <c r="I410" i="24"/>
  <c r="G409" i="24"/>
  <c r="H409" i="24"/>
  <c r="I409" i="24"/>
  <c r="G408" i="24"/>
  <c r="H408" i="24"/>
  <c r="I408" i="24"/>
  <c r="G407" i="24"/>
  <c r="H407" i="24"/>
  <c r="I407" i="24"/>
  <c r="G406" i="24"/>
  <c r="H406" i="24"/>
  <c r="I406" i="24"/>
  <c r="S405" i="24"/>
  <c r="R405" i="24"/>
  <c r="O404" i="24"/>
  <c r="P394" i="24"/>
  <c r="P404" i="24"/>
  <c r="Q404" i="24"/>
  <c r="L394" i="24"/>
  <c r="AB25" i="24"/>
  <c r="K395" i="24"/>
  <c r="D395" i="24"/>
  <c r="L395" i="24"/>
  <c r="L396" i="24"/>
  <c r="L397" i="24"/>
  <c r="L398" i="24"/>
  <c r="L399" i="24"/>
  <c r="L400" i="24"/>
  <c r="L401" i="24"/>
  <c r="L402" i="24"/>
  <c r="L403" i="24"/>
  <c r="L404" i="24"/>
  <c r="K394" i="24"/>
  <c r="K396" i="24"/>
  <c r="AB19" i="24"/>
  <c r="K397" i="24"/>
  <c r="AB6" i="24"/>
  <c r="K398" i="24"/>
  <c r="K399" i="24"/>
  <c r="K400" i="24"/>
  <c r="K401" i="24"/>
  <c r="K402" i="24"/>
  <c r="K403" i="24"/>
  <c r="K404" i="24"/>
  <c r="M404" i="24"/>
  <c r="G394" i="24"/>
  <c r="H394" i="24"/>
  <c r="I394" i="24"/>
  <c r="G395" i="24"/>
  <c r="H395" i="24"/>
  <c r="I395" i="24"/>
  <c r="G396" i="24"/>
  <c r="H396" i="24"/>
  <c r="I396" i="24"/>
  <c r="G397" i="24"/>
  <c r="H397" i="24"/>
  <c r="I397" i="24"/>
  <c r="G398" i="24"/>
  <c r="H398" i="24"/>
  <c r="I398" i="24"/>
  <c r="G399" i="24"/>
  <c r="H399" i="24"/>
  <c r="I399" i="24"/>
  <c r="G400" i="24"/>
  <c r="H400" i="24"/>
  <c r="I400" i="24"/>
  <c r="G401" i="24"/>
  <c r="H401" i="24"/>
  <c r="I401" i="24"/>
  <c r="G402" i="24"/>
  <c r="H402" i="24"/>
  <c r="I402" i="24"/>
  <c r="G403" i="24"/>
  <c r="H403" i="24"/>
  <c r="I403" i="24"/>
  <c r="I404" i="24"/>
  <c r="R394" i="24"/>
  <c r="O393" i="24"/>
  <c r="P393" i="24"/>
  <c r="Q393" i="24"/>
  <c r="L385" i="24"/>
  <c r="L386" i="24"/>
  <c r="L387" i="24"/>
  <c r="L388" i="24"/>
  <c r="L389" i="24"/>
  <c r="L390" i="24"/>
  <c r="L391" i="24"/>
  <c r="L392" i="24"/>
  <c r="L393" i="24"/>
  <c r="K385" i="24"/>
  <c r="K386" i="24"/>
  <c r="K387" i="24"/>
  <c r="K388" i="24"/>
  <c r="K389" i="24"/>
  <c r="K390" i="24"/>
  <c r="K391" i="24"/>
  <c r="K392" i="24"/>
  <c r="K393" i="24"/>
  <c r="M393" i="24"/>
  <c r="G385" i="24"/>
  <c r="H385" i="24"/>
  <c r="I385" i="24"/>
  <c r="G386" i="24"/>
  <c r="H386" i="24"/>
  <c r="I386" i="24"/>
  <c r="G387" i="24"/>
  <c r="H387" i="24"/>
  <c r="I387" i="24"/>
  <c r="G388" i="24"/>
  <c r="H388" i="24"/>
  <c r="I388" i="24"/>
  <c r="G389" i="24"/>
  <c r="H389" i="24"/>
  <c r="I389" i="24"/>
  <c r="G390" i="24"/>
  <c r="H390" i="24"/>
  <c r="I390" i="24"/>
  <c r="G391" i="24"/>
  <c r="H391" i="24"/>
  <c r="I391" i="24"/>
  <c r="G392" i="24"/>
  <c r="H392" i="24"/>
  <c r="I392" i="24"/>
  <c r="I393" i="24"/>
  <c r="R385" i="24"/>
  <c r="O355" i="24"/>
  <c r="O384" i="24"/>
  <c r="P345" i="24"/>
  <c r="P355" i="24"/>
  <c r="P384" i="24"/>
  <c r="Q384" i="24"/>
  <c r="Y32" i="24"/>
  <c r="K345" i="24"/>
  <c r="D345" i="24"/>
  <c r="L345" i="24"/>
  <c r="Y25" i="24"/>
  <c r="K346" i="24"/>
  <c r="D346" i="24"/>
  <c r="L346" i="24"/>
  <c r="Y12" i="24"/>
  <c r="K347" i="24"/>
  <c r="D347" i="24"/>
  <c r="L347" i="24"/>
  <c r="L348" i="24"/>
  <c r="L349" i="24"/>
  <c r="L350" i="24"/>
  <c r="L351" i="24"/>
  <c r="L352" i="24"/>
  <c r="L353" i="24"/>
  <c r="L354" i="24"/>
  <c r="L355" i="24"/>
  <c r="L356" i="24"/>
  <c r="L357" i="24"/>
  <c r="L358" i="24"/>
  <c r="L359" i="24"/>
  <c r="L360" i="24"/>
  <c r="L361" i="24"/>
  <c r="L362" i="24"/>
  <c r="L363" i="24"/>
  <c r="L364" i="24"/>
  <c r="L365" i="24"/>
  <c r="L366" i="24"/>
  <c r="K367" i="24"/>
  <c r="D367" i="24"/>
  <c r="L367" i="24"/>
  <c r="L368" i="24"/>
  <c r="L369" i="24"/>
  <c r="L370" i="24"/>
  <c r="L371" i="24"/>
  <c r="L372" i="24"/>
  <c r="L373" i="24"/>
  <c r="L374" i="24"/>
  <c r="L375" i="24"/>
  <c r="K376" i="24"/>
  <c r="D376" i="24"/>
  <c r="L376" i="24"/>
  <c r="L377" i="24"/>
  <c r="L378" i="24"/>
  <c r="L379" i="24"/>
  <c r="L380" i="24"/>
  <c r="L381" i="24"/>
  <c r="L382" i="24"/>
  <c r="L383" i="24"/>
  <c r="L384" i="24"/>
  <c r="K348" i="24"/>
  <c r="K349" i="24"/>
  <c r="K350" i="24"/>
  <c r="K351" i="24"/>
  <c r="K352" i="24"/>
  <c r="K353" i="24"/>
  <c r="K354" i="24"/>
  <c r="K355" i="24"/>
  <c r="Y9" i="24"/>
  <c r="K356" i="24"/>
  <c r="K357" i="24"/>
  <c r="K358" i="24"/>
  <c r="K359" i="24"/>
  <c r="K360" i="24"/>
  <c r="K361" i="24"/>
  <c r="K362" i="24"/>
  <c r="K363" i="24"/>
  <c r="K364" i="24"/>
  <c r="K365" i="24"/>
  <c r="K366" i="24"/>
  <c r="K368" i="24"/>
  <c r="K369" i="24"/>
  <c r="K370" i="24"/>
  <c r="K371" i="24"/>
  <c r="K372" i="24"/>
  <c r="K373" i="24"/>
  <c r="K374" i="24"/>
  <c r="K375" i="24"/>
  <c r="K377" i="24"/>
  <c r="K378" i="24"/>
  <c r="K379" i="24"/>
  <c r="K380" i="24"/>
  <c r="K381" i="24"/>
  <c r="K382" i="24"/>
  <c r="K383" i="24"/>
  <c r="K384" i="24"/>
  <c r="M384" i="24"/>
  <c r="G376" i="24"/>
  <c r="H376" i="24"/>
  <c r="I376" i="24"/>
  <c r="G377" i="24"/>
  <c r="H377" i="24"/>
  <c r="I377" i="24"/>
  <c r="G378" i="24"/>
  <c r="H378" i="24"/>
  <c r="I378" i="24"/>
  <c r="G379" i="24"/>
  <c r="H379" i="24"/>
  <c r="I379" i="24"/>
  <c r="G380" i="24"/>
  <c r="H380" i="24"/>
  <c r="I380" i="24"/>
  <c r="G381" i="24"/>
  <c r="H381" i="24"/>
  <c r="I381" i="24"/>
  <c r="G382" i="24"/>
  <c r="H382" i="24"/>
  <c r="I382" i="24"/>
  <c r="G383" i="24"/>
  <c r="H383" i="24"/>
  <c r="I383" i="24"/>
  <c r="I384" i="24"/>
  <c r="R376" i="24"/>
  <c r="M375" i="24"/>
  <c r="G367" i="24"/>
  <c r="H367" i="24"/>
  <c r="I367" i="24"/>
  <c r="G368" i="24"/>
  <c r="H368" i="24"/>
  <c r="I368" i="24"/>
  <c r="G369" i="24"/>
  <c r="H369" i="24"/>
  <c r="I369" i="24"/>
  <c r="G370" i="24"/>
  <c r="H370" i="24"/>
  <c r="I370" i="24"/>
  <c r="G371" i="24"/>
  <c r="H371" i="24"/>
  <c r="I371" i="24"/>
  <c r="G372" i="24"/>
  <c r="H372" i="24"/>
  <c r="I372" i="24"/>
  <c r="G373" i="24"/>
  <c r="H373" i="24"/>
  <c r="I373" i="24"/>
  <c r="G374" i="24"/>
  <c r="H374" i="24"/>
  <c r="I374" i="24"/>
  <c r="I375" i="24"/>
  <c r="R367" i="24"/>
  <c r="O366" i="24"/>
  <c r="P366" i="24"/>
  <c r="Q366" i="24"/>
  <c r="M366" i="24"/>
  <c r="G356" i="24"/>
  <c r="H356" i="24"/>
  <c r="I356" i="24"/>
  <c r="G357" i="24"/>
  <c r="H357" i="24"/>
  <c r="I357" i="24"/>
  <c r="G358" i="24"/>
  <c r="H358" i="24"/>
  <c r="I358" i="24"/>
  <c r="G359" i="24"/>
  <c r="H359" i="24"/>
  <c r="I359" i="24"/>
  <c r="G360" i="24"/>
  <c r="H360" i="24"/>
  <c r="I360" i="24"/>
  <c r="G361" i="24"/>
  <c r="H361" i="24"/>
  <c r="I361" i="24"/>
  <c r="G362" i="24"/>
  <c r="H362" i="24"/>
  <c r="I362" i="24"/>
  <c r="G363" i="24"/>
  <c r="H363" i="24"/>
  <c r="I363" i="24"/>
  <c r="G364" i="24"/>
  <c r="H364" i="24"/>
  <c r="I364" i="24"/>
  <c r="G365" i="24"/>
  <c r="H365" i="24"/>
  <c r="I365" i="24"/>
  <c r="I366" i="24"/>
  <c r="S356" i="24"/>
  <c r="R356" i="24"/>
  <c r="P356" i="24"/>
  <c r="Q355" i="24"/>
  <c r="M355" i="24"/>
  <c r="G345" i="24"/>
  <c r="H345" i="24"/>
  <c r="I345" i="24"/>
  <c r="G346" i="24"/>
  <c r="H346" i="24"/>
  <c r="I346" i="24"/>
  <c r="G347" i="24"/>
  <c r="H347" i="24"/>
  <c r="I347" i="24"/>
  <c r="G348" i="24"/>
  <c r="H348" i="24"/>
  <c r="I348" i="24"/>
  <c r="G349" i="24"/>
  <c r="H349" i="24"/>
  <c r="I349" i="24"/>
  <c r="G350" i="24"/>
  <c r="H350" i="24"/>
  <c r="I350" i="24"/>
  <c r="G351" i="24"/>
  <c r="H351" i="24"/>
  <c r="I351" i="24"/>
  <c r="G352" i="24"/>
  <c r="H352" i="24"/>
  <c r="I352" i="24"/>
  <c r="G353" i="24"/>
  <c r="H353" i="24"/>
  <c r="I353" i="24"/>
  <c r="G354" i="24"/>
  <c r="H354" i="24"/>
  <c r="I354" i="24"/>
  <c r="I355" i="24"/>
  <c r="S345" i="24"/>
  <c r="R345" i="24"/>
  <c r="O344" i="24"/>
  <c r="P334" i="24"/>
  <c r="P344" i="24"/>
  <c r="Q344" i="24"/>
  <c r="L334" i="24"/>
  <c r="L335" i="24"/>
  <c r="L336" i="24"/>
  <c r="L337" i="24"/>
  <c r="L338" i="24"/>
  <c r="L339" i="24"/>
  <c r="L340" i="24"/>
  <c r="L341" i="24"/>
  <c r="L342" i="24"/>
  <c r="L343" i="24"/>
  <c r="L344" i="24"/>
  <c r="K334" i="24"/>
  <c r="K335" i="24"/>
  <c r="K336" i="24"/>
  <c r="K337" i="24"/>
  <c r="K338" i="24"/>
  <c r="K339" i="24"/>
  <c r="K340" i="24"/>
  <c r="K341" i="24"/>
  <c r="K342" i="24"/>
  <c r="K343" i="24"/>
  <c r="K344" i="24"/>
  <c r="M344" i="24"/>
  <c r="G334" i="24"/>
  <c r="H334" i="24"/>
  <c r="I334" i="24"/>
  <c r="G335" i="24"/>
  <c r="H335" i="24"/>
  <c r="I335" i="24"/>
  <c r="G336" i="24"/>
  <c r="H336" i="24"/>
  <c r="I336" i="24"/>
  <c r="G337" i="24"/>
  <c r="H337" i="24"/>
  <c r="I337" i="24"/>
  <c r="G338" i="24"/>
  <c r="H338" i="24"/>
  <c r="I338" i="24"/>
  <c r="G339" i="24"/>
  <c r="H339" i="24"/>
  <c r="I339" i="24"/>
  <c r="G340" i="24"/>
  <c r="H340" i="24"/>
  <c r="I340" i="24"/>
  <c r="G341" i="24"/>
  <c r="H341" i="24"/>
  <c r="I341" i="24"/>
  <c r="G342" i="24"/>
  <c r="H342" i="24"/>
  <c r="I342" i="24"/>
  <c r="G343" i="24"/>
  <c r="H343" i="24"/>
  <c r="I343" i="24"/>
  <c r="I344" i="24"/>
  <c r="S334" i="24"/>
  <c r="R334" i="24"/>
  <c r="O333" i="24"/>
  <c r="P323" i="24"/>
  <c r="P333" i="24"/>
  <c r="Q333" i="24"/>
  <c r="Y20" i="24"/>
  <c r="K323" i="24"/>
  <c r="D323" i="24"/>
  <c r="L323" i="24"/>
  <c r="L324" i="24"/>
  <c r="L325" i="24"/>
  <c r="L326" i="24"/>
  <c r="L327" i="24"/>
  <c r="L328" i="24"/>
  <c r="L329" i="24"/>
  <c r="L330" i="24"/>
  <c r="L331" i="24"/>
  <c r="L332" i="24"/>
  <c r="L333" i="24"/>
  <c r="Y15" i="24"/>
  <c r="K324" i="24"/>
  <c r="K325" i="24"/>
  <c r="K326" i="24"/>
  <c r="K327" i="24"/>
  <c r="K328" i="24"/>
  <c r="K329" i="24"/>
  <c r="K330" i="24"/>
  <c r="K331" i="24"/>
  <c r="K332" i="24"/>
  <c r="K333" i="24"/>
  <c r="M333" i="24"/>
  <c r="G323" i="24"/>
  <c r="H323" i="24"/>
  <c r="I323" i="24"/>
  <c r="G324" i="24"/>
  <c r="H324" i="24"/>
  <c r="I324" i="24"/>
  <c r="G325" i="24"/>
  <c r="H325" i="24"/>
  <c r="I325" i="24"/>
  <c r="G326" i="24"/>
  <c r="H326" i="24"/>
  <c r="I326" i="24"/>
  <c r="G327" i="24"/>
  <c r="H327" i="24"/>
  <c r="I327" i="24"/>
  <c r="G328" i="24"/>
  <c r="H328" i="24"/>
  <c r="I328" i="24"/>
  <c r="G329" i="24"/>
  <c r="H329" i="24"/>
  <c r="I329" i="24"/>
  <c r="G330" i="24"/>
  <c r="H330" i="24"/>
  <c r="I330" i="24"/>
  <c r="G331" i="24"/>
  <c r="H331" i="24"/>
  <c r="I331" i="24"/>
  <c r="G332" i="24"/>
  <c r="H332" i="24"/>
  <c r="I332" i="24"/>
  <c r="I333" i="24"/>
  <c r="S323" i="24"/>
  <c r="R323" i="24"/>
  <c r="O322" i="24"/>
  <c r="P312" i="24"/>
  <c r="P322" i="24"/>
  <c r="Q322" i="24"/>
  <c r="L312" i="24"/>
  <c r="K313" i="24"/>
  <c r="D313" i="24"/>
  <c r="L313" i="24"/>
  <c r="K314" i="24"/>
  <c r="D314" i="24"/>
  <c r="L314" i="24"/>
  <c r="L315" i="24"/>
  <c r="L316" i="24"/>
  <c r="L317" i="24"/>
  <c r="L318" i="24"/>
  <c r="L319" i="24"/>
  <c r="L320" i="24"/>
  <c r="L321" i="24"/>
  <c r="L322" i="24"/>
  <c r="K312" i="24"/>
  <c r="K315" i="24"/>
  <c r="K316" i="24"/>
  <c r="K317" i="24"/>
  <c r="K318" i="24"/>
  <c r="K319" i="24"/>
  <c r="K320" i="24"/>
  <c r="K321" i="24"/>
  <c r="K322" i="24"/>
  <c r="M322" i="24"/>
  <c r="G312" i="24"/>
  <c r="H312" i="24"/>
  <c r="I312" i="24"/>
  <c r="G313" i="24"/>
  <c r="H313" i="24"/>
  <c r="I313" i="24"/>
  <c r="G314" i="24"/>
  <c r="H314" i="24"/>
  <c r="I314" i="24"/>
  <c r="G315" i="24"/>
  <c r="H315" i="24"/>
  <c r="I315" i="24"/>
  <c r="G316" i="24"/>
  <c r="H316" i="24"/>
  <c r="I316" i="24"/>
  <c r="G317" i="24"/>
  <c r="H317" i="24"/>
  <c r="I317" i="24"/>
  <c r="G318" i="24"/>
  <c r="H318" i="24"/>
  <c r="I318" i="24"/>
  <c r="G319" i="24"/>
  <c r="H319" i="24"/>
  <c r="I319" i="24"/>
  <c r="G320" i="24"/>
  <c r="H320" i="24"/>
  <c r="I320" i="24"/>
  <c r="G321" i="24"/>
  <c r="H321" i="24"/>
  <c r="I321" i="24"/>
  <c r="I322" i="24"/>
  <c r="S312" i="24"/>
  <c r="R312" i="24"/>
  <c r="O311" i="24"/>
  <c r="P301" i="24"/>
  <c r="P311" i="24"/>
  <c r="Q311" i="24"/>
  <c r="L301" i="24"/>
  <c r="L302" i="24"/>
  <c r="L303" i="24"/>
  <c r="L304" i="24"/>
  <c r="L305" i="24"/>
  <c r="L306" i="24"/>
  <c r="L307" i="24"/>
  <c r="L308" i="24"/>
  <c r="L309" i="24"/>
  <c r="L310" i="24"/>
  <c r="L311" i="24"/>
  <c r="K301" i="24"/>
  <c r="K302" i="24"/>
  <c r="K303" i="24"/>
  <c r="K304" i="24"/>
  <c r="K305" i="24"/>
  <c r="K306" i="24"/>
  <c r="K307" i="24"/>
  <c r="K308" i="24"/>
  <c r="K309" i="24"/>
  <c r="K310" i="24"/>
  <c r="K311" i="24"/>
  <c r="M311" i="24"/>
  <c r="G301" i="24"/>
  <c r="H301" i="24"/>
  <c r="I301" i="24"/>
  <c r="G302" i="24"/>
  <c r="H302" i="24"/>
  <c r="I302" i="24"/>
  <c r="G303" i="24"/>
  <c r="H303" i="24"/>
  <c r="I303" i="24"/>
  <c r="G304" i="24"/>
  <c r="H304" i="24"/>
  <c r="I304" i="24"/>
  <c r="G305" i="24"/>
  <c r="H305" i="24"/>
  <c r="I305" i="24"/>
  <c r="G306" i="24"/>
  <c r="H306" i="24"/>
  <c r="I306" i="24"/>
  <c r="G307" i="24"/>
  <c r="H307" i="24"/>
  <c r="I307" i="24"/>
  <c r="G308" i="24"/>
  <c r="H308" i="24"/>
  <c r="I308" i="24"/>
  <c r="G309" i="24"/>
  <c r="H309" i="24"/>
  <c r="I309" i="24"/>
  <c r="G310" i="24"/>
  <c r="H310" i="24"/>
  <c r="I310" i="24"/>
  <c r="I311" i="24"/>
  <c r="S301" i="24"/>
  <c r="R301" i="24"/>
  <c r="O300" i="24"/>
  <c r="P290" i="24"/>
  <c r="P300" i="24"/>
  <c r="Q300" i="24"/>
  <c r="L290" i="24"/>
  <c r="K291" i="24"/>
  <c r="D291" i="24"/>
  <c r="L291" i="24"/>
  <c r="L292" i="24"/>
  <c r="L293" i="24"/>
  <c r="L294" i="24"/>
  <c r="L295" i="24"/>
  <c r="L296" i="24"/>
  <c r="L297" i="24"/>
  <c r="L298" i="24"/>
  <c r="L299" i="24"/>
  <c r="L300" i="24"/>
  <c r="K290" i="24"/>
  <c r="Y19" i="24"/>
  <c r="K292" i="24"/>
  <c r="K293" i="24"/>
  <c r="K294" i="24"/>
  <c r="K295" i="24"/>
  <c r="K296" i="24"/>
  <c r="K297" i="24"/>
  <c r="K298" i="24"/>
  <c r="K299" i="24"/>
  <c r="K300" i="24"/>
  <c r="M300" i="24"/>
  <c r="G290" i="24"/>
  <c r="H290" i="24"/>
  <c r="I290" i="24"/>
  <c r="G291" i="24"/>
  <c r="H291" i="24"/>
  <c r="I291" i="24"/>
  <c r="G292" i="24"/>
  <c r="H292" i="24"/>
  <c r="I292" i="24"/>
  <c r="G293" i="24"/>
  <c r="H293" i="24"/>
  <c r="I293" i="24"/>
  <c r="G294" i="24"/>
  <c r="H294" i="24"/>
  <c r="I294" i="24"/>
  <c r="G295" i="24"/>
  <c r="H295" i="24"/>
  <c r="I295" i="24"/>
  <c r="G296" i="24"/>
  <c r="H296" i="24"/>
  <c r="I296" i="24"/>
  <c r="G297" i="24"/>
  <c r="H297" i="24"/>
  <c r="I297" i="24"/>
  <c r="G298" i="24"/>
  <c r="H298" i="24"/>
  <c r="I298" i="24"/>
  <c r="G299" i="24"/>
  <c r="H299" i="24"/>
  <c r="I299" i="24"/>
  <c r="I300" i="24"/>
  <c r="S290" i="24"/>
  <c r="R290" i="24"/>
  <c r="O289" i="24"/>
  <c r="P279" i="24"/>
  <c r="P289" i="24"/>
  <c r="Q289" i="24"/>
  <c r="K279" i="24"/>
  <c r="D279" i="24"/>
  <c r="L279" i="24"/>
  <c r="K280" i="24"/>
  <c r="D280" i="24"/>
  <c r="L280" i="24"/>
  <c r="L281" i="24"/>
  <c r="K282" i="24"/>
  <c r="D282" i="24"/>
  <c r="L282" i="24"/>
  <c r="L283" i="24"/>
  <c r="L284" i="24"/>
  <c r="L285" i="24"/>
  <c r="L286" i="24"/>
  <c r="L287" i="24"/>
  <c r="L288" i="24"/>
  <c r="L289" i="24"/>
  <c r="Y4" i="24"/>
  <c r="K281" i="24"/>
  <c r="K283" i="24"/>
  <c r="K284" i="24"/>
  <c r="K285" i="24"/>
  <c r="K286" i="24"/>
  <c r="K287" i="24"/>
  <c r="K288" i="24"/>
  <c r="K289" i="24"/>
  <c r="M289" i="24"/>
  <c r="G279" i="24"/>
  <c r="H279" i="24"/>
  <c r="I279" i="24"/>
  <c r="G280" i="24"/>
  <c r="H280" i="24"/>
  <c r="I280" i="24"/>
  <c r="G281" i="24"/>
  <c r="H281" i="24"/>
  <c r="I281" i="24"/>
  <c r="G282" i="24"/>
  <c r="H282" i="24"/>
  <c r="I282" i="24"/>
  <c r="G283" i="24"/>
  <c r="H283" i="24"/>
  <c r="I283" i="24"/>
  <c r="G284" i="24"/>
  <c r="H284" i="24"/>
  <c r="I284" i="24"/>
  <c r="G285" i="24"/>
  <c r="H285" i="24"/>
  <c r="I285" i="24"/>
  <c r="G286" i="24"/>
  <c r="H286" i="24"/>
  <c r="I286" i="24"/>
  <c r="G287" i="24"/>
  <c r="H287" i="24"/>
  <c r="I287" i="24"/>
  <c r="G288" i="24"/>
  <c r="H288" i="24"/>
  <c r="I288" i="24"/>
  <c r="I289" i="24"/>
  <c r="S279" i="24"/>
  <c r="R279" i="24"/>
  <c r="O278" i="24"/>
  <c r="P268" i="24"/>
  <c r="P278" i="24"/>
  <c r="Q278" i="24"/>
  <c r="L268" i="24"/>
  <c r="L269" i="24"/>
  <c r="L270" i="24"/>
  <c r="L271" i="24"/>
  <c r="L272" i="24"/>
  <c r="L273" i="24"/>
  <c r="L274" i="24"/>
  <c r="L275" i="24"/>
  <c r="L276" i="24"/>
  <c r="L277" i="24"/>
  <c r="L278" i="24"/>
  <c r="K268" i="24"/>
  <c r="K269" i="24"/>
  <c r="K270" i="24"/>
  <c r="K271" i="24"/>
  <c r="K272" i="24"/>
  <c r="K273" i="24"/>
  <c r="K274" i="24"/>
  <c r="K275" i="24"/>
  <c r="K276" i="24"/>
  <c r="K277" i="24"/>
  <c r="K278" i="24"/>
  <c r="M278" i="24"/>
  <c r="G268" i="24"/>
  <c r="H268" i="24"/>
  <c r="I268" i="24"/>
  <c r="G269" i="24"/>
  <c r="H269" i="24"/>
  <c r="I269" i="24"/>
  <c r="G270" i="24"/>
  <c r="H270" i="24"/>
  <c r="I270" i="24"/>
  <c r="G271" i="24"/>
  <c r="H271" i="24"/>
  <c r="I271" i="24"/>
  <c r="G272" i="24"/>
  <c r="H272" i="24"/>
  <c r="I272" i="24"/>
  <c r="G273" i="24"/>
  <c r="H273" i="24"/>
  <c r="I273" i="24"/>
  <c r="G274" i="24"/>
  <c r="H274" i="24"/>
  <c r="I274" i="24"/>
  <c r="G275" i="24"/>
  <c r="H275" i="24"/>
  <c r="I275" i="24"/>
  <c r="G276" i="24"/>
  <c r="H276" i="24"/>
  <c r="I276" i="24"/>
  <c r="G277" i="24"/>
  <c r="H277" i="24"/>
  <c r="I277" i="24"/>
  <c r="I278" i="24"/>
  <c r="S268" i="24"/>
  <c r="R268" i="24"/>
  <c r="O267" i="24"/>
  <c r="P257" i="24"/>
  <c r="P267" i="24"/>
  <c r="Q267" i="24"/>
  <c r="L257" i="24"/>
  <c r="L258" i="24"/>
  <c r="L259" i="24"/>
  <c r="L260" i="24"/>
  <c r="L261" i="24"/>
  <c r="L262" i="24"/>
  <c r="L263" i="24"/>
  <c r="L264" i="24"/>
  <c r="L265" i="24"/>
  <c r="L266" i="24"/>
  <c r="L267" i="24"/>
  <c r="K257" i="24"/>
  <c r="K258" i="24"/>
  <c r="K259" i="24"/>
  <c r="K260" i="24"/>
  <c r="K261" i="24"/>
  <c r="K262" i="24"/>
  <c r="K263" i="24"/>
  <c r="K264" i="24"/>
  <c r="K265" i="24"/>
  <c r="K266" i="24"/>
  <c r="K267" i="24"/>
  <c r="M267" i="24"/>
  <c r="G257" i="24"/>
  <c r="H257" i="24"/>
  <c r="I257" i="24"/>
  <c r="I267" i="24"/>
  <c r="G266" i="24"/>
  <c r="H266" i="24"/>
  <c r="I266" i="24"/>
  <c r="G265" i="24"/>
  <c r="H265" i="24"/>
  <c r="I265" i="24"/>
  <c r="G264" i="24"/>
  <c r="H264" i="24"/>
  <c r="I264" i="24"/>
  <c r="G263" i="24"/>
  <c r="H263" i="24"/>
  <c r="I263" i="24"/>
  <c r="G262" i="24"/>
  <c r="H262" i="24"/>
  <c r="I262" i="24"/>
  <c r="G261" i="24"/>
  <c r="H261" i="24"/>
  <c r="I261" i="24"/>
  <c r="G260" i="24"/>
  <c r="H260" i="24"/>
  <c r="I260" i="24"/>
  <c r="G259" i="24"/>
  <c r="H259" i="24"/>
  <c r="I259" i="24"/>
  <c r="G258" i="24"/>
  <c r="H258" i="24"/>
  <c r="I258" i="24"/>
  <c r="S257" i="24"/>
  <c r="R257" i="24"/>
  <c r="O256" i="24"/>
  <c r="P246" i="24"/>
  <c r="P256" i="24"/>
  <c r="Q256" i="24"/>
  <c r="L246" i="24"/>
  <c r="Y14" i="24"/>
  <c r="K247" i="24"/>
  <c r="D247" i="24"/>
  <c r="L247" i="24"/>
  <c r="L248" i="24"/>
  <c r="L249" i="24"/>
  <c r="L250" i="24"/>
  <c r="L251" i="24"/>
  <c r="L252" i="24"/>
  <c r="L253" i="24"/>
  <c r="L254" i="24"/>
  <c r="L255" i="24"/>
  <c r="L256" i="24"/>
  <c r="K246" i="24"/>
  <c r="K248" i="24"/>
  <c r="K249" i="24"/>
  <c r="K250" i="24"/>
  <c r="K251" i="24"/>
  <c r="K252" i="24"/>
  <c r="K253" i="24"/>
  <c r="K254" i="24"/>
  <c r="K255" i="24"/>
  <c r="K256" i="24"/>
  <c r="M256" i="24"/>
  <c r="G246" i="24"/>
  <c r="H246" i="24"/>
  <c r="I246" i="24"/>
  <c r="G247" i="24"/>
  <c r="H247" i="24"/>
  <c r="I247" i="24"/>
  <c r="G248" i="24"/>
  <c r="H248" i="24"/>
  <c r="I248" i="24"/>
  <c r="G249" i="24"/>
  <c r="H249" i="24"/>
  <c r="I249" i="24"/>
  <c r="G250" i="24"/>
  <c r="H250" i="24"/>
  <c r="I250" i="24"/>
  <c r="G251" i="24"/>
  <c r="H251" i="24"/>
  <c r="I251" i="24"/>
  <c r="G252" i="24"/>
  <c r="H252" i="24"/>
  <c r="I252" i="24"/>
  <c r="G253" i="24"/>
  <c r="H253" i="24"/>
  <c r="I253" i="24"/>
  <c r="G254" i="24"/>
  <c r="H254" i="24"/>
  <c r="I254" i="24"/>
  <c r="G255" i="24"/>
  <c r="H255" i="24"/>
  <c r="I255" i="24"/>
  <c r="I256" i="24"/>
  <c r="S246" i="24"/>
  <c r="R246" i="24"/>
  <c r="O245" i="24"/>
  <c r="P235" i="24"/>
  <c r="P245" i="24"/>
  <c r="Q245" i="24"/>
  <c r="K235" i="24"/>
  <c r="D235" i="24"/>
  <c r="L235" i="24"/>
  <c r="L236" i="24"/>
  <c r="L237" i="24"/>
  <c r="L238" i="24"/>
  <c r="L239" i="24"/>
  <c r="L240" i="24"/>
  <c r="L241" i="24"/>
  <c r="L242" i="24"/>
  <c r="L243" i="24"/>
  <c r="L244" i="24"/>
  <c r="L245" i="24"/>
  <c r="K236" i="24"/>
  <c r="K237" i="24"/>
  <c r="K238" i="24"/>
  <c r="K239" i="24"/>
  <c r="K240" i="24"/>
  <c r="K241" i="24"/>
  <c r="K242" i="24"/>
  <c r="K243" i="24"/>
  <c r="K244" i="24"/>
  <c r="K245" i="24"/>
  <c r="M245" i="24"/>
  <c r="G235" i="24"/>
  <c r="H235" i="24"/>
  <c r="I235" i="24"/>
  <c r="G236" i="24"/>
  <c r="H236" i="24"/>
  <c r="I236" i="24"/>
  <c r="G237" i="24"/>
  <c r="H237" i="24"/>
  <c r="I237" i="24"/>
  <c r="G238" i="24"/>
  <c r="H238" i="24"/>
  <c r="I238" i="24"/>
  <c r="G239" i="24"/>
  <c r="H239" i="24"/>
  <c r="I239" i="24"/>
  <c r="G240" i="24"/>
  <c r="H240" i="24"/>
  <c r="I240" i="24"/>
  <c r="G241" i="24"/>
  <c r="H241" i="24"/>
  <c r="I241" i="24"/>
  <c r="G242" i="24"/>
  <c r="H242" i="24"/>
  <c r="I242" i="24"/>
  <c r="G243" i="24"/>
  <c r="H243" i="24"/>
  <c r="I243" i="24"/>
  <c r="G244" i="24"/>
  <c r="H244" i="24"/>
  <c r="I244" i="24"/>
  <c r="I245" i="24"/>
  <c r="S235" i="24"/>
  <c r="R235" i="24"/>
  <c r="O234" i="24"/>
  <c r="P224" i="24"/>
  <c r="P234" i="24"/>
  <c r="Q234" i="24"/>
  <c r="L224" i="24"/>
  <c r="L225" i="24"/>
  <c r="L226" i="24"/>
  <c r="L227" i="24"/>
  <c r="L228" i="24"/>
  <c r="L229" i="24"/>
  <c r="L230" i="24"/>
  <c r="L231" i="24"/>
  <c r="L232" i="24"/>
  <c r="L233" i="24"/>
  <c r="L234" i="24"/>
  <c r="K224" i="24"/>
  <c r="K225" i="24"/>
  <c r="K226" i="24"/>
  <c r="K227" i="24"/>
  <c r="K228" i="24"/>
  <c r="K229" i="24"/>
  <c r="K230" i="24"/>
  <c r="K231" i="24"/>
  <c r="K232" i="24"/>
  <c r="K233" i="24"/>
  <c r="K234" i="24"/>
  <c r="M234" i="24"/>
  <c r="G224" i="24"/>
  <c r="H224" i="24"/>
  <c r="I224" i="24"/>
  <c r="I234" i="24"/>
  <c r="G233" i="24"/>
  <c r="H233" i="24"/>
  <c r="I233" i="24"/>
  <c r="G232" i="24"/>
  <c r="H232" i="24"/>
  <c r="I232" i="24"/>
  <c r="G231" i="24"/>
  <c r="H231" i="24"/>
  <c r="I231" i="24"/>
  <c r="G230" i="24"/>
  <c r="H230" i="24"/>
  <c r="I230" i="24"/>
  <c r="G229" i="24"/>
  <c r="H229" i="24"/>
  <c r="I229" i="24"/>
  <c r="G228" i="24"/>
  <c r="H228" i="24"/>
  <c r="I228" i="24"/>
  <c r="G227" i="24"/>
  <c r="H227" i="24"/>
  <c r="I227" i="24"/>
  <c r="G226" i="24"/>
  <c r="H226" i="24"/>
  <c r="I226" i="24"/>
  <c r="G225" i="24"/>
  <c r="H225" i="24"/>
  <c r="I225" i="24"/>
  <c r="S224" i="24"/>
  <c r="R224" i="24"/>
  <c r="O223" i="24"/>
  <c r="P213" i="24"/>
  <c r="P223" i="24"/>
  <c r="Q223" i="24"/>
  <c r="K213" i="24"/>
  <c r="D213" i="24"/>
  <c r="L213" i="24"/>
  <c r="L214" i="24"/>
  <c r="L215" i="24"/>
  <c r="L216" i="24"/>
  <c r="L217" i="24"/>
  <c r="L218" i="24"/>
  <c r="L219" i="24"/>
  <c r="L220" i="24"/>
  <c r="L221" i="24"/>
  <c r="L222" i="24"/>
  <c r="L223" i="24"/>
  <c r="K214" i="24"/>
  <c r="K215" i="24"/>
  <c r="K216" i="24"/>
  <c r="K217" i="24"/>
  <c r="K218" i="24"/>
  <c r="K219" i="24"/>
  <c r="K220" i="24"/>
  <c r="K221" i="24"/>
  <c r="K222" i="24"/>
  <c r="K223" i="24"/>
  <c r="M223" i="24"/>
  <c r="G213" i="24"/>
  <c r="H213" i="24"/>
  <c r="I213" i="24"/>
  <c r="G214" i="24"/>
  <c r="H214" i="24"/>
  <c r="I214" i="24"/>
  <c r="G215" i="24"/>
  <c r="H215" i="24"/>
  <c r="I215" i="24"/>
  <c r="G216" i="24"/>
  <c r="H216" i="24"/>
  <c r="I216" i="24"/>
  <c r="G217" i="24"/>
  <c r="H217" i="24"/>
  <c r="I217" i="24"/>
  <c r="G218" i="24"/>
  <c r="H218" i="24"/>
  <c r="I218" i="24"/>
  <c r="G219" i="24"/>
  <c r="H219" i="24"/>
  <c r="I219" i="24"/>
  <c r="G220" i="24"/>
  <c r="H220" i="24"/>
  <c r="I220" i="24"/>
  <c r="G221" i="24"/>
  <c r="H221" i="24"/>
  <c r="I221" i="24"/>
  <c r="G222" i="24"/>
  <c r="H222" i="24"/>
  <c r="I222" i="24"/>
  <c r="I223" i="24"/>
  <c r="S213" i="24"/>
  <c r="R213" i="24"/>
  <c r="O212" i="24"/>
  <c r="P202" i="24"/>
  <c r="P212" i="24"/>
  <c r="Q212" i="24"/>
  <c r="Y21" i="24"/>
  <c r="K202" i="24"/>
  <c r="D202" i="24"/>
  <c r="L202" i="24"/>
  <c r="L203" i="24"/>
  <c r="L204" i="24"/>
  <c r="L205" i="24"/>
  <c r="L206" i="24"/>
  <c r="L207" i="24"/>
  <c r="L208" i="24"/>
  <c r="L209" i="24"/>
  <c r="L210" i="24"/>
  <c r="L211" i="24"/>
  <c r="L212" i="24"/>
  <c r="K203" i="24"/>
  <c r="K204" i="24"/>
  <c r="K205" i="24"/>
  <c r="K206" i="24"/>
  <c r="K207" i="24"/>
  <c r="K208" i="24"/>
  <c r="K209" i="24"/>
  <c r="K210" i="24"/>
  <c r="K211" i="24"/>
  <c r="K212" i="24"/>
  <c r="M212" i="24"/>
  <c r="G202" i="24"/>
  <c r="H202" i="24"/>
  <c r="I202" i="24"/>
  <c r="G203" i="24"/>
  <c r="H203" i="24"/>
  <c r="I203" i="24"/>
  <c r="G204" i="24"/>
  <c r="H204" i="24"/>
  <c r="I204" i="24"/>
  <c r="G205" i="24"/>
  <c r="H205" i="24"/>
  <c r="I205" i="24"/>
  <c r="G206" i="24"/>
  <c r="H206" i="24"/>
  <c r="I206" i="24"/>
  <c r="G207" i="24"/>
  <c r="H207" i="24"/>
  <c r="I207" i="24"/>
  <c r="G208" i="24"/>
  <c r="H208" i="24"/>
  <c r="I208" i="24"/>
  <c r="G209" i="24"/>
  <c r="H209" i="24"/>
  <c r="I209" i="24"/>
  <c r="G210" i="24"/>
  <c r="H210" i="24"/>
  <c r="I210" i="24"/>
  <c r="G211" i="24"/>
  <c r="H211" i="24"/>
  <c r="I211" i="24"/>
  <c r="I212" i="24"/>
  <c r="S202" i="24"/>
  <c r="R202" i="24"/>
  <c r="O201" i="24"/>
  <c r="P191" i="24"/>
  <c r="P201" i="24"/>
  <c r="Q201" i="24"/>
  <c r="L191" i="24"/>
  <c r="K192" i="24"/>
  <c r="D192" i="24"/>
  <c r="L192" i="24"/>
  <c r="L193" i="24"/>
  <c r="L194" i="24"/>
  <c r="L195" i="24"/>
  <c r="L196" i="24"/>
  <c r="L197" i="24"/>
  <c r="L198" i="24"/>
  <c r="L199" i="24"/>
  <c r="L200" i="24"/>
  <c r="L201" i="24"/>
  <c r="Y5" i="24"/>
  <c r="K191" i="24"/>
  <c r="K193" i="24"/>
  <c r="K194" i="24"/>
  <c r="K195" i="24"/>
  <c r="K196" i="24"/>
  <c r="K197" i="24"/>
  <c r="K198" i="24"/>
  <c r="K199" i="24"/>
  <c r="K200" i="24"/>
  <c r="K201" i="24"/>
  <c r="M201" i="24"/>
  <c r="G191" i="24"/>
  <c r="H191" i="24"/>
  <c r="I191" i="24"/>
  <c r="G192" i="24"/>
  <c r="H192" i="24"/>
  <c r="I192" i="24"/>
  <c r="G193" i="24"/>
  <c r="H193" i="24"/>
  <c r="I193" i="24"/>
  <c r="G194" i="24"/>
  <c r="H194" i="24"/>
  <c r="I194" i="24"/>
  <c r="G195" i="24"/>
  <c r="H195" i="24"/>
  <c r="I195" i="24"/>
  <c r="G196" i="24"/>
  <c r="H196" i="24"/>
  <c r="I196" i="24"/>
  <c r="G197" i="24"/>
  <c r="H197" i="24"/>
  <c r="I197" i="24"/>
  <c r="G198" i="24"/>
  <c r="H198" i="24"/>
  <c r="I198" i="24"/>
  <c r="G199" i="24"/>
  <c r="H199" i="24"/>
  <c r="I199" i="24"/>
  <c r="G200" i="24"/>
  <c r="H200" i="24"/>
  <c r="I200" i="24"/>
  <c r="I201" i="24"/>
  <c r="S191" i="24"/>
  <c r="R191" i="24"/>
  <c r="O190" i="24"/>
  <c r="P180" i="24"/>
  <c r="P190" i="24"/>
  <c r="Q190" i="24"/>
  <c r="L180" i="24"/>
  <c r="L181" i="24"/>
  <c r="L182" i="24"/>
  <c r="L183" i="24"/>
  <c r="L184" i="24"/>
  <c r="L185" i="24"/>
  <c r="L186" i="24"/>
  <c r="L187" i="24"/>
  <c r="L188" i="24"/>
  <c r="L189" i="24"/>
  <c r="L190" i="24"/>
  <c r="Z7" i="24"/>
  <c r="K180" i="24"/>
  <c r="Z6" i="24"/>
  <c r="K181" i="24"/>
  <c r="K182" i="24"/>
  <c r="K183" i="24"/>
  <c r="K184" i="24"/>
  <c r="K185" i="24"/>
  <c r="K186" i="24"/>
  <c r="K187" i="24"/>
  <c r="K188" i="24"/>
  <c r="K189" i="24"/>
  <c r="K190" i="24"/>
  <c r="M190" i="24"/>
  <c r="G180" i="24"/>
  <c r="H180" i="24"/>
  <c r="I180" i="24"/>
  <c r="G181" i="24"/>
  <c r="H181" i="24"/>
  <c r="I181" i="24"/>
  <c r="G182" i="24"/>
  <c r="H182" i="24"/>
  <c r="I182" i="24"/>
  <c r="G183" i="24"/>
  <c r="H183" i="24"/>
  <c r="I183" i="24"/>
  <c r="G184" i="24"/>
  <c r="H184" i="24"/>
  <c r="I184" i="24"/>
  <c r="G185" i="24"/>
  <c r="H185" i="24"/>
  <c r="I185" i="24"/>
  <c r="G186" i="24"/>
  <c r="H186" i="24"/>
  <c r="I186" i="24"/>
  <c r="G187" i="24"/>
  <c r="H187" i="24"/>
  <c r="I187" i="24"/>
  <c r="G188" i="24"/>
  <c r="H188" i="24"/>
  <c r="I188" i="24"/>
  <c r="G189" i="24"/>
  <c r="H189" i="24"/>
  <c r="I189" i="24"/>
  <c r="I190" i="24"/>
  <c r="S180" i="24"/>
  <c r="R180" i="24"/>
  <c r="O179" i="24"/>
  <c r="P169" i="24"/>
  <c r="P179" i="24"/>
  <c r="Q179" i="24"/>
  <c r="L169" i="24"/>
  <c r="L170" i="24"/>
  <c r="L171" i="24"/>
  <c r="L172" i="24"/>
  <c r="L173" i="24"/>
  <c r="L174" i="24"/>
  <c r="L175" i="24"/>
  <c r="L176" i="24"/>
  <c r="L177" i="24"/>
  <c r="L178" i="24"/>
  <c r="L179" i="24"/>
  <c r="K169" i="24"/>
  <c r="K170" i="24"/>
  <c r="K171" i="24"/>
  <c r="K172" i="24"/>
  <c r="K173" i="24"/>
  <c r="K174" i="24"/>
  <c r="K175" i="24"/>
  <c r="K176" i="24"/>
  <c r="K177" i="24"/>
  <c r="K178" i="24"/>
  <c r="K179" i="24"/>
  <c r="M179" i="24"/>
  <c r="G169" i="24"/>
  <c r="H169" i="24"/>
  <c r="I169" i="24"/>
  <c r="I179" i="24"/>
  <c r="G178" i="24"/>
  <c r="H178" i="24"/>
  <c r="I178" i="24"/>
  <c r="G177" i="24"/>
  <c r="H177" i="24"/>
  <c r="I177" i="24"/>
  <c r="G176" i="24"/>
  <c r="H176" i="24"/>
  <c r="I176" i="24"/>
  <c r="G175" i="24"/>
  <c r="H175" i="24"/>
  <c r="I175" i="24"/>
  <c r="G174" i="24"/>
  <c r="H174" i="24"/>
  <c r="I174" i="24"/>
  <c r="G173" i="24"/>
  <c r="H173" i="24"/>
  <c r="I173" i="24"/>
  <c r="G172" i="24"/>
  <c r="H172" i="24"/>
  <c r="I172" i="24"/>
  <c r="G171" i="24"/>
  <c r="H171" i="24"/>
  <c r="I171" i="24"/>
  <c r="G170" i="24"/>
  <c r="H170" i="24"/>
  <c r="I170" i="24"/>
  <c r="S169" i="24"/>
  <c r="R169" i="24"/>
  <c r="O168" i="24"/>
  <c r="P158" i="24"/>
  <c r="P168" i="24"/>
  <c r="Q168" i="24"/>
  <c r="L158" i="24"/>
  <c r="L159" i="24"/>
  <c r="L160" i="24"/>
  <c r="L161" i="24"/>
  <c r="L162" i="24"/>
  <c r="L163" i="24"/>
  <c r="L164" i="24"/>
  <c r="L165" i="24"/>
  <c r="L166" i="24"/>
  <c r="L167" i="24"/>
  <c r="L168" i="24"/>
  <c r="K158" i="24"/>
  <c r="K159" i="24"/>
  <c r="K160" i="24"/>
  <c r="K161" i="24"/>
  <c r="K162" i="24"/>
  <c r="K163" i="24"/>
  <c r="K164" i="24"/>
  <c r="K165" i="24"/>
  <c r="K166" i="24"/>
  <c r="K167" i="24"/>
  <c r="K168" i="24"/>
  <c r="M168" i="24"/>
  <c r="G158" i="24"/>
  <c r="H158" i="24"/>
  <c r="I158" i="24"/>
  <c r="I168" i="24"/>
  <c r="G167" i="24"/>
  <c r="H167" i="24"/>
  <c r="I167" i="24"/>
  <c r="G166" i="24"/>
  <c r="H166" i="24"/>
  <c r="I166" i="24"/>
  <c r="G165" i="24"/>
  <c r="H165" i="24"/>
  <c r="I165" i="24"/>
  <c r="G164" i="24"/>
  <c r="H164" i="24"/>
  <c r="I164" i="24"/>
  <c r="G163" i="24"/>
  <c r="H163" i="24"/>
  <c r="I163" i="24"/>
  <c r="G162" i="24"/>
  <c r="H162" i="24"/>
  <c r="I162" i="24"/>
  <c r="G161" i="24"/>
  <c r="H161" i="24"/>
  <c r="I161" i="24"/>
  <c r="G160" i="24"/>
  <c r="H160" i="24"/>
  <c r="I160" i="24"/>
  <c r="G159" i="24"/>
  <c r="H159" i="24"/>
  <c r="I159" i="24"/>
  <c r="S158" i="24"/>
  <c r="R158" i="24"/>
  <c r="O157" i="24"/>
  <c r="P146" i="24"/>
  <c r="P157" i="24"/>
  <c r="Q157" i="24"/>
  <c r="L146" i="24"/>
  <c r="L147" i="24"/>
  <c r="L148" i="24"/>
  <c r="L149" i="24"/>
  <c r="L150" i="24"/>
  <c r="L151" i="24"/>
  <c r="L152" i="24"/>
  <c r="L153" i="24"/>
  <c r="L154" i="24"/>
  <c r="L155" i="24"/>
  <c r="L156" i="24"/>
  <c r="L157" i="24"/>
  <c r="K146" i="24"/>
  <c r="K147" i="24"/>
  <c r="K148" i="24"/>
  <c r="K149" i="24"/>
  <c r="K150" i="24"/>
  <c r="K151" i="24"/>
  <c r="K152" i="24"/>
  <c r="K153" i="24"/>
  <c r="K154" i="24"/>
  <c r="K155" i="24"/>
  <c r="K156" i="24"/>
  <c r="K157" i="24"/>
  <c r="M157" i="24"/>
  <c r="G146" i="24"/>
  <c r="H146" i="24"/>
  <c r="I146" i="24"/>
  <c r="I157" i="24"/>
  <c r="G156" i="24"/>
  <c r="H156" i="24"/>
  <c r="I156" i="24"/>
  <c r="G155" i="24"/>
  <c r="H155" i="24"/>
  <c r="I155" i="24"/>
  <c r="G154" i="24"/>
  <c r="H154" i="24"/>
  <c r="I154" i="24"/>
  <c r="G153" i="24"/>
  <c r="H153" i="24"/>
  <c r="I153" i="24"/>
  <c r="G152" i="24"/>
  <c r="H152" i="24"/>
  <c r="I152" i="24"/>
  <c r="G151" i="24"/>
  <c r="H151" i="24"/>
  <c r="I151" i="24"/>
  <c r="G150" i="24"/>
  <c r="H150" i="24"/>
  <c r="I150" i="24"/>
  <c r="G149" i="24"/>
  <c r="H149" i="24"/>
  <c r="I149" i="24"/>
  <c r="G148" i="24"/>
  <c r="H148" i="24"/>
  <c r="I148" i="24"/>
  <c r="G147" i="24"/>
  <c r="H147" i="24"/>
  <c r="I147" i="24"/>
  <c r="S146" i="24"/>
  <c r="R146" i="24"/>
  <c r="O145" i="24"/>
  <c r="P135" i="24"/>
  <c r="P145" i="24"/>
  <c r="Q145" i="24"/>
  <c r="L135" i="24"/>
  <c r="L136" i="24"/>
  <c r="L137" i="24"/>
  <c r="L138" i="24"/>
  <c r="L139" i="24"/>
  <c r="L140" i="24"/>
  <c r="L141" i="24"/>
  <c r="L142" i="24"/>
  <c r="L143" i="24"/>
  <c r="L144" i="24"/>
  <c r="L145" i="24"/>
  <c r="K135" i="24"/>
  <c r="K136" i="24"/>
  <c r="K137" i="24"/>
  <c r="K138" i="24"/>
  <c r="K139" i="24"/>
  <c r="K140" i="24"/>
  <c r="K141" i="24"/>
  <c r="K142" i="24"/>
  <c r="K143" i="24"/>
  <c r="K144" i="24"/>
  <c r="K145" i="24"/>
  <c r="M145" i="24"/>
  <c r="G135" i="24"/>
  <c r="H135" i="24"/>
  <c r="I135" i="24"/>
  <c r="I145" i="24"/>
  <c r="G144" i="24"/>
  <c r="H144" i="24"/>
  <c r="I144" i="24"/>
  <c r="G143" i="24"/>
  <c r="H143" i="24"/>
  <c r="I143" i="24"/>
  <c r="G142" i="24"/>
  <c r="H142" i="24"/>
  <c r="I142" i="24"/>
  <c r="G141" i="24"/>
  <c r="H141" i="24"/>
  <c r="I141" i="24"/>
  <c r="G140" i="24"/>
  <c r="H140" i="24"/>
  <c r="I140" i="24"/>
  <c r="G139" i="24"/>
  <c r="H139" i="24"/>
  <c r="I139" i="24"/>
  <c r="G138" i="24"/>
  <c r="H138" i="24"/>
  <c r="I138" i="24"/>
  <c r="G137" i="24"/>
  <c r="H137" i="24"/>
  <c r="I137" i="24"/>
  <c r="G136" i="24"/>
  <c r="H136" i="24"/>
  <c r="I136" i="24"/>
  <c r="S135" i="24"/>
  <c r="R135" i="24"/>
  <c r="O134" i="24"/>
  <c r="P124" i="24"/>
  <c r="P134" i="24"/>
  <c r="Q134" i="24"/>
  <c r="L124" i="24"/>
  <c r="L125" i="24"/>
  <c r="L126" i="24"/>
  <c r="L127" i="24"/>
  <c r="L128" i="24"/>
  <c r="L129" i="24"/>
  <c r="L130" i="24"/>
  <c r="L131" i="24"/>
  <c r="L132" i="24"/>
  <c r="L133" i="24"/>
  <c r="L134" i="24"/>
  <c r="K124" i="24"/>
  <c r="K125" i="24"/>
  <c r="K126" i="24"/>
  <c r="K127" i="24"/>
  <c r="K128" i="24"/>
  <c r="K129" i="24"/>
  <c r="K130" i="24"/>
  <c r="K131" i="24"/>
  <c r="K132" i="24"/>
  <c r="K133" i="24"/>
  <c r="K134" i="24"/>
  <c r="M134" i="24"/>
  <c r="G124" i="24"/>
  <c r="H124" i="24"/>
  <c r="I124" i="24"/>
  <c r="I134" i="24"/>
  <c r="G133" i="24"/>
  <c r="H133" i="24"/>
  <c r="I133" i="24"/>
  <c r="G132" i="24"/>
  <c r="H132" i="24"/>
  <c r="I132" i="24"/>
  <c r="G131" i="24"/>
  <c r="H131" i="24"/>
  <c r="I131" i="24"/>
  <c r="G130" i="24"/>
  <c r="H130" i="24"/>
  <c r="I130" i="24"/>
  <c r="G129" i="24"/>
  <c r="H129" i="24"/>
  <c r="I129" i="24"/>
  <c r="G128" i="24"/>
  <c r="H128" i="24"/>
  <c r="I128" i="24"/>
  <c r="G127" i="24"/>
  <c r="H127" i="24"/>
  <c r="I127" i="24"/>
  <c r="G126" i="24"/>
  <c r="H126" i="24"/>
  <c r="I126" i="24"/>
  <c r="G125" i="24"/>
  <c r="H125" i="24"/>
  <c r="I125" i="24"/>
  <c r="S124" i="24"/>
  <c r="R124" i="24"/>
  <c r="O123" i="24"/>
  <c r="P113" i="24"/>
  <c r="P123" i="24"/>
  <c r="Q123" i="24"/>
  <c r="L113" i="24"/>
  <c r="L114" i="24"/>
  <c r="L115" i="24"/>
  <c r="L116" i="24"/>
  <c r="L117" i="24"/>
  <c r="L118" i="24"/>
  <c r="L119" i="24"/>
  <c r="L120" i="24"/>
  <c r="L121" i="24"/>
  <c r="L122" i="24"/>
  <c r="L123" i="24"/>
  <c r="Z9" i="24"/>
  <c r="K113" i="24"/>
  <c r="K114" i="24"/>
  <c r="K115" i="24"/>
  <c r="K116" i="24"/>
  <c r="K117" i="24"/>
  <c r="K118" i="24"/>
  <c r="K119" i="24"/>
  <c r="K120" i="24"/>
  <c r="K121" i="24"/>
  <c r="K122" i="24"/>
  <c r="K123" i="24"/>
  <c r="M123" i="24"/>
  <c r="G113" i="24"/>
  <c r="H113" i="24"/>
  <c r="I113" i="24"/>
  <c r="G114" i="24"/>
  <c r="H114" i="24"/>
  <c r="I114" i="24"/>
  <c r="G115" i="24"/>
  <c r="H115" i="24"/>
  <c r="I115" i="24"/>
  <c r="G116" i="24"/>
  <c r="H116" i="24"/>
  <c r="I116" i="24"/>
  <c r="G117" i="24"/>
  <c r="H117" i="24"/>
  <c r="I117" i="24"/>
  <c r="G118" i="24"/>
  <c r="H118" i="24"/>
  <c r="I118" i="24"/>
  <c r="G119" i="24"/>
  <c r="H119" i="24"/>
  <c r="I119" i="24"/>
  <c r="G120" i="24"/>
  <c r="H120" i="24"/>
  <c r="I120" i="24"/>
  <c r="G121" i="24"/>
  <c r="H121" i="24"/>
  <c r="I121" i="24"/>
  <c r="G122" i="24"/>
  <c r="H122" i="24"/>
  <c r="I122" i="24"/>
  <c r="I123" i="24"/>
  <c r="S113" i="24"/>
  <c r="R113" i="24"/>
  <c r="O112" i="24"/>
  <c r="P102" i="24"/>
  <c r="P112" i="24"/>
  <c r="Q112" i="24"/>
  <c r="L102" i="24"/>
  <c r="L103" i="24"/>
  <c r="L104" i="24"/>
  <c r="L105" i="24"/>
  <c r="L106" i="24"/>
  <c r="L107" i="24"/>
  <c r="L108" i="24"/>
  <c r="L109" i="24"/>
  <c r="L110" i="24"/>
  <c r="L111" i="24"/>
  <c r="L112" i="24"/>
  <c r="Z32" i="24"/>
  <c r="K102" i="24"/>
  <c r="Z15" i="24"/>
  <c r="K103" i="24"/>
  <c r="Z19" i="24"/>
  <c r="K104" i="24"/>
  <c r="K105" i="24"/>
  <c r="K106" i="24"/>
  <c r="K107" i="24"/>
  <c r="K108" i="24"/>
  <c r="K109" i="24"/>
  <c r="K110" i="24"/>
  <c r="K111" i="24"/>
  <c r="K112" i="24"/>
  <c r="M112" i="24"/>
  <c r="G102" i="24"/>
  <c r="H102" i="24"/>
  <c r="I102" i="24"/>
  <c r="G103" i="24"/>
  <c r="H103" i="24"/>
  <c r="I103" i="24"/>
  <c r="G104" i="24"/>
  <c r="H104" i="24"/>
  <c r="I104" i="24"/>
  <c r="G105" i="24"/>
  <c r="H105" i="24"/>
  <c r="I105" i="24"/>
  <c r="G106" i="24"/>
  <c r="H106" i="24"/>
  <c r="I106" i="24"/>
  <c r="G107" i="24"/>
  <c r="H107" i="24"/>
  <c r="I107" i="24"/>
  <c r="G108" i="24"/>
  <c r="H108" i="24"/>
  <c r="I108" i="24"/>
  <c r="G109" i="24"/>
  <c r="H109" i="24"/>
  <c r="I109" i="24"/>
  <c r="G110" i="24"/>
  <c r="H110" i="24"/>
  <c r="I110" i="24"/>
  <c r="G111" i="24"/>
  <c r="H111" i="24"/>
  <c r="I111" i="24"/>
  <c r="I112" i="24"/>
  <c r="S102" i="24"/>
  <c r="R102" i="24"/>
  <c r="O101" i="24"/>
  <c r="P91" i="24"/>
  <c r="P101" i="24"/>
  <c r="Q101" i="24"/>
  <c r="L91" i="24"/>
  <c r="L92" i="24"/>
  <c r="L93" i="24"/>
  <c r="L94" i="24"/>
  <c r="L95" i="24"/>
  <c r="L96" i="24"/>
  <c r="L97" i="24"/>
  <c r="L98" i="24"/>
  <c r="L99" i="24"/>
  <c r="L100" i="24"/>
  <c r="L101" i="24"/>
  <c r="K91" i="24"/>
  <c r="Z25" i="24"/>
  <c r="K92" i="24"/>
  <c r="K93" i="24"/>
  <c r="K94" i="24"/>
  <c r="K95" i="24"/>
  <c r="K96" i="24"/>
  <c r="K97" i="24"/>
  <c r="K98" i="24"/>
  <c r="K99" i="24"/>
  <c r="K100" i="24"/>
  <c r="K101" i="24"/>
  <c r="M101" i="24"/>
  <c r="G91" i="24"/>
  <c r="H91" i="24"/>
  <c r="I91" i="24"/>
  <c r="G92" i="24"/>
  <c r="H92" i="24"/>
  <c r="I92" i="24"/>
  <c r="G93" i="24"/>
  <c r="H93" i="24"/>
  <c r="I93" i="24"/>
  <c r="G94" i="24"/>
  <c r="H94" i="24"/>
  <c r="I94" i="24"/>
  <c r="G95" i="24"/>
  <c r="H95" i="24"/>
  <c r="I95" i="24"/>
  <c r="G96" i="24"/>
  <c r="H96" i="24"/>
  <c r="I96" i="24"/>
  <c r="G97" i="24"/>
  <c r="H97" i="24"/>
  <c r="I97" i="24"/>
  <c r="G98" i="24"/>
  <c r="H98" i="24"/>
  <c r="I98" i="24"/>
  <c r="G99" i="24"/>
  <c r="H99" i="24"/>
  <c r="I99" i="24"/>
  <c r="G100" i="24"/>
  <c r="H100" i="24"/>
  <c r="I100" i="24"/>
  <c r="I101" i="24"/>
  <c r="S91" i="24"/>
  <c r="R91" i="24"/>
  <c r="O90" i="24"/>
  <c r="P80" i="24"/>
  <c r="P90" i="24"/>
  <c r="Q90" i="24"/>
  <c r="L80" i="24"/>
  <c r="L81" i="24"/>
  <c r="L82" i="24"/>
  <c r="L83" i="24"/>
  <c r="L84" i="24"/>
  <c r="L85" i="24"/>
  <c r="L86" i="24"/>
  <c r="L87" i="24"/>
  <c r="L88" i="24"/>
  <c r="L89" i="24"/>
  <c r="L90" i="24"/>
  <c r="K80" i="24"/>
  <c r="K81" i="24"/>
  <c r="K82" i="24"/>
  <c r="K83" i="24"/>
  <c r="K84" i="24"/>
  <c r="K85" i="24"/>
  <c r="K86" i="24"/>
  <c r="K87" i="24"/>
  <c r="K88" i="24"/>
  <c r="K89" i="24"/>
  <c r="K90" i="24"/>
  <c r="M90" i="24"/>
  <c r="G80" i="24"/>
  <c r="H80" i="24"/>
  <c r="I80" i="24"/>
  <c r="I90" i="24"/>
  <c r="G89" i="24"/>
  <c r="H89" i="24"/>
  <c r="I89" i="24"/>
  <c r="G88" i="24"/>
  <c r="H88" i="24"/>
  <c r="I88" i="24"/>
  <c r="G87" i="24"/>
  <c r="H87" i="24"/>
  <c r="I87" i="24"/>
  <c r="G86" i="24"/>
  <c r="H86" i="24"/>
  <c r="I86" i="24"/>
  <c r="G85" i="24"/>
  <c r="H85" i="24"/>
  <c r="I85" i="24"/>
  <c r="G84" i="24"/>
  <c r="H84" i="24"/>
  <c r="I84" i="24"/>
  <c r="G83" i="24"/>
  <c r="H83" i="24"/>
  <c r="I83" i="24"/>
  <c r="G82" i="24"/>
  <c r="H82" i="24"/>
  <c r="I82" i="24"/>
  <c r="G81" i="24"/>
  <c r="H81" i="24"/>
  <c r="I81" i="24"/>
  <c r="S80" i="24"/>
  <c r="R80" i="24"/>
  <c r="O79" i="24"/>
  <c r="P69" i="24"/>
  <c r="P79" i="24"/>
  <c r="Q79" i="24"/>
  <c r="L69" i="24"/>
  <c r="K70" i="24"/>
  <c r="D70" i="24"/>
  <c r="L70" i="24"/>
  <c r="L71" i="24"/>
  <c r="L72" i="24"/>
  <c r="L73" i="24"/>
  <c r="L74" i="24"/>
  <c r="L75" i="24"/>
  <c r="L76" i="24"/>
  <c r="L77" i="24"/>
  <c r="L78" i="24"/>
  <c r="L79" i="24"/>
  <c r="K69" i="24"/>
  <c r="K71" i="24"/>
  <c r="K72" i="24"/>
  <c r="K73" i="24"/>
  <c r="K74" i="24"/>
  <c r="K75" i="24"/>
  <c r="K76" i="24"/>
  <c r="K77" i="24"/>
  <c r="K78" i="24"/>
  <c r="K79" i="24"/>
  <c r="M79" i="24"/>
  <c r="G69" i="24"/>
  <c r="H69" i="24"/>
  <c r="I69" i="24"/>
  <c r="G70" i="24"/>
  <c r="H70" i="24"/>
  <c r="I70" i="24"/>
  <c r="G71" i="24"/>
  <c r="H71" i="24"/>
  <c r="I71" i="24"/>
  <c r="G72" i="24"/>
  <c r="H72" i="24"/>
  <c r="I72" i="24"/>
  <c r="G73" i="24"/>
  <c r="H73" i="24"/>
  <c r="I73" i="24"/>
  <c r="G74" i="24"/>
  <c r="H74" i="24"/>
  <c r="I74" i="24"/>
  <c r="G75" i="24"/>
  <c r="H75" i="24"/>
  <c r="I75" i="24"/>
  <c r="G76" i="24"/>
  <c r="H76" i="24"/>
  <c r="I76" i="24"/>
  <c r="G77" i="24"/>
  <c r="H77" i="24"/>
  <c r="I77" i="24"/>
  <c r="G78" i="24"/>
  <c r="H78" i="24"/>
  <c r="I78" i="24"/>
  <c r="I79" i="24"/>
  <c r="S69" i="24"/>
  <c r="R69" i="24"/>
  <c r="O68" i="24"/>
  <c r="P58" i="24"/>
  <c r="P68" i="24"/>
  <c r="Q68" i="24"/>
  <c r="L58" i="24"/>
  <c r="L59" i="24"/>
  <c r="L60" i="24"/>
  <c r="L61" i="24"/>
  <c r="L62" i="24"/>
  <c r="L63" i="24"/>
  <c r="L64" i="24"/>
  <c r="L65" i="24"/>
  <c r="L66" i="24"/>
  <c r="L67" i="24"/>
  <c r="L68" i="24"/>
  <c r="K58" i="24"/>
  <c r="K59" i="24"/>
  <c r="K60" i="24"/>
  <c r="K61" i="24"/>
  <c r="K62" i="24"/>
  <c r="K63" i="24"/>
  <c r="K64" i="24"/>
  <c r="K65" i="24"/>
  <c r="K66" i="24"/>
  <c r="K67" i="24"/>
  <c r="K68" i="24"/>
  <c r="M68" i="24"/>
  <c r="G58" i="24"/>
  <c r="H58" i="24"/>
  <c r="I58" i="24"/>
  <c r="G59" i="24"/>
  <c r="H59" i="24"/>
  <c r="I59" i="24"/>
  <c r="G60" i="24"/>
  <c r="H60" i="24"/>
  <c r="I60" i="24"/>
  <c r="G61" i="24"/>
  <c r="H61" i="24"/>
  <c r="I61" i="24"/>
  <c r="G62" i="24"/>
  <c r="H62" i="24"/>
  <c r="I62" i="24"/>
  <c r="G63" i="24"/>
  <c r="H63" i="24"/>
  <c r="I63" i="24"/>
  <c r="G64" i="24"/>
  <c r="H64" i="24"/>
  <c r="I64" i="24"/>
  <c r="G65" i="24"/>
  <c r="H65" i="24"/>
  <c r="I65" i="24"/>
  <c r="G66" i="24"/>
  <c r="H66" i="24"/>
  <c r="I66" i="24"/>
  <c r="G67" i="24"/>
  <c r="H67" i="24"/>
  <c r="I67" i="24"/>
  <c r="I68" i="24"/>
  <c r="S58" i="24"/>
  <c r="R58" i="24"/>
  <c r="O57" i="24"/>
  <c r="P47" i="24"/>
  <c r="P57" i="24"/>
  <c r="Q57" i="24"/>
  <c r="L47" i="24"/>
  <c r="L48" i="24"/>
  <c r="L49" i="24"/>
  <c r="L50" i="24"/>
  <c r="L51" i="24"/>
  <c r="L52" i="24"/>
  <c r="L53" i="24"/>
  <c r="L54" i="24"/>
  <c r="L55" i="24"/>
  <c r="L56" i="24"/>
  <c r="L57" i="24"/>
  <c r="K47" i="24"/>
  <c r="K48" i="24"/>
  <c r="K49" i="24"/>
  <c r="K50" i="24"/>
  <c r="K51" i="24"/>
  <c r="K52" i="24"/>
  <c r="K53" i="24"/>
  <c r="K54" i="24"/>
  <c r="K55" i="24"/>
  <c r="K56" i="24"/>
  <c r="K57" i="24"/>
  <c r="M57" i="24"/>
  <c r="G47" i="24"/>
  <c r="H47" i="24"/>
  <c r="I47" i="24"/>
  <c r="G48" i="24"/>
  <c r="H48" i="24"/>
  <c r="I48" i="24"/>
  <c r="G49" i="24"/>
  <c r="H49" i="24"/>
  <c r="I49" i="24"/>
  <c r="G50" i="24"/>
  <c r="H50" i="24"/>
  <c r="I50" i="24"/>
  <c r="G51" i="24"/>
  <c r="H51" i="24"/>
  <c r="I51" i="24"/>
  <c r="G52" i="24"/>
  <c r="H52" i="24"/>
  <c r="I52" i="24"/>
  <c r="G53" i="24"/>
  <c r="H53" i="24"/>
  <c r="I53" i="24"/>
  <c r="G54" i="24"/>
  <c r="H54" i="24"/>
  <c r="I54" i="24"/>
  <c r="G55" i="24"/>
  <c r="H55" i="24"/>
  <c r="I55" i="24"/>
  <c r="G56" i="24"/>
  <c r="H56" i="24"/>
  <c r="I56" i="24"/>
  <c r="I57" i="24"/>
  <c r="S47" i="24"/>
  <c r="R47" i="24"/>
  <c r="O46" i="24"/>
  <c r="P36" i="24"/>
  <c r="P46" i="24"/>
  <c r="Q46" i="24"/>
  <c r="L36" i="24"/>
  <c r="L37" i="24"/>
  <c r="L38" i="24"/>
  <c r="L39" i="24"/>
  <c r="L40" i="24"/>
  <c r="L41" i="24"/>
  <c r="L42" i="24"/>
  <c r="L43" i="24"/>
  <c r="L44" i="24"/>
  <c r="L45" i="24"/>
  <c r="L46" i="24"/>
  <c r="K36" i="24"/>
  <c r="K37" i="24"/>
  <c r="K38" i="24"/>
  <c r="K39" i="24"/>
  <c r="K40" i="24"/>
  <c r="K41" i="24"/>
  <c r="K42" i="24"/>
  <c r="K43" i="24"/>
  <c r="K44" i="24"/>
  <c r="K45" i="24"/>
  <c r="K46" i="24"/>
  <c r="M46" i="24"/>
  <c r="G36" i="24"/>
  <c r="H36" i="24"/>
  <c r="I36" i="24"/>
  <c r="G37" i="24"/>
  <c r="H37" i="24"/>
  <c r="I37" i="24"/>
  <c r="G38" i="24"/>
  <c r="H38" i="24"/>
  <c r="I38" i="24"/>
  <c r="G39" i="24"/>
  <c r="H39" i="24"/>
  <c r="I39" i="24"/>
  <c r="G40" i="24"/>
  <c r="H40" i="24"/>
  <c r="I40" i="24"/>
  <c r="G41" i="24"/>
  <c r="H41" i="24"/>
  <c r="I41" i="24"/>
  <c r="G42" i="24"/>
  <c r="H42" i="24"/>
  <c r="I42" i="24"/>
  <c r="G43" i="24"/>
  <c r="H43" i="24"/>
  <c r="I43" i="24"/>
  <c r="G44" i="24"/>
  <c r="H44" i="24"/>
  <c r="I44" i="24"/>
  <c r="G45" i="24"/>
  <c r="H45" i="24"/>
  <c r="I45" i="24"/>
  <c r="I46" i="24"/>
  <c r="S36" i="24"/>
  <c r="R36" i="24"/>
  <c r="O35" i="24"/>
  <c r="P25" i="24"/>
  <c r="P35" i="24"/>
  <c r="Q35" i="24"/>
  <c r="L25" i="24"/>
  <c r="L26" i="24"/>
  <c r="L27" i="24"/>
  <c r="L28" i="24"/>
  <c r="L29" i="24"/>
  <c r="L30" i="24"/>
  <c r="L31" i="24"/>
  <c r="L32" i="24"/>
  <c r="L33" i="24"/>
  <c r="L34" i="24"/>
  <c r="L35" i="24"/>
  <c r="K25" i="24"/>
  <c r="K26" i="24"/>
  <c r="K27" i="24"/>
  <c r="K28" i="24"/>
  <c r="K29" i="24"/>
  <c r="K30" i="24"/>
  <c r="K31" i="24"/>
  <c r="K32" i="24"/>
  <c r="K33" i="24"/>
  <c r="K34" i="24"/>
  <c r="K35" i="24"/>
  <c r="M35" i="24"/>
  <c r="G25" i="24"/>
  <c r="H25" i="24"/>
  <c r="I25" i="24"/>
  <c r="I35" i="24"/>
  <c r="G34" i="24"/>
  <c r="H34" i="24"/>
  <c r="I34" i="24"/>
  <c r="Y33" i="24"/>
  <c r="G33" i="24"/>
  <c r="H33" i="24"/>
  <c r="I33" i="24"/>
  <c r="G32" i="24"/>
  <c r="H32" i="24"/>
  <c r="I32" i="24"/>
  <c r="AB31" i="24"/>
  <c r="Z31" i="24"/>
  <c r="Y31" i="24"/>
  <c r="G31" i="24"/>
  <c r="H31" i="24"/>
  <c r="I31" i="24"/>
  <c r="Z30" i="24"/>
  <c r="Y30" i="24"/>
  <c r="G30" i="24"/>
  <c r="H30" i="24"/>
  <c r="I30" i="24"/>
  <c r="Z29" i="24"/>
  <c r="Y29" i="24"/>
  <c r="G29" i="24"/>
  <c r="H29" i="24"/>
  <c r="I29" i="24"/>
  <c r="Y28" i="24"/>
  <c r="G28" i="24"/>
  <c r="H28" i="24"/>
  <c r="I28" i="24"/>
  <c r="Y27" i="24"/>
  <c r="G27" i="24"/>
  <c r="H27" i="24"/>
  <c r="I27" i="24"/>
  <c r="G26" i="24"/>
  <c r="H26" i="24"/>
  <c r="I26" i="24"/>
  <c r="AA25" i="24"/>
  <c r="S25" i="24"/>
  <c r="R25" i="24"/>
  <c r="AB24" i="24"/>
  <c r="Z24" i="24"/>
  <c r="Y24" i="24"/>
  <c r="O24" i="24"/>
  <c r="P14" i="24"/>
  <c r="P24" i="24"/>
  <c r="Q24" i="24"/>
  <c r="L14" i="24"/>
  <c r="L15" i="24"/>
  <c r="L16" i="24"/>
  <c r="L17" i="24"/>
  <c r="L18" i="24"/>
  <c r="L19" i="24"/>
  <c r="L20" i="24"/>
  <c r="L21" i="24"/>
  <c r="L22" i="24"/>
  <c r="L23" i="24"/>
  <c r="L24" i="24"/>
  <c r="Z12" i="24"/>
  <c r="K14" i="24"/>
  <c r="Z4" i="24"/>
  <c r="K15" i="24"/>
  <c r="K16" i="24"/>
  <c r="K17" i="24"/>
  <c r="K18" i="24"/>
  <c r="K19" i="24"/>
  <c r="K20" i="24"/>
  <c r="K21" i="24"/>
  <c r="K22" i="24"/>
  <c r="K23" i="24"/>
  <c r="K24" i="24"/>
  <c r="M24" i="24"/>
  <c r="G14" i="24"/>
  <c r="H14" i="24"/>
  <c r="I14" i="24"/>
  <c r="G15" i="24"/>
  <c r="H15" i="24"/>
  <c r="I15" i="24"/>
  <c r="G16" i="24"/>
  <c r="H16" i="24"/>
  <c r="I16" i="24"/>
  <c r="G17" i="24"/>
  <c r="H17" i="24"/>
  <c r="I17" i="24"/>
  <c r="G18" i="24"/>
  <c r="H18" i="24"/>
  <c r="I18" i="24"/>
  <c r="G19" i="24"/>
  <c r="H19" i="24"/>
  <c r="I19" i="24"/>
  <c r="G20" i="24"/>
  <c r="H20" i="24"/>
  <c r="I20" i="24"/>
  <c r="G21" i="24"/>
  <c r="H21" i="24"/>
  <c r="I21" i="24"/>
  <c r="G22" i="24"/>
  <c r="H22" i="24"/>
  <c r="I22" i="24"/>
  <c r="G23" i="24"/>
  <c r="H23" i="24"/>
  <c r="I23" i="24"/>
  <c r="I24" i="24"/>
  <c r="AB23" i="24"/>
  <c r="Y23" i="24"/>
  <c r="Y22" i="24"/>
  <c r="AB17" i="24"/>
  <c r="AB18" i="24"/>
  <c r="S14" i="24"/>
  <c r="R14" i="24"/>
  <c r="Z13" i="24"/>
  <c r="Y13" i="24"/>
  <c r="O13" i="24"/>
  <c r="P3" i="24"/>
  <c r="P13" i="24"/>
  <c r="Q13" i="24"/>
  <c r="L3" i="24"/>
  <c r="L4" i="24"/>
  <c r="L5" i="24"/>
  <c r="L6" i="24"/>
  <c r="L7" i="24"/>
  <c r="L8" i="24"/>
  <c r="L9" i="24"/>
  <c r="L10" i="24"/>
  <c r="L11" i="24"/>
  <c r="L12" i="24"/>
  <c r="L13" i="24"/>
  <c r="K3" i="24"/>
  <c r="K4" i="24"/>
  <c r="K5" i="24"/>
  <c r="K6" i="24"/>
  <c r="K7" i="24"/>
  <c r="K8" i="24"/>
  <c r="K9" i="24"/>
  <c r="K10" i="24"/>
  <c r="K11" i="24"/>
  <c r="K12" i="24"/>
  <c r="K13" i="24"/>
  <c r="M13" i="24"/>
  <c r="G3" i="24"/>
  <c r="H3" i="24"/>
  <c r="I3" i="24"/>
  <c r="G4" i="24"/>
  <c r="H4" i="24"/>
  <c r="I4" i="24"/>
  <c r="G5" i="24"/>
  <c r="H5" i="24"/>
  <c r="I5" i="24"/>
  <c r="G6" i="24"/>
  <c r="H6" i="24"/>
  <c r="I6" i="24"/>
  <c r="G7" i="24"/>
  <c r="H7" i="24"/>
  <c r="I7" i="24"/>
  <c r="G8" i="24"/>
  <c r="H8" i="24"/>
  <c r="I8" i="24"/>
  <c r="G9" i="24"/>
  <c r="H9" i="24"/>
  <c r="I9" i="24"/>
  <c r="G10" i="24"/>
  <c r="H10" i="24"/>
  <c r="I10" i="24"/>
  <c r="G11" i="24"/>
  <c r="H11" i="24"/>
  <c r="I11" i="24"/>
  <c r="G12" i="24"/>
  <c r="H12" i="24"/>
  <c r="I12" i="24"/>
  <c r="I13" i="24"/>
  <c r="AB12" i="24"/>
  <c r="AB11" i="24"/>
  <c r="Z11" i="24"/>
  <c r="Y11" i="24"/>
  <c r="Y10" i="24"/>
  <c r="AB8" i="24"/>
  <c r="Y8" i="24"/>
  <c r="AB7" i="24"/>
  <c r="Y7" i="24"/>
  <c r="Y6" i="24"/>
  <c r="AB4" i="24"/>
  <c r="AA3" i="24"/>
  <c r="Y3" i="24"/>
  <c r="S3" i="24"/>
  <c r="R3" i="24"/>
  <c r="AB2" i="24"/>
  <c r="Z2" i="24"/>
  <c r="Y2" i="24"/>
  <c r="J8" i="30"/>
  <c r="H8" i="30"/>
  <c r="I8" i="30"/>
  <c r="J7" i="30"/>
  <c r="H7" i="30"/>
  <c r="I7" i="30"/>
  <c r="J6" i="30"/>
  <c r="H6" i="30"/>
  <c r="I6" i="30"/>
  <c r="J5" i="30"/>
  <c r="K5" i="30"/>
  <c r="H5" i="30"/>
  <c r="I5" i="30"/>
  <c r="G7" i="45"/>
  <c r="C12" i="45" a="1"/>
  <c r="C12" i="45"/>
  <c r="C9" i="45"/>
  <c r="G8" i="45"/>
  <c r="C8" i="45"/>
  <c r="B9" i="42"/>
  <c r="H36" i="36"/>
  <c r="K36" i="36"/>
  <c r="M36" i="36"/>
  <c r="B36" i="36"/>
  <c r="A36" i="36"/>
  <c r="H35" i="36"/>
  <c r="K35" i="36"/>
  <c r="M35" i="36"/>
  <c r="B35" i="36"/>
  <c r="A35" i="36"/>
  <c r="H34" i="36"/>
  <c r="K34" i="36"/>
  <c r="M34" i="36"/>
  <c r="B34" i="36"/>
  <c r="A34" i="36"/>
  <c r="H33" i="36"/>
  <c r="K33" i="36"/>
  <c r="M33" i="36"/>
  <c r="B33" i="36"/>
  <c r="A33" i="36"/>
  <c r="H32" i="36"/>
  <c r="K32" i="36"/>
  <c r="M32" i="36"/>
  <c r="B32" i="36"/>
  <c r="A32" i="36"/>
  <c r="H31" i="36"/>
  <c r="I31" i="36"/>
  <c r="K31" i="36"/>
  <c r="M31" i="36"/>
  <c r="B31" i="36"/>
  <c r="A31" i="36"/>
  <c r="H30" i="36"/>
  <c r="I30" i="36"/>
  <c r="K30" i="36"/>
  <c r="M30" i="36"/>
  <c r="B30" i="36"/>
  <c r="A30" i="36"/>
  <c r="H29" i="36"/>
  <c r="K29" i="36"/>
  <c r="M29" i="36"/>
  <c r="B29" i="36"/>
  <c r="A29" i="36"/>
  <c r="G67" i="34"/>
  <c r="J66" i="34"/>
  <c r="H28" i="36"/>
  <c r="K28" i="36"/>
  <c r="M28" i="36"/>
  <c r="B28" i="36"/>
  <c r="A28" i="36"/>
  <c r="J51" i="34"/>
  <c r="G59" i="34"/>
  <c r="J58" i="34"/>
  <c r="H27" i="36"/>
  <c r="K27" i="36"/>
  <c r="M27" i="36"/>
  <c r="B27" i="36"/>
  <c r="A27" i="36"/>
  <c r="H26" i="36"/>
  <c r="K26" i="36"/>
  <c r="M26" i="36"/>
  <c r="B26" i="36"/>
  <c r="A26" i="36"/>
  <c r="H25" i="36"/>
  <c r="K25" i="36"/>
  <c r="M25" i="36"/>
  <c r="B25" i="36"/>
  <c r="A25" i="36"/>
  <c r="H24" i="36"/>
  <c r="K24" i="36"/>
  <c r="M24" i="36"/>
  <c r="B24" i="36"/>
  <c r="A24" i="36"/>
  <c r="H23" i="36"/>
  <c r="K23" i="36"/>
  <c r="M23" i="36"/>
  <c r="B23" i="36"/>
  <c r="A23" i="36"/>
  <c r="H22" i="36"/>
  <c r="K22" i="36"/>
  <c r="M22" i="36"/>
  <c r="B22" i="36"/>
  <c r="A22" i="36"/>
  <c r="H21" i="36"/>
  <c r="K21" i="36"/>
  <c r="M21" i="36"/>
  <c r="B21" i="36"/>
  <c r="A21" i="36"/>
  <c r="H20" i="36"/>
  <c r="K20" i="36"/>
  <c r="M20" i="36"/>
  <c r="B20" i="36"/>
  <c r="A20" i="36"/>
  <c r="H19" i="36"/>
  <c r="K19" i="36"/>
  <c r="M19" i="36"/>
  <c r="B19" i="36"/>
  <c r="A19" i="36"/>
  <c r="H18" i="36"/>
  <c r="K18" i="36"/>
  <c r="M18" i="36"/>
  <c r="B18" i="36"/>
  <c r="A18" i="36"/>
  <c r="H17" i="36"/>
  <c r="K17" i="36"/>
  <c r="M17" i="36"/>
  <c r="B17" i="36"/>
  <c r="A17" i="36"/>
  <c r="H16" i="36"/>
  <c r="K16" i="36"/>
  <c r="M16" i="36"/>
  <c r="B16" i="36"/>
  <c r="A16" i="36"/>
  <c r="G15" i="36"/>
  <c r="H15" i="36"/>
  <c r="K15" i="36"/>
  <c r="M15" i="36"/>
  <c r="B15" i="36"/>
  <c r="A15" i="36"/>
  <c r="G14" i="36"/>
  <c r="H14" i="36"/>
  <c r="K14" i="36"/>
  <c r="M14" i="36"/>
  <c r="B14" i="36"/>
  <c r="A14" i="36"/>
  <c r="G13" i="36"/>
  <c r="H13" i="36"/>
  <c r="K13" i="36"/>
  <c r="M13" i="36"/>
  <c r="B13" i="36"/>
  <c r="A13" i="36"/>
  <c r="H12" i="36"/>
  <c r="K12" i="36"/>
  <c r="M12" i="36"/>
  <c r="B12" i="36"/>
  <c r="A12" i="36"/>
  <c r="J18" i="34"/>
  <c r="H11" i="36"/>
  <c r="K11" i="36"/>
  <c r="M11" i="36"/>
  <c r="B11" i="36"/>
  <c r="A11" i="36"/>
  <c r="J3" i="34"/>
  <c r="G11" i="34"/>
  <c r="J10" i="34"/>
  <c r="H10" i="36"/>
  <c r="K10" i="36"/>
  <c r="M10" i="36"/>
  <c r="B10" i="36"/>
  <c r="A10" i="36"/>
  <c r="H9" i="36"/>
  <c r="K9" i="36"/>
  <c r="M9" i="36"/>
  <c r="B9" i="36"/>
  <c r="A9" i="36"/>
  <c r="H8" i="36"/>
  <c r="K8" i="36"/>
  <c r="M8" i="36"/>
  <c r="B8" i="36"/>
  <c r="A8" i="36"/>
  <c r="H7" i="36"/>
  <c r="K7" i="36"/>
  <c r="M7" i="36"/>
  <c r="B7" i="36"/>
  <c r="A7" i="36"/>
  <c r="H6" i="36"/>
  <c r="K6" i="36"/>
  <c r="M6" i="36"/>
  <c r="B6" i="36"/>
  <c r="A6" i="36"/>
  <c r="H5" i="36"/>
  <c r="K5" i="36"/>
  <c r="M5" i="36"/>
  <c r="B5" i="36"/>
  <c r="A5" i="36"/>
  <c r="H4" i="36"/>
  <c r="K4" i="36"/>
  <c r="M4" i="36"/>
  <c r="B4" i="36"/>
  <c r="A4" i="36"/>
  <c r="H3" i="36"/>
  <c r="K3" i="36"/>
  <c r="M3" i="36"/>
  <c r="B3" i="36"/>
  <c r="A3" i="36"/>
  <c r="J97" i="34"/>
  <c r="I98" i="34"/>
  <c r="A98" i="34"/>
  <c r="H97" i="34"/>
  <c r="A97" i="34"/>
  <c r="J92" i="34"/>
  <c r="I96" i="34"/>
  <c r="A96" i="34"/>
  <c r="I95" i="34"/>
  <c r="A95" i="34"/>
  <c r="I94" i="34"/>
  <c r="A94" i="34"/>
  <c r="I93" i="34"/>
  <c r="A93" i="34"/>
  <c r="H92" i="34"/>
  <c r="G92" i="34"/>
  <c r="A92" i="34"/>
  <c r="J87" i="34"/>
  <c r="I91" i="34"/>
  <c r="A91" i="34"/>
  <c r="I90" i="34"/>
  <c r="A90" i="34"/>
  <c r="I89" i="34"/>
  <c r="A89" i="34"/>
  <c r="I88" i="34"/>
  <c r="A88" i="34"/>
  <c r="H87" i="34"/>
  <c r="G87" i="34"/>
  <c r="A87" i="34"/>
  <c r="J79" i="34"/>
  <c r="I86" i="34"/>
  <c r="A86" i="34"/>
  <c r="I85" i="34"/>
  <c r="A85" i="34"/>
  <c r="I84" i="34"/>
  <c r="A84" i="34"/>
  <c r="I83" i="34"/>
  <c r="A83" i="34"/>
  <c r="I82" i="34"/>
  <c r="A82" i="34"/>
  <c r="I81" i="34"/>
  <c r="A81" i="34"/>
  <c r="I80" i="34"/>
  <c r="A80" i="34"/>
  <c r="H79" i="34"/>
  <c r="G79" i="34"/>
  <c r="A79" i="34"/>
  <c r="J74" i="34"/>
  <c r="I78" i="34"/>
  <c r="A78" i="34"/>
  <c r="I77" i="34"/>
  <c r="A77" i="34"/>
  <c r="I76" i="34"/>
  <c r="A76" i="34"/>
  <c r="I75" i="34"/>
  <c r="A75" i="34"/>
  <c r="H74" i="34"/>
  <c r="G74" i="34"/>
  <c r="A74" i="34"/>
  <c r="I73" i="34"/>
  <c r="A73" i="34"/>
  <c r="I72" i="34"/>
  <c r="A72" i="34"/>
  <c r="I71" i="34"/>
  <c r="A71" i="34"/>
  <c r="I70" i="34"/>
  <c r="A70" i="34"/>
  <c r="I69" i="34"/>
  <c r="A69" i="34"/>
  <c r="I68" i="34"/>
  <c r="A68" i="34"/>
  <c r="I67" i="34"/>
  <c r="A67" i="34"/>
  <c r="H66" i="34"/>
  <c r="A66" i="34"/>
  <c r="I65" i="34"/>
  <c r="A65" i="34"/>
  <c r="I64" i="34"/>
  <c r="A64" i="34"/>
  <c r="I63" i="34"/>
  <c r="A63" i="34"/>
  <c r="I62" i="34"/>
  <c r="A62" i="34"/>
  <c r="I61" i="34"/>
  <c r="A61" i="34"/>
  <c r="I60" i="34"/>
  <c r="A60" i="34"/>
  <c r="I59" i="34"/>
  <c r="A59" i="34"/>
  <c r="H58" i="34"/>
  <c r="A58" i="34"/>
  <c r="I57" i="34"/>
  <c r="A57" i="34"/>
  <c r="I56" i="34"/>
  <c r="A56" i="34"/>
  <c r="I55" i="34"/>
  <c r="A55" i="34"/>
  <c r="I54" i="34"/>
  <c r="A54" i="34"/>
  <c r="I53" i="34"/>
  <c r="A53" i="34"/>
  <c r="I52" i="34"/>
  <c r="A52" i="34"/>
  <c r="H51" i="34"/>
  <c r="A51" i="34"/>
  <c r="J49" i="34"/>
  <c r="I50" i="34"/>
  <c r="A50" i="34"/>
  <c r="H49" i="34"/>
  <c r="A49" i="34"/>
  <c r="J44" i="34"/>
  <c r="I48" i="34"/>
  <c r="A48" i="34"/>
  <c r="I47" i="34"/>
  <c r="A47" i="34"/>
  <c r="I46" i="34"/>
  <c r="A46" i="34"/>
  <c r="I45" i="34"/>
  <c r="A45" i="34"/>
  <c r="H44" i="34"/>
  <c r="A44" i="34"/>
  <c r="J39" i="34"/>
  <c r="I43" i="34"/>
  <c r="A43" i="34"/>
  <c r="I42" i="34"/>
  <c r="A42" i="34"/>
  <c r="I41" i="34"/>
  <c r="A41" i="34"/>
  <c r="I40" i="34"/>
  <c r="A40" i="34"/>
  <c r="H39" i="34"/>
  <c r="A39" i="34"/>
  <c r="J31" i="34"/>
  <c r="I38" i="34"/>
  <c r="A38" i="34"/>
  <c r="I37" i="34"/>
  <c r="A37" i="34"/>
  <c r="I36" i="34"/>
  <c r="A36" i="34"/>
  <c r="I35" i="34"/>
  <c r="A35" i="34"/>
  <c r="I34" i="34"/>
  <c r="A34" i="34"/>
  <c r="I33" i="34"/>
  <c r="A33" i="34"/>
  <c r="I32" i="34"/>
  <c r="A32" i="34"/>
  <c r="H31" i="34"/>
  <c r="A31" i="34"/>
  <c r="J26" i="34"/>
  <c r="I30" i="34"/>
  <c r="A30" i="34"/>
  <c r="I29" i="34"/>
  <c r="A29" i="34"/>
  <c r="I28" i="34"/>
  <c r="A28" i="34"/>
  <c r="I27" i="34"/>
  <c r="A27" i="34"/>
  <c r="H26" i="34"/>
  <c r="A26" i="34"/>
  <c r="I25" i="34"/>
  <c r="A25" i="34"/>
  <c r="I24" i="34"/>
  <c r="A24" i="34"/>
  <c r="I23" i="34"/>
  <c r="A23" i="34"/>
  <c r="I22" i="34"/>
  <c r="A22" i="34"/>
  <c r="I21" i="34"/>
  <c r="A21" i="34"/>
  <c r="I20" i="34"/>
  <c r="A20" i="34"/>
  <c r="I19" i="34"/>
  <c r="A19" i="34"/>
  <c r="H18" i="34"/>
  <c r="A18" i="34"/>
  <c r="I17" i="34"/>
  <c r="A17" i="34"/>
  <c r="I16" i="34"/>
  <c r="A16" i="34"/>
  <c r="I15" i="34"/>
  <c r="A15" i="34"/>
  <c r="A14" i="34"/>
  <c r="I13" i="34"/>
  <c r="A13" i="34"/>
  <c r="I12" i="34"/>
  <c r="A12" i="34"/>
  <c r="I11" i="34"/>
  <c r="A11" i="34"/>
  <c r="H10" i="34"/>
  <c r="A10" i="34"/>
  <c r="I9" i="34"/>
  <c r="A9" i="34"/>
  <c r="I8" i="34"/>
  <c r="A8" i="34"/>
  <c r="I7" i="34"/>
  <c r="A7" i="34"/>
  <c r="A6" i="34"/>
  <c r="I5" i="34"/>
  <c r="A5" i="34"/>
  <c r="I4" i="34"/>
  <c r="A4" i="34"/>
  <c r="H3" i="34"/>
  <c r="A3" i="34"/>
  <c r="N10" i="46" a="1"/>
  <c r="N10" i="46"/>
  <c r="E13" i="42" a="1"/>
  <c r="E13" i="42"/>
  <c r="I18" i="42" a="1"/>
  <c r="I18" i="42"/>
  <c r="I14" i="42" a="1"/>
  <c r="I14" i="42"/>
  <c r="E20" i="42" a="1"/>
  <c r="E20" i="42"/>
  <c r="I10" i="42" a="1"/>
  <c r="I10" i="42"/>
  <c r="N15" i="42" a="1"/>
  <c r="N15" i="42"/>
  <c r="I22" i="42" a="1"/>
  <c r="I22" i="42"/>
  <c r="N11" i="42" a="1"/>
  <c r="N11" i="42"/>
  <c r="E17" i="42" a="1"/>
  <c r="E17" i="42"/>
  <c r="N10" i="42" a="1"/>
  <c r="N10" i="42"/>
  <c r="E12" i="42" a="1"/>
  <c r="E12" i="42"/>
  <c r="I13" i="42" a="1"/>
  <c r="I13" i="42"/>
  <c r="N14" i="42" a="1"/>
  <c r="N14" i="42"/>
  <c r="E16" i="42" a="1"/>
  <c r="E16" i="42"/>
  <c r="I17" i="42" a="1"/>
  <c r="I17" i="42"/>
  <c r="N18" i="42" a="1"/>
  <c r="N18" i="42"/>
  <c r="I21" i="42" a="1"/>
  <c r="I21" i="42"/>
  <c r="L22" i="42" a="1"/>
  <c r="L22" i="42"/>
  <c r="E11" i="42" a="1"/>
  <c r="E11" i="42"/>
  <c r="I12" i="42" a="1"/>
  <c r="I12" i="42"/>
  <c r="N13" i="42" a="1"/>
  <c r="N13" i="42"/>
  <c r="E15" i="42" a="1"/>
  <c r="E15" i="42"/>
  <c r="I16" i="42" a="1"/>
  <c r="I16" i="42"/>
  <c r="L16" i="42"/>
  <c r="N17" i="42" a="1"/>
  <c r="N17" i="42"/>
  <c r="E19" i="42" a="1"/>
  <c r="E19" i="42"/>
  <c r="B22" i="42" a="1"/>
  <c r="B22" i="42"/>
  <c r="N22" i="42" a="1"/>
  <c r="N22" i="42"/>
  <c r="E10" i="42" a="1"/>
  <c r="E10" i="42"/>
  <c r="I11" i="42" a="1"/>
  <c r="I11" i="42"/>
  <c r="N12" i="42" a="1"/>
  <c r="N12" i="42"/>
  <c r="E14" i="42" a="1"/>
  <c r="E14" i="42"/>
  <c r="L14" i="42"/>
  <c r="I15" i="42" a="1"/>
  <c r="I15" i="42"/>
  <c r="L15" i="42"/>
  <c r="N16" i="42" a="1"/>
  <c r="N16" i="42"/>
  <c r="E18" i="42" a="1"/>
  <c r="E18" i="42"/>
  <c r="I19" i="42"/>
  <c r="E22" i="42" a="1"/>
  <c r="E22" i="42"/>
  <c r="E11" i="46" a="1"/>
  <c r="E11" i="46"/>
  <c r="I12" i="46" a="1"/>
  <c r="I12" i="46"/>
  <c r="N13" i="46" a="1"/>
  <c r="N13" i="46"/>
  <c r="E10" i="46" a="1"/>
  <c r="E10" i="46"/>
  <c r="I11" i="46" a="1"/>
  <c r="I11" i="46"/>
  <c r="L11" i="46"/>
  <c r="N12" i="46" a="1"/>
  <c r="N12" i="46"/>
  <c r="E14" i="46" a="1"/>
  <c r="E14" i="46"/>
  <c r="I10" i="46" a="1"/>
  <c r="I10" i="46"/>
  <c r="N11" i="46" a="1"/>
  <c r="N11" i="46"/>
  <c r="E13" i="46" a="1"/>
  <c r="E13" i="46"/>
  <c r="I14" i="46" a="1"/>
  <c r="I14" i="46"/>
  <c r="I15" i="46"/>
  <c r="E15" i="46" a="1"/>
  <c r="E15" i="46"/>
  <c r="L17" i="42"/>
  <c r="L12" i="46"/>
  <c r="L12" i="42"/>
  <c r="G10" i="45" a="1"/>
  <c r="G10" i="45"/>
  <c r="L11" i="42"/>
  <c r="L13" i="42"/>
  <c r="G11" i="45" a="1"/>
  <c r="G11" i="45"/>
  <c r="L13" i="46"/>
  <c r="L10" i="42"/>
  <c r="L18" i="42"/>
  <c r="G12" i="45"/>
  <c r="C15" i="45" a="1"/>
  <c r="C15" i="45"/>
  <c r="J15" i="45" a="1"/>
  <c r="J15" i="45"/>
  <c r="N14" i="46" a="1"/>
  <c r="N14" i="46"/>
  <c r="C7" i="45"/>
  <c r="C13" i="45" a="1"/>
  <c r="C13" i="45"/>
  <c r="G15" i="45" a="1"/>
  <c r="G15" i="45"/>
  <c r="C10" i="45" a="1"/>
  <c r="C10" i="45"/>
  <c r="C11" i="45" a="1"/>
  <c r="C11" i="45"/>
  <c r="L14" i="46"/>
  <c r="L10" i="46"/>
</calcChain>
</file>

<file path=xl/comments1.xml><?xml version="1.0" encoding="utf-8"?>
<comments xmlns="http://schemas.openxmlformats.org/spreadsheetml/2006/main">
  <authors>
    <author>Deluxe</author>
  </authors>
  <commentList>
    <comment ref="D144" authorId="0" shapeId="0">
      <text>
        <r>
          <rPr>
            <b/>
            <sz val="9"/>
            <color indexed="81"/>
            <rFont val="Tahoma"/>
            <family val="2"/>
            <charset val="163"/>
          </rPr>
          <t xml:space="preserve">Deluxe:vc đi sann lấp
</t>
        </r>
      </text>
    </comment>
  </commentList>
</comments>
</file>

<file path=xl/sharedStrings.xml><?xml version="1.0" encoding="utf-8"?>
<sst xmlns="http://schemas.openxmlformats.org/spreadsheetml/2006/main" count="4599" uniqueCount="1002">
  <si>
    <t xml:space="preserve">Ca </t>
  </si>
  <si>
    <t>Công đoạn</t>
  </si>
  <si>
    <t>Tên NVL/BTP/TP</t>
  </si>
  <si>
    <t>Ca 1</t>
  </si>
  <si>
    <t>Ca 2</t>
  </si>
  <si>
    <t>Bùn duy tu</t>
  </si>
  <si>
    <t>Xay trái dừa</t>
  </si>
  <si>
    <t>VC bùn HCT đi san lấp</t>
  </si>
  <si>
    <t>NL Mụn dừa mật rỉ đường</t>
  </si>
  <si>
    <t>Công tác khác</t>
  </si>
  <si>
    <t>Tháng</t>
  </si>
  <si>
    <t>Ngày</t>
  </si>
  <si>
    <t>Ca</t>
  </si>
  <si>
    <t>LOT</t>
  </si>
  <si>
    <t>NVL/TP</t>
  </si>
  <si>
    <t>Thời gian bắt đâu</t>
  </si>
  <si>
    <t>Thời gian kết thúc</t>
  </si>
  <si>
    <t>Thời gian BTTQ</t>
  </si>
  <si>
    <t>Thời gian xe hư</t>
  </si>
  <si>
    <t>Thời gian nghỉ</t>
  </si>
  <si>
    <t>Thời gian CV khác</t>
  </si>
  <si>
    <t>Thời gian làm việc</t>
  </si>
  <si>
    <t>Dầu</t>
  </si>
  <si>
    <t>Nhớt 10</t>
  </si>
  <si>
    <t>Nhớt 50</t>
  </si>
  <si>
    <t>Xe cơ giới/máy</t>
  </si>
  <si>
    <t>Số lượng thực hiện</t>
  </si>
  <si>
    <t>Nguyên nhân</t>
  </si>
  <si>
    <t>Ca Làm Việc</t>
  </si>
  <si>
    <t>Máy Xay trái dừa</t>
  </si>
  <si>
    <t>Nhớt 90</t>
  </si>
  <si>
    <t>Nhớt 140</t>
  </si>
  <si>
    <t>Cuốc 07 (5) - Kobelco 011268 - CKC</t>
  </si>
  <si>
    <t>Xúc lật (1) - Hitachi đỏ</t>
  </si>
  <si>
    <t>Xúc lật (2) - Kawasaki</t>
  </si>
  <si>
    <t>Xúc lật (3) - Hitachi đen</t>
  </si>
  <si>
    <t>Xúc lật (4) - Komatsu</t>
  </si>
  <si>
    <t>Ben 15T (9) - 57M - 1314 -TG</t>
  </si>
  <si>
    <t>Ben 15T (10) - 92C - 07302 -TG</t>
  </si>
  <si>
    <t>Ben 15T (3) - 60M - 2878 - TN</t>
  </si>
  <si>
    <t>Ben 15T (5) - 60C - 10871 - TN</t>
  </si>
  <si>
    <t>Ben 15T (6) - 51C -  51816 - TN</t>
  </si>
  <si>
    <t>Ben 15T (7) - 57M - 3293 - TG</t>
  </si>
  <si>
    <t>Ben 15T (8) - 57M - 3697 - TG</t>
  </si>
  <si>
    <t>Phân Loại xe</t>
  </si>
  <si>
    <t>Xe cuốc</t>
  </si>
  <si>
    <t>Xe ben</t>
  </si>
  <si>
    <t>Xe ủi</t>
  </si>
  <si>
    <t>Xe xúc</t>
  </si>
  <si>
    <t>Máy Vận Hành</t>
  </si>
  <si>
    <t>Cuốc 07 (1) - Komatsu PC 200</t>
  </si>
  <si>
    <t>Cuốc 07 (2) - Hitachi EX 200-3</t>
  </si>
  <si>
    <t>Cuốc 07 (3) - Hitachi EX 200-5</t>
  </si>
  <si>
    <t>Cuốc 07 (4) - Hitachi EX 200-5Z</t>
  </si>
  <si>
    <t>Cuốc 07 (6) - Sumitomo - TG</t>
  </si>
  <si>
    <t>Cuốc 07 (7) - Hitachi EX 200-NN</t>
  </si>
  <si>
    <t>Cuốc 05 (1) - Hitachi EX 120-3</t>
  </si>
  <si>
    <t>Cuốc 05 (2) - Hitachi EX 120-5</t>
  </si>
  <si>
    <t>Cuốc 05 (3) - Kobelco - BRSG</t>
  </si>
  <si>
    <t>Xúc  Carter - 01</t>
  </si>
  <si>
    <t>Xe bồn</t>
  </si>
  <si>
    <t>Máy cày</t>
  </si>
  <si>
    <t>Cuốc 05 (5) - Sumitomo - S265-TN</t>
  </si>
  <si>
    <t>VC rác</t>
  </si>
  <si>
    <t>Ben 15T (14) - 62C - 06623 -TG</t>
  </si>
  <si>
    <t>Cuốc 07 (9) - CAT - CKC</t>
  </si>
  <si>
    <t>Cuốc 07 (10) - Gold Star- TN</t>
  </si>
  <si>
    <t>VC vào hồ tiếp nhận</t>
  </si>
  <si>
    <t>VC bùn đi cân</t>
  </si>
  <si>
    <t>Tách rác cấp lớn</t>
  </si>
  <si>
    <t>VC đi tách rác nhỏ</t>
  </si>
  <si>
    <t>Phối trộn bằng XCG</t>
  </si>
  <si>
    <t>VC sang ủ hiếu khí</t>
  </si>
  <si>
    <t>Di dời đống ủ</t>
  </si>
  <si>
    <t>Đảo trộn hiếu khí</t>
  </si>
  <si>
    <t>VC NL đi phối trộn</t>
  </si>
  <si>
    <t>Cắt lớp</t>
  </si>
  <si>
    <t>Đảo trộn ủ chín</t>
  </si>
  <si>
    <t>Cấp liệu máy sàng ĐS - PB</t>
  </si>
  <si>
    <t>VC BTP đóng gói</t>
  </si>
  <si>
    <t>Xổ bao</t>
  </si>
  <si>
    <t>Cấp liệu máy phối trộn</t>
  </si>
  <si>
    <t>Cấp liệu trái dừa</t>
  </si>
  <si>
    <t>Kênh rạch tắt</t>
  </si>
  <si>
    <t>Duy tu tắt</t>
  </si>
  <si>
    <t>VC ra bãi ủ chín</t>
  </si>
  <si>
    <t>Cấp liệu tách rác nhỏ</t>
  </si>
  <si>
    <t>VC NL đi đùn T-O</t>
  </si>
  <si>
    <t>VC đất đi sàng</t>
  </si>
  <si>
    <t>Xe hư</t>
  </si>
  <si>
    <t>Năng suất</t>
  </si>
  <si>
    <t>CHỦNG LOẠI XE</t>
  </si>
  <si>
    <t>CÔNG VIỆC</t>
  </si>
  <si>
    <t>THỜI GIAN LÀM VIỆC</t>
  </si>
  <si>
    <t>DẦU</t>
  </si>
  <si>
    <t>Trọng số đánh giá</t>
  </si>
  <si>
    <t>Điểm công đoạn</t>
  </si>
  <si>
    <t>Tỷ trọng công đoạn</t>
  </si>
  <si>
    <t>Điểm đánh giá công đoạn</t>
  </si>
  <si>
    <t>Tiêu chuẩn công đoạn</t>
  </si>
  <si>
    <t>Thực tế</t>
  </si>
  <si>
    <t>Row Labels</t>
  </si>
  <si>
    <t xml:space="preserve"> Dầu</t>
  </si>
  <si>
    <t xml:space="preserve"> Số lượng thực hiện</t>
  </si>
  <si>
    <t xml:space="preserve"> Thời gian xe hư</t>
  </si>
  <si>
    <t xml:space="preserve"> Thời gian BTTQ</t>
  </si>
  <si>
    <t xml:space="preserve"> Thời gian làm việc</t>
  </si>
  <si>
    <t>Công đoạn vận hành</t>
  </si>
  <si>
    <t>Tiêu hao dầu</t>
  </si>
  <si>
    <t>Ben 15T (11) - 51D-  41822 - NM</t>
  </si>
  <si>
    <t>Máy phối trộn</t>
  </si>
  <si>
    <t>Xúc  Carter - 02</t>
  </si>
  <si>
    <t xml:space="preserve">Xe ủi D31 (Komatsu D31) </t>
  </si>
  <si>
    <t>Ben 15T (4) - 60C - 16400 - TN</t>
  </si>
  <si>
    <t>Cuốc cần dài - CKC</t>
  </si>
  <si>
    <t>Cuốc cần dài</t>
  </si>
  <si>
    <t xml:space="preserve">Ben 15T (1) - 51D - 41413 </t>
  </si>
  <si>
    <t>Ben 15T (2) - 51D - 41434</t>
  </si>
  <si>
    <t>Ben 15T (12) - 63L - 9531</t>
  </si>
  <si>
    <t>Ben 15T (13) - 57K - 0397</t>
  </si>
  <si>
    <t>Ben 15T (15) - 51C - 93161</t>
  </si>
  <si>
    <t>Ben 15T (16) - 62L- 5068- TG</t>
  </si>
  <si>
    <t>Ben 5T (2) - 51C - 79024 - logistic</t>
  </si>
  <si>
    <t>Ben 5T (3) - 51C - 84553 - ogistic</t>
  </si>
  <si>
    <t>Ben 5T (1) - 51C - 79320</t>
  </si>
  <si>
    <t>Cuốc 03 (1) - Kobelo</t>
  </si>
  <si>
    <t>Cuốc 07 (8) - Kobelco - CKC</t>
  </si>
  <si>
    <t>VC nguyên liệu đảo trộn</t>
  </si>
  <si>
    <t>Đảo trộn phân bò</t>
  </si>
  <si>
    <t>Tổng điểm đánh giá</t>
  </si>
  <si>
    <t>Cuốc 07 (11)  - Kobelco - TN</t>
  </si>
  <si>
    <t>Ben 15T (11) - 51D-  41822</t>
  </si>
  <si>
    <t>Ben 15T (12) - 63L - 9531 (Thuê chuyến)</t>
  </si>
  <si>
    <t>Ben 15T (15) - 51C - 93161 (Thuê chuyến)</t>
  </si>
  <si>
    <t>Ben 15T (13) - 57K - 0397 (TG)</t>
  </si>
  <si>
    <t>XE CƠ GIỚI</t>
  </si>
  <si>
    <t>ĐIỂM ĐÁNH GIÁ</t>
  </si>
  <si>
    <t>XẾP LOẠI</t>
  </si>
  <si>
    <t>Đảo trộn đất sạch</t>
  </si>
  <si>
    <t>Cuốc 07 (11)  - Komatsu - TN</t>
  </si>
  <si>
    <t>ĐIỂM ĐÁNH GIÁ ( Tuần )</t>
  </si>
  <si>
    <t>XẾP LOẠI ( Tuần )</t>
  </si>
  <si>
    <t>Tổng điểm đánh giá
( Tuần )</t>
  </si>
  <si>
    <t>VC bùn không qua cân</t>
  </si>
  <si>
    <t>Công Đoạn</t>
  </si>
  <si>
    <t>Bentonite tắt</t>
  </si>
  <si>
    <t>Cuốc 07 (12) - Sumitomo - TN</t>
  </si>
  <si>
    <t>(blank)</t>
  </si>
  <si>
    <t>Phụ trợ</t>
  </si>
  <si>
    <t>Bùn HCC</t>
  </si>
  <si>
    <t>Bùn HCT</t>
  </si>
  <si>
    <t>Bùn kênh rạch TTCN</t>
  </si>
  <si>
    <t>Bùn kênh rạch TN</t>
  </si>
  <si>
    <t>Bùn Bentonite</t>
  </si>
  <si>
    <t>PT.01</t>
  </si>
  <si>
    <t>Công tác vận hành trạm cân điện tử 80T</t>
  </si>
  <si>
    <t>PT.02</t>
  </si>
  <si>
    <t>Công tác vệ sinh trạm rửa xe</t>
  </si>
  <si>
    <t>Công tác vệ sinh tại hồ chứa bùn hồ khu B, khu C</t>
  </si>
  <si>
    <t>Công tác vệ sinh tại hồ chứa bùn hồ khu D</t>
  </si>
  <si>
    <t>PT.04</t>
  </si>
  <si>
    <t>Công tác rửa đường bằng xe chuyên dụng</t>
  </si>
  <si>
    <t>PT.05</t>
  </si>
  <si>
    <t>Công tác vận hành trạm xử lý nước thải</t>
  </si>
  <si>
    <t>XLB.A1.01</t>
  </si>
  <si>
    <t>BSTN - Công tác vận chuyển bùn sau tách nước từ hố thu bùn về địa điểm tập kết.</t>
  </si>
  <si>
    <t>XLB.A1.02</t>
  </si>
  <si>
    <t>BSTN - Công tác bốc dở bao bùn trên xe tải bằng xe cơ giới.</t>
  </si>
  <si>
    <t>XLB.A1.03</t>
  </si>
  <si>
    <t>BSTN – Công tác xổ bùn bao thủ công.</t>
  </si>
  <si>
    <t>XLB.A1.04</t>
  </si>
  <si>
    <t>BSTN – Vận chuyển bùn bằng máy xúc lật bánh hơi từ điểm tập kết về khu vực phối trộn</t>
  </si>
  <si>
    <t>XLB.A1.05</t>
  </si>
  <si>
    <t>XLB.A1.06</t>
  </si>
  <si>
    <t>BSTN - Công tác vận chuyển nguyên vật liệu từ kho chứa về khu vực phối trộn bằng xe ben 15 tấn</t>
  </si>
  <si>
    <t>XLB.A1.07</t>
  </si>
  <si>
    <t>BSTN - Vận chuyển phụ liệu (R-T, vôi, …) đóng bao từ kho chứa về khu vực phối trộn bằng máy xúc lật bánh hơi.</t>
  </si>
  <si>
    <t>XLB.A1.08</t>
  </si>
  <si>
    <t>BSTN - Vận hành hệ thống máy phối trộn bùn với nguyên vật liệu</t>
  </si>
  <si>
    <t>XLB.A1.09</t>
  </si>
  <si>
    <t>BSTN - Phối trộn bùn với phụ liệu bằng XCG</t>
  </si>
  <si>
    <t>XLB.A1.10</t>
  </si>
  <si>
    <t>BSTN - Vận chuyển bùn sau phối trộn sang khu vực ủ hiếu khí bằng Máy xúc lật bánh hơi</t>
  </si>
  <si>
    <t>XLB.A1.11</t>
  </si>
  <si>
    <t>BSTN - Vận chuyển bùn sau phối trộn bằng xe ben 15 tấn sang khu vực ủ hiếu khí trong nhà</t>
  </si>
  <si>
    <t>XLB.A1.12</t>
  </si>
  <si>
    <t>BSTN - Vận hành hệ thống cấp khí chủ động – phun sương, khử mùi</t>
  </si>
  <si>
    <t>XLB.A1.13</t>
  </si>
  <si>
    <t>BSTN – Công tác bảo trì định kỳ hệ thống cấp khí</t>
  </si>
  <si>
    <t>BSTN – Công tác di dời, đảo trộn đống ủ trong nhà cấp khí (Ủ hiếu khí)</t>
  </si>
  <si>
    <t>BSTN - Công tác đảo trộn compost tại bãi Ủ ngoài trời bằng máy đào bánh xích.</t>
  </si>
  <si>
    <t>XLB.A1.16.1</t>
  </si>
  <si>
    <t>BSTN - Công tác vận chuyển bùn sau phối trộn bằng xe ben 15 tấn ra bãi Ủ ngoài trời - dùng xúc lật</t>
  </si>
  <si>
    <t>XLB.A1.16.2</t>
  </si>
  <si>
    <t>BSTN - Công tác vận chuyển bùn sau phối trộn bằng xe ben 15 tấn ra bãi Ủ ngoài trời - dùng cuốc 07</t>
  </si>
  <si>
    <t>XLB.A1.17.1</t>
  </si>
  <si>
    <t>BSTN - Công tác tăng bo bùn sau phối trộn tại điểm tập kết - dùng cuốc 07</t>
  </si>
  <si>
    <t>XLB.A1.17.2</t>
  </si>
  <si>
    <t>BSTN - Công tác tăng bo bùn sau phối trộn tại điểm tập kết  - dùng cần dài</t>
  </si>
  <si>
    <t>XLB.A1.17.3</t>
  </si>
  <si>
    <t>BSTN - Công tác tăng bo bùn sau phối trộn tại điểm tập kết  - dùng xe ủi</t>
  </si>
  <si>
    <t>XLB.A2.01</t>
  </si>
  <si>
    <t>XLB.A2.02</t>
  </si>
  <si>
    <t>XLB.A2.03</t>
  </si>
  <si>
    <t>XLB.A2.04</t>
  </si>
  <si>
    <t>XLB.A2.05</t>
  </si>
  <si>
    <t>XLB.A2.07</t>
  </si>
  <si>
    <t>XLB.A2.09</t>
  </si>
  <si>
    <t>XLB.A2.16.1</t>
  </si>
  <si>
    <t>XLB.A2.16.2</t>
  </si>
  <si>
    <t>XLB.A2.17.1</t>
  </si>
  <si>
    <t>XLB.A2.17.2</t>
  </si>
  <si>
    <t>XLB.A2.17.3</t>
  </si>
  <si>
    <t>BDT – Công tác đậy bạt hồ chứa bùn duy tu</t>
  </si>
  <si>
    <t>BDT – Công tác mở bạt hồ chứa bùn duy tu</t>
  </si>
  <si>
    <t>XLB.B1.02.1</t>
  </si>
  <si>
    <t>BDT – Công tác tăng bo bùn duy tu tại hồ chứa bùn - dùng cần dài tăng bo ra giữa hồ</t>
  </si>
  <si>
    <t>BDT – Công tác tăng bo bùn duy tu tại hồ chứa bùn - dùng cần dài tăng bo vào để vận chuyển đi</t>
  </si>
  <si>
    <t>BDT – Công tác tăng bo bùn duy tu tại hồ chứa bùn - dùng cuốc 05 xuống hồ tăng bo bùn vào</t>
  </si>
  <si>
    <t>BDT – Công tác vận hành máy tách rác – tách cát duy tu.</t>
  </si>
  <si>
    <t>BDT – Công tác vận chuyển rác sau phân loại từ bùn duy tu về địa điểm tập kết - dùng cuốc 07</t>
  </si>
  <si>
    <t>BDT – Công tác vận chuyển rác sau phân loại từ bùn duy tu về địa điểm tập kết - dùng xúc lật</t>
  </si>
  <si>
    <t>BDT - Công tác vận chuyển cát tại hồ lắng cát về sân phơi cát</t>
  </si>
  <si>
    <t>BDT – Công tác vận chuyển cát từ sân phơi cát về điểm tập kết</t>
  </si>
  <si>
    <t>BDT – Công tác vận hành máy ép bùn khung bản</t>
  </si>
  <si>
    <t>BDT - Công tác vận chuyển nguyên vật liệu từ kho chứa về khu vực phối trộn bằng xe ben 15 tấn</t>
  </si>
  <si>
    <t>BDT – Công tác phối trộn nguyên vật liệu bùn duy tu sau tách nước bằng xe cơ giới</t>
  </si>
  <si>
    <t>BDT – Công tác vận chuyển bùn duy tu sau phối trộn về khu Ủ compost ngoài trời - dùng xúc lật</t>
  </si>
  <si>
    <t>BDT – Công tác vận chuyển bùn duy tu sau phối trộn về khu Ủ compost ngoài trời - dùng cuốc 07</t>
  </si>
  <si>
    <t>BDT - Công tác tăng bo bùn duy tu tại điểm tập kết - dùng cuốc 07</t>
  </si>
  <si>
    <t>BDT - Công tác tăng bo bùn duy tu tại điểm tập kết - dùng cần dài</t>
  </si>
  <si>
    <t>BDT - Công tác tăng bo bùn duy tu tại điểm tập kết - dùng xe ủi</t>
  </si>
  <si>
    <t>XLB.C1.01.1</t>
  </si>
  <si>
    <t>BKR – Công tác đậy bạt hồ chứa bùn kênh rạch</t>
  </si>
  <si>
    <t>BKR – Công tác mở bạt hồ chứa bùn kênh rạch</t>
  </si>
  <si>
    <t>XLB.C1.02.1</t>
  </si>
  <si>
    <t>BKR – Công tác tăng bo bùn kênh rạch tại hồ chứa bùn - dùng cần dài tăng bo ra giữa hồ</t>
  </si>
  <si>
    <t>XLB.C1.02.2</t>
  </si>
  <si>
    <t>BKR – Công tác tăng bo bùn kênh rạch tại hồ chứa bùn - dùng cần dài tăng bo vào để vận chuyển đi</t>
  </si>
  <si>
    <t>XLB.C1.02.3</t>
  </si>
  <si>
    <t>BKR – Công tác tăng bo bùn kênh rạch tại hồ chứa bùn - dùng cuốc 05 xuống hồ tăng bo bùn vào</t>
  </si>
  <si>
    <t>BKR – Công tác tăng bo bùn kênh rạch tại hồ chứa tạm - dùng cuốc 07</t>
  </si>
  <si>
    <t>BKR – Công tác tăng bo bùn kênh rạch tại hồ chứa tạm - dùng cần dài</t>
  </si>
  <si>
    <t>XLB.C1.03.1</t>
  </si>
  <si>
    <t>BKR - Công tác vận chuyển bùn từ hồ chứa về khu xử lý</t>
  </si>
  <si>
    <t>XLB.C1.03.2</t>
  </si>
  <si>
    <t>BKR - Công tác vận chuyển bùn từ hồ chứa tạm về hồ chứa bùn</t>
  </si>
  <si>
    <t>XLB.C1.04</t>
  </si>
  <si>
    <t>XLB.C1.05</t>
  </si>
  <si>
    <t>BKR – Công tác phối trộn hạ ẩm bùn kênh rạch</t>
  </si>
  <si>
    <t>BKR – Công tác vận chuyển bùn kênh rạch sau hạ ẩm về khu vực tách rác - dùng cuốc 07</t>
  </si>
  <si>
    <t>BKR – Công tác vận chuyển bùn kênh rạch sau hạ ẩm về khu vực tách rác - dùng xúc lật</t>
  </si>
  <si>
    <t>XLB.C1.06</t>
  </si>
  <si>
    <t>BKR – Công tác tách rác bằng sàng bánh răng.</t>
  </si>
  <si>
    <t>XLB.C1.09.1</t>
  </si>
  <si>
    <t>BKR – Công tác vận chuyển bùn kênh rạch sau tách rác về vị trí phối trộn - dùng cuốc 07</t>
  </si>
  <si>
    <t>XLB.C1.09.2</t>
  </si>
  <si>
    <t>BKR – Công tác vận chuyển bùn kênh rạch sau tách rác về vị trí phối trộn - dùng xúc lật</t>
  </si>
  <si>
    <t>BKR - Công tác vận chuyển nguyên vật liệu từ kho chứa về khu vực phối trộn bằng xe ben 15 tấn</t>
  </si>
  <si>
    <t>XLB.C1.11</t>
  </si>
  <si>
    <t>BKR – Công tác phối trộn nguyên vật liệu bùn kênh rạch sau phân loại bằng xe cơ giới</t>
  </si>
  <si>
    <t>BKR – Công tác vận chuyển bùn kênh rạch sau phối trộn về khu Ủ compost ngoài trời - dùng xúc lật</t>
  </si>
  <si>
    <t>BKR – Công tác vận chuyển bùn kênh rạch sau phối trộn về khu Ủ compost ngoài trời - dùng cuốc 07</t>
  </si>
  <si>
    <t>BKR - Công tác đảo trộn compost kênh rạch tại bãi Ủ ngoài trời bằng máy đào bánh xích.</t>
  </si>
  <si>
    <t>XLB.C1.15.1</t>
  </si>
  <si>
    <t>BKR - Công tác tăng bo bùn kênh rạch tại điểm tập kết - dùng cuốc 07</t>
  </si>
  <si>
    <t>XLB.C1.15.2</t>
  </si>
  <si>
    <t>BKR - Công tác tăng bo bùn kênh rạch tại điểm tập kết - dùng cần dài</t>
  </si>
  <si>
    <t>BKR - Công tác tăng bo bùn kênh rạch tại điểm tập kết - dùng xe ủi</t>
  </si>
  <si>
    <t>XLB.C1.16.1</t>
  </si>
  <si>
    <t>XLB.C1.16.2</t>
  </si>
  <si>
    <t>XLB.C2.03.1</t>
  </si>
  <si>
    <t>XLB.C2.03.2</t>
  </si>
  <si>
    <t>XLB.C2.04</t>
  </si>
  <si>
    <t>XLB.C2.06</t>
  </si>
  <si>
    <t>XLB.C2.09.1</t>
  </si>
  <si>
    <t>XLB.C2.09.2</t>
  </si>
  <si>
    <t>XLB.C2.11</t>
  </si>
  <si>
    <t>XLB.C2.15.1</t>
  </si>
  <si>
    <t>XLB.C2.15.2</t>
  </si>
  <si>
    <t>XLB.C2.16.1</t>
  </si>
  <si>
    <t>XLB.C2.16.2</t>
  </si>
  <si>
    <t>Xe cơ giới - máy móc</t>
  </si>
  <si>
    <t>Nội dung công đoạn</t>
  </si>
  <si>
    <t>Mã CĐ</t>
  </si>
  <si>
    <t>Lot</t>
  </si>
  <si>
    <t>ĐVT</t>
  </si>
  <si>
    <t>Định mức</t>
  </si>
  <si>
    <t>% so với định mức</t>
  </si>
  <si>
    <t>Sản phẩm công đoạn sau</t>
  </si>
  <si>
    <t>Mụn Dừa</t>
  </si>
  <si>
    <t>m3</t>
  </si>
  <si>
    <t>Vật tư tro có cánh</t>
  </si>
  <si>
    <t>Lân</t>
  </si>
  <si>
    <t>Bùn Bình Hưng</t>
  </si>
  <si>
    <t>Tấn</t>
  </si>
  <si>
    <t>Vôi</t>
  </si>
  <si>
    <t>Hoat chất R-T</t>
  </si>
  <si>
    <t>Bùn hữu cơ cao</t>
  </si>
  <si>
    <t>Vật tư tro củi trấu Thuận Hải</t>
  </si>
  <si>
    <t>Bùn hữu cơ thấp</t>
  </si>
  <si>
    <t>Bùn Duy Tu</t>
  </si>
  <si>
    <t>XLB bùn hữu cơ thấp</t>
  </si>
  <si>
    <t>XLB bùn Bình Hưng</t>
  </si>
  <si>
    <t>XLB bùn duy tu</t>
  </si>
  <si>
    <t>XLB bùn kênh rạch TTCN</t>
  </si>
  <si>
    <t>XLB bùn kênh rạch TN</t>
  </si>
  <si>
    <t>XLB bùn hữu cơ cao (1)</t>
  </si>
  <si>
    <t>XLB bùn hữu cơ cao (2)</t>
  </si>
  <si>
    <t>Vỏ trái dừa</t>
  </si>
  <si>
    <t>Trái dừa</t>
  </si>
  <si>
    <t>Tên Nguyên Liệu/BTP</t>
  </si>
  <si>
    <t>Compost A</t>
  </si>
  <si>
    <t>Compost B</t>
  </si>
  <si>
    <t>Compost KR</t>
  </si>
  <si>
    <t>Compost DT</t>
  </si>
  <si>
    <t>Compost HCT</t>
  </si>
  <si>
    <t xml:space="preserve"> % so với định mức</t>
  </si>
  <si>
    <t xml:space="preserve"> Sản phẩm công đoạn sau</t>
  </si>
  <si>
    <t>Tồn đầu ngày</t>
  </si>
  <si>
    <t>Nhập từ sản xuất</t>
  </si>
  <si>
    <t>Nhập từ kho</t>
  </si>
  <si>
    <t>Xuất cho kho</t>
  </si>
  <si>
    <t>Xuất cho sản xuất</t>
  </si>
  <si>
    <t>Hao hụt</t>
  </si>
  <si>
    <t>Tồn cuối ngày</t>
  </si>
  <si>
    <t>Bùn Kênh rạch TTCN</t>
  </si>
  <si>
    <t>Bùn Kênh rạch TN</t>
  </si>
  <si>
    <t>Bùn Duy Tu - bao</t>
  </si>
  <si>
    <t xml:space="preserve"> Tồn đầu ngày</t>
  </si>
  <si>
    <t xml:space="preserve"> Nhập từ sản xuất</t>
  </si>
  <si>
    <t xml:space="preserve"> Nhập từ kho</t>
  </si>
  <si>
    <t xml:space="preserve"> Xuất cho kho</t>
  </si>
  <si>
    <t xml:space="preserve"> Xuất cho sản xuất</t>
  </si>
  <si>
    <t xml:space="preserve"> Tồn cuối ngày</t>
  </si>
  <si>
    <t>Mã công đoạn</t>
  </si>
  <si>
    <t>Nọi dung công đoạn</t>
  </si>
  <si>
    <t>Tên công nhận</t>
  </si>
  <si>
    <t>Tuần</t>
  </si>
  <si>
    <t>Nguyên liệu sx</t>
  </si>
  <si>
    <t>(Multiple Items)</t>
  </si>
  <si>
    <t>Thạch Giàu</t>
  </si>
  <si>
    <t>Nguyễn Văn Tuấn</t>
  </si>
  <si>
    <t>Lương Minh Tâm</t>
  </si>
  <si>
    <t>XLB.D.01.1</t>
  </si>
  <si>
    <t>BEN – Công tác đậy bạt hồ chứa bùn bentonite</t>
  </si>
  <si>
    <t>XLB.D.01.2</t>
  </si>
  <si>
    <t>BEN – Công tác mở bạt hồ chứa bùn bentonite</t>
  </si>
  <si>
    <t>XLB.D.02.1</t>
  </si>
  <si>
    <t>BEN – Công tác tăng bo bùn bentonite tại hồ chứa  - dùng cần dài</t>
  </si>
  <si>
    <t>XLB.D.02.2</t>
  </si>
  <si>
    <t>BEN – Công tác tăng bo bùn bentonite tại hồ chứa - dùng cần dài</t>
  </si>
  <si>
    <t>XLB.D.02.3</t>
  </si>
  <si>
    <t>BEN – Công tác tăng bo bùn bentonite tại hồ chứa - dùng xe cuốc</t>
  </si>
  <si>
    <t>XLB.D.03</t>
  </si>
  <si>
    <t>BEN - Công tác vận chuyển bùn bentonite từ hồ chứa về khu xử lý</t>
  </si>
  <si>
    <t>XLB.D.04.01</t>
  </si>
  <si>
    <t>XLB.D.04.02</t>
  </si>
  <si>
    <t>XLB.D.05</t>
  </si>
  <si>
    <t>XLB.D.06</t>
  </si>
  <si>
    <t>XLB.D.07</t>
  </si>
  <si>
    <t>XLB.D.08.1</t>
  </si>
  <si>
    <t>XLB.D.08.2</t>
  </si>
  <si>
    <t>XLB.D.09</t>
  </si>
  <si>
    <t>XLB.D.10.1</t>
  </si>
  <si>
    <t>XLB.D.10.2</t>
  </si>
  <si>
    <t>Chung Văn Hiệp</t>
  </si>
  <si>
    <t>Mã số     : HC22-BM01
Phiên bản: 1.0
Ngày       :  /     /  2015
Số trang   : Trang 1/1</t>
  </si>
  <si>
    <t>NHÀ MÁY XLBT SÀI GÒN XANH</t>
  </si>
  <si>
    <t>KHỐI CHỨC NĂNG</t>
  </si>
  <si>
    <t>PHÒNGBAN</t>
  </si>
  <si>
    <t>BỘ PHẬN</t>
  </si>
  <si>
    <t>STT</t>
  </si>
  <si>
    <t>HỌ &amp; TÊN</t>
  </si>
  <si>
    <t>CHỨC VỤ</t>
  </si>
  <si>
    <t>GHI CHÚ</t>
  </si>
  <si>
    <t>Lê Thanh Huy</t>
  </si>
  <si>
    <t>Giám đốc Nhà máy</t>
  </si>
  <si>
    <t>KHỐI QUẢN TRỊ TỔNG HỢP</t>
  </si>
  <si>
    <t>PHÒNG QUẢN TRỊ SẢN XUẤT</t>
  </si>
  <si>
    <t>Nguyễn Hữu Thái</t>
  </si>
  <si>
    <t>Trưởng phòng Quản Trị Sản xuất</t>
  </si>
  <si>
    <t>THỐNG KÊ</t>
  </si>
  <si>
    <t>Phạm Thành Nhân</t>
  </si>
  <si>
    <t>Thống kê</t>
  </si>
  <si>
    <t>Trưởng BP Thống kế Sản xuất</t>
  </si>
  <si>
    <t>Mai Thanh Điền</t>
  </si>
  <si>
    <t>Nhân viên Thống kê</t>
  </si>
  <si>
    <t>Trần Minh Tâm</t>
  </si>
  <si>
    <t>Đoàn Tấn Tài</t>
  </si>
  <si>
    <t>KHO</t>
  </si>
  <si>
    <t>Nguyễn Hữu Hân</t>
  </si>
  <si>
    <t xml:space="preserve">Kho </t>
  </si>
  <si>
    <t>Trưởng BP Kho</t>
  </si>
  <si>
    <t>Nguyễn Hữu Tài</t>
  </si>
  <si>
    <t xml:space="preserve">Thủ kho </t>
  </si>
  <si>
    <t>Lương Minh Hòa</t>
  </si>
  <si>
    <t>Ngô Hoàng Oanh</t>
  </si>
  <si>
    <t>Phụ kho</t>
  </si>
  <si>
    <t>Trần Văn Mơ</t>
  </si>
  <si>
    <t>Nhân viên điều phối đơn hàng</t>
  </si>
  <si>
    <t>AN NINH</t>
  </si>
  <si>
    <t>Đặng Văn Thông</t>
  </si>
  <si>
    <t>An ninh</t>
  </si>
  <si>
    <t>Trưởng BP An Ninh</t>
  </si>
  <si>
    <t>DỰ ÁN</t>
  </si>
  <si>
    <t>Châu Phước Thuần</t>
  </si>
  <si>
    <t>Dự án NM</t>
  </si>
  <si>
    <t>Trưởng BP Dự án Nhà máy</t>
  </si>
  <si>
    <t>BẢO TRÌ</t>
  </si>
  <si>
    <t>Đào Công Thắng</t>
  </si>
  <si>
    <t>Bảo trì</t>
  </si>
  <si>
    <t>Trưởng BP Bảo trì</t>
  </si>
  <si>
    <t>Nguyễn Thanh Nhàn</t>
  </si>
  <si>
    <t>Cơ khí - Cơ giới</t>
  </si>
  <si>
    <t>Tổ trưởng Cơ khí - cơ giới</t>
  </si>
  <si>
    <t>Nguyễn Thanh Lâm</t>
  </si>
  <si>
    <t>Nhân viên Cơ khí - Cơ giới</t>
  </si>
  <si>
    <t>Trần Ngọc Minh</t>
  </si>
  <si>
    <t>Huỳnh Văn Phương</t>
  </si>
  <si>
    <t>Điện - Cơ điện</t>
  </si>
  <si>
    <t>Nhân viên Điện - Cơ điện</t>
  </si>
  <si>
    <t>Nguyễn Công Thuận</t>
  </si>
  <si>
    <t>THIẾT KẾ MÁY</t>
  </si>
  <si>
    <t>Nguyễn Thanh Đạt</t>
  </si>
  <si>
    <t>Thiết kế máy</t>
  </si>
  <si>
    <t>Trưởng BP Thiết kế máy</t>
  </si>
  <si>
    <t>CẢI TIẾN KỸ THUẬT</t>
  </si>
  <si>
    <t>Đổng Ngọc Trung</t>
  </si>
  <si>
    <t>Cải tiến Kỹ thuật</t>
  </si>
  <si>
    <t>Trưởng BP Cải tiến Kỹ thuật</t>
  </si>
  <si>
    <t>Nguyễn Thành Luân</t>
  </si>
  <si>
    <t>Chuyên viên Kỹ thuật</t>
  </si>
  <si>
    <t>MÔI TRƯỜNG</t>
  </si>
  <si>
    <t>Trần Văn Hà</t>
  </si>
  <si>
    <t>Môi trường</t>
  </si>
  <si>
    <t xml:space="preserve">Trưởng BP Giám sát Môi trường </t>
  </si>
  <si>
    <t>Nguyễn Văn Phụng</t>
  </si>
  <si>
    <t>Công nhân trạm xử lý nước thải</t>
  </si>
  <si>
    <t>VỆ SINH - CÂY XANH</t>
  </si>
  <si>
    <t>Nguyễn Tiến Khanh</t>
  </si>
  <si>
    <t>Vệ sinh</t>
  </si>
  <si>
    <t>Trưởng BP Cây xanh - Vệ sinh</t>
  </si>
  <si>
    <t>Nguyễn Văn Mèo</t>
  </si>
  <si>
    <t>Tài xế</t>
  </si>
  <si>
    <t>Công nhân vệ sinh</t>
  </si>
  <si>
    <t xml:space="preserve">Lái xe bồn </t>
  </si>
  <si>
    <t>Phan Hồng Chương</t>
  </si>
  <si>
    <t>Nguyễn Văn Rắng</t>
  </si>
  <si>
    <t xml:space="preserve">Công nhân </t>
  </si>
  <si>
    <t>Nguyễn Tấn Kiệt</t>
  </si>
  <si>
    <t>SẢN XUẤT</t>
  </si>
  <si>
    <t>Trần Vũ</t>
  </si>
  <si>
    <t>Trưởng phòng Sản xuất</t>
  </si>
  <si>
    <t>QC INLINE</t>
  </si>
  <si>
    <t>Nguyễn Thọ Ngọc</t>
  </si>
  <si>
    <t xml:space="preserve">QC Inline </t>
  </si>
  <si>
    <t>Trưởng BP QC Inline</t>
  </si>
  <si>
    <t>Nguyễn Thành Long</t>
  </si>
  <si>
    <t>QC Inline</t>
  </si>
  <si>
    <t>Nhân viên QC Inline</t>
  </si>
  <si>
    <t>Nguyễn Trung Hậu</t>
  </si>
  <si>
    <t>CƠ GIỚI</t>
  </si>
  <si>
    <t>Nguyễn Ngọc Đông</t>
  </si>
  <si>
    <t>Xe cơ giới</t>
  </si>
  <si>
    <t>Trưởng BP Xe cơ giới</t>
  </si>
  <si>
    <t>Đồng Tấn Tài</t>
  </si>
  <si>
    <t>Tổ trưởng Điều phối xe cơ giới</t>
  </si>
  <si>
    <t>Lê Tấn Phát</t>
  </si>
  <si>
    <t xml:space="preserve">Tài xế </t>
  </si>
  <si>
    <t>Triệu Minh Tú</t>
  </si>
  <si>
    <t>Hà Hoàng Hùng</t>
  </si>
  <si>
    <t>Châu Thành Nhân</t>
  </si>
  <si>
    <t>Trần Thanh Hậu</t>
  </si>
  <si>
    <t>Trần Ngọc Sơn</t>
  </si>
  <si>
    <t>Trần Văn Nguyện</t>
  </si>
  <si>
    <t>Châu Văn Phước</t>
  </si>
  <si>
    <t>Châu Văn Tâm</t>
  </si>
  <si>
    <t>Lê Minh Trọng</t>
  </si>
  <si>
    <t>VẬN HÀNH MÁY</t>
  </si>
  <si>
    <t>Nguyễn Đình Huệ</t>
  </si>
  <si>
    <t xml:space="preserve">BP Vận hành máy </t>
  </si>
  <si>
    <t>Trưởng BP Vận hành máy</t>
  </si>
  <si>
    <t>Hoàng Đăng Đại</t>
  </si>
  <si>
    <t xml:space="preserve">Tổ trưởng Vận hành máy sản xuất </t>
  </si>
  <si>
    <t>Danh Vươl</t>
  </si>
  <si>
    <t>Đóng gói</t>
  </si>
  <si>
    <t xml:space="preserve">Đội trưởng VH ĐS - PB </t>
  </si>
  <si>
    <t>Ngô Văn Thanh</t>
  </si>
  <si>
    <t>Công nhân Đóng gói</t>
  </si>
  <si>
    <t>Nguyễn Văn Chiến</t>
  </si>
  <si>
    <t>Võ Văn Giàu</t>
  </si>
  <si>
    <t>Lê Phi Thành</t>
  </si>
  <si>
    <t>Lê Phi Trung</t>
  </si>
  <si>
    <t>Võ Văn Có</t>
  </si>
  <si>
    <t>Lâm Văn Thương</t>
  </si>
  <si>
    <t>Lê Minh Nghĩa</t>
  </si>
  <si>
    <t>Trần Văn Tây</t>
  </si>
  <si>
    <t>Huỳnh Huy Phụng</t>
  </si>
  <si>
    <t>Võ Quang Tuấn</t>
  </si>
  <si>
    <t>Lê Hiệp</t>
  </si>
  <si>
    <t>Lê Văn Bi</t>
  </si>
  <si>
    <t>Trần Anh Dũ</t>
  </si>
  <si>
    <t>Thạch Ngọc Tiến</t>
  </si>
  <si>
    <t>Trần Thanh Nguyên</t>
  </si>
  <si>
    <t>Thạch Ngọc Thắng</t>
  </si>
  <si>
    <t>Lê Tấn Giả</t>
  </si>
  <si>
    <t>Châu Minh Hoàng</t>
  </si>
  <si>
    <t>Nguyễn Thành Tài</t>
  </si>
  <si>
    <t>Tài xế lái xe nâng</t>
  </si>
  <si>
    <t>Nguyễn Văn Chạy</t>
  </si>
  <si>
    <t>Tài xế ĐS - PB</t>
  </si>
  <si>
    <t xml:space="preserve">Nguyễn Văn Lâm </t>
  </si>
  <si>
    <t>Trần Quốc Nam</t>
  </si>
  <si>
    <t>Công nhân Vận hành máy SX</t>
  </si>
  <si>
    <t>XỬ LÝ BÙN</t>
  </si>
  <si>
    <t>Nguyễn Trọng Minh</t>
  </si>
  <si>
    <t>Xử lý bùn</t>
  </si>
  <si>
    <t>Đội trưởng CN xử lý bùn</t>
  </si>
  <si>
    <t xml:space="preserve">Nguyễn Minh Tuấn </t>
  </si>
  <si>
    <t>Công nhân Xử lý bùn</t>
  </si>
  <si>
    <t>Ngô Hoàng Phong</t>
  </si>
  <si>
    <t>Nguyễn Thanh Vạn</t>
  </si>
  <si>
    <t>Triệu Quốc Minh</t>
  </si>
  <si>
    <t xml:space="preserve">Triệu Bô Na </t>
  </si>
  <si>
    <t>Nguyễn Thành Vân</t>
  </si>
  <si>
    <t>Nguyễn Bình Luận</t>
  </si>
  <si>
    <t>Phan Lâm Thương</t>
  </si>
  <si>
    <t>Nguyễn Thế Lực</t>
  </si>
  <si>
    <t>Cao Chánh Dũng</t>
  </si>
  <si>
    <t>Đội trưởng VHM XLB</t>
  </si>
  <si>
    <t>Cao Văn Lượm</t>
  </si>
  <si>
    <t>Công nhân vận hành máy XLB</t>
  </si>
  <si>
    <t>Nguyễn Đăng Khoa</t>
  </si>
  <si>
    <t xml:space="preserve">Phan Văn Bạn </t>
  </si>
  <si>
    <t>Tài xế XLB</t>
  </si>
  <si>
    <t>Hà Thanh Truyền</t>
  </si>
  <si>
    <t xml:space="preserve">Trần Văn Thứ </t>
  </si>
  <si>
    <t>Quách Văn Chánh</t>
  </si>
  <si>
    <t>VẬN HÀNH MÁY DUY TU</t>
  </si>
  <si>
    <t>Trần Văn Phi</t>
  </si>
  <si>
    <t>Vận hành máy XLB</t>
  </si>
  <si>
    <t>Thái Minh Tân</t>
  </si>
  <si>
    <t>Nguyễn Văn Đức</t>
  </si>
  <si>
    <t>Thạch Phương</t>
  </si>
  <si>
    <t>Lê Tấn Hùng</t>
  </si>
  <si>
    <t>Thạch Phiên</t>
  </si>
  <si>
    <t>Lâm Bal</t>
  </si>
  <si>
    <t>Lê Văn Triệu</t>
  </si>
  <si>
    <t xml:space="preserve">KẾ HOẠCH SẢN XUẤT </t>
  </si>
  <si>
    <t>Đào Ngọc Long</t>
  </si>
  <si>
    <t>Kế hoạch sản xuất</t>
  </si>
  <si>
    <t>Trưởng BP kế hoạch sản xuất</t>
  </si>
  <si>
    <r>
      <t xml:space="preserve">CÔNG TY TNHH CNSH SÀI GÒN XANH
</t>
    </r>
    <r>
      <rPr>
        <sz val="12"/>
        <rFont val="Times New Roman"/>
        <family val="1"/>
      </rPr>
      <t>ĐC: 127 Nguyễn Trọng Tuyển, P15, Phú Nhuận
ĐT: 38442457 - 39971869
Email:</t>
    </r>
  </si>
  <si>
    <t>S</t>
  </si>
  <si>
    <t>C</t>
  </si>
  <si>
    <t>T</t>
  </si>
  <si>
    <t>W01</t>
  </si>
  <si>
    <t>Thuê ngoài</t>
  </si>
  <si>
    <t xml:space="preserve"> Nguyên liệu sx</t>
  </si>
  <si>
    <t>PT.06</t>
  </si>
  <si>
    <t>Công tác lót vỉ vào vị trí tập kết</t>
  </si>
  <si>
    <t>PT.07</t>
  </si>
  <si>
    <t>Công tác chuẩn bị mặt bằng để chuẩn bị tiếp nhận</t>
  </si>
  <si>
    <t>PT.09</t>
  </si>
  <si>
    <t>PT.10</t>
  </si>
  <si>
    <t>PT.12</t>
  </si>
  <si>
    <t>Công nhân Đóng gói CHUYỂN QUA XLB</t>
  </si>
  <si>
    <t>PT.03.01</t>
  </si>
  <si>
    <t>PT.03.02</t>
  </si>
  <si>
    <t>DS.E.01</t>
  </si>
  <si>
    <t>DS.E.02.1</t>
  </si>
  <si>
    <t>DS.E.02.2</t>
  </si>
  <si>
    <t>DS.E.03.1</t>
  </si>
  <si>
    <t>DS.E.03.2</t>
  </si>
  <si>
    <t>DS.E.04.01</t>
  </si>
  <si>
    <t>DS.E.04.02</t>
  </si>
  <si>
    <t>DS.E.05</t>
  </si>
  <si>
    <t>DS.E.06.1</t>
  </si>
  <si>
    <t>DS.E.06.2</t>
  </si>
  <si>
    <t>DS.E.07.1</t>
  </si>
  <si>
    <t>DS.E.07.2</t>
  </si>
  <si>
    <t>DS.E.08</t>
  </si>
  <si>
    <t>SX đất sạch</t>
  </si>
  <si>
    <t>Công tác vận chuyển bạt</t>
  </si>
  <si>
    <t>Công tác vận chuyển vỉ</t>
  </si>
  <si>
    <t>Công tác phụ trợ khác</t>
  </si>
  <si>
    <t>Công tác phối trộn đất công trình bằng xe cơ giới làm đất công trình.</t>
  </si>
  <si>
    <t>Công tác cuốc rác lên xe gom rác</t>
  </si>
  <si>
    <t>DS - Công tác vận chuyển nguyên vật liệu từ kho chứa về khu vực phối trộn bằng xe ben 15 tấn</t>
  </si>
  <si>
    <t>DS – Công tác đậy bạt đống ủ đất sạch</t>
  </si>
  <si>
    <t>DS – Công tác mở bạt đống ủ đất sạch</t>
  </si>
  <si>
    <t>DS – Công tác vận hành sàng bán thành phẩm</t>
  </si>
  <si>
    <t>DS – Công tác vận chuyển rác về vị trí tập kết bằng xe ben 5 tấn</t>
  </si>
  <si>
    <t>DS – Công tác vận chuyển rác về vị trí tập kết bằng xe ben 15 tấn</t>
  </si>
  <si>
    <t>DS – Công tác đóng gói thành phẩm</t>
  </si>
  <si>
    <t>Máy Duy Tu</t>
  </si>
  <si>
    <t>Máy tách rác nhỏ</t>
  </si>
  <si>
    <t>Máy sàng phân bò</t>
  </si>
  <si>
    <t>Máy đùn phân T - O</t>
  </si>
  <si>
    <t>Máy Sàng Đất Sạch_1</t>
  </si>
  <si>
    <t>Máy Sàng bánh răng</t>
  </si>
  <si>
    <t>Máy đảo  trộn BackHus</t>
  </si>
  <si>
    <t>Máy Sàng Đất Sạch_2</t>
  </si>
  <si>
    <t/>
  </si>
  <si>
    <t>Dương Tấn Đạt</t>
  </si>
  <si>
    <t>Nguyễn Hoàng Ẩn</t>
  </si>
  <si>
    <t>Nguyễn Thanh Hùng</t>
  </si>
  <si>
    <t>XLTD.F.01</t>
  </si>
  <si>
    <t>XLTD.F.02</t>
  </si>
  <si>
    <t>XLTD.F.03.1</t>
  </si>
  <si>
    <t>XLTD.F.03.2</t>
  </si>
  <si>
    <t>Xay Trái Dừa</t>
  </si>
  <si>
    <t>TD- Công tác vận chuyển trái dừa sau xay đến điểm tập kết- dùng xúc lật</t>
  </si>
  <si>
    <t>TD- Vận hành máy xay trái dừa</t>
  </si>
  <si>
    <t>Đ/C : Q.Lộ 50 - Ấp 1 - xã Đa Phước - Bình Chánh - Tp.HCM</t>
  </si>
  <si>
    <t>XE</t>
  </si>
  <si>
    <t>CHỦNG LOẠI XE - THIẾT BỊ</t>
  </si>
  <si>
    <t>Nhà Thầu</t>
  </si>
  <si>
    <t>Mảng Công Việc</t>
  </si>
  <si>
    <t>Đ.T: (028).6685.7220</t>
  </si>
  <si>
    <t xml:space="preserve">Cuốc 03 </t>
  </si>
  <si>
    <t>Nhà Máy</t>
  </si>
  <si>
    <t>ĐS - P.BÓN</t>
  </si>
  <si>
    <t xml:space="preserve">Cuốc 05 </t>
  </si>
  <si>
    <t>XLB HCC</t>
  </si>
  <si>
    <t>XÁC NHẬN THỜI GIAN LÀM VIỆC XE CƠ GIỚI</t>
  </si>
  <si>
    <t xml:space="preserve"> Trái Dừa</t>
  </si>
  <si>
    <t>C.Ty BRSG</t>
  </si>
  <si>
    <t>XLB KR &amp; Duy Tu</t>
  </si>
  <si>
    <t>- Số Phiếu</t>
  </si>
  <si>
    <t>:</t>
  </si>
  <si>
    <t>- Ngày Làm việc</t>
  </si>
  <si>
    <t>C.Ty Thành Nhân</t>
  </si>
  <si>
    <t>- Mảng Cồng Việc</t>
  </si>
  <si>
    <t>- Chủng Loại xe</t>
  </si>
  <si>
    <t>Cuốc 07</t>
  </si>
  <si>
    <t>- Đơn vị thực hiện</t>
  </si>
  <si>
    <t>- Số Xe / Tên Xe</t>
  </si>
  <si>
    <t>- B.ĐẦU 1</t>
  </si>
  <si>
    <t>- K.THÚC 1</t>
  </si>
  <si>
    <t>Buồi làm việc :</t>
  </si>
  <si>
    <t>- B.ĐẦU 2</t>
  </si>
  <si>
    <t>- K.THÚC 2</t>
  </si>
  <si>
    <t>- B.ĐẦU 3</t>
  </si>
  <si>
    <t>- K.THÚC 3</t>
  </si>
  <si>
    <t>C.Ty Cường Khánh Cường</t>
  </si>
  <si>
    <t>- T.G Xe Hư (giờ)</t>
  </si>
  <si>
    <t>- Tổng Th.Gian
   Làm Việc (giờ)</t>
  </si>
  <si>
    <t>C.Ty Thu Giang</t>
  </si>
  <si>
    <t>- T.G BTTQ (giờ)</t>
  </si>
  <si>
    <t>- Nhiên Liệu tiêu hao</t>
  </si>
  <si>
    <t xml:space="preserve">     Dầu D.O (Lít)</t>
  </si>
  <si>
    <t xml:space="preserve">  Nhớt 10 (Lít)</t>
  </si>
  <si>
    <t>Nhớt 50 (Lít) :</t>
  </si>
  <si>
    <t>Nhà Máy Sài Gòn Xanh</t>
  </si>
  <si>
    <t>Đơn Vị Thực Hiện</t>
  </si>
  <si>
    <t>Bộ Phận Thống Kê</t>
  </si>
  <si>
    <t>Quản Lý / Tổ Trưởng Bộ Phận</t>
  </si>
  <si>
    <t>Tài Xế</t>
  </si>
  <si>
    <t>Cần dài</t>
  </si>
  <si>
    <t xml:space="preserve">Xúc lật </t>
  </si>
  <si>
    <t xml:space="preserve"> vc kênh rạch tắt</t>
  </si>
  <si>
    <t>Cảnh Quan</t>
  </si>
  <si>
    <t>Ben 5T</t>
  </si>
  <si>
    <t>logestist</t>
  </si>
  <si>
    <t>KD</t>
  </si>
  <si>
    <t>Ben 15T</t>
  </si>
  <si>
    <t>ĐS &amp; HCC</t>
  </si>
  <si>
    <t>Thuê Ngoài</t>
  </si>
  <si>
    <t>Máy cơ giới</t>
  </si>
  <si>
    <t>HCC</t>
  </si>
  <si>
    <t>KO THAY ĐỔI</t>
  </si>
  <si>
    <t>PT.08.1</t>
  </si>
  <si>
    <t>Vận chuyển bạt đi dậy</t>
  </si>
  <si>
    <t>PT.08.2</t>
  </si>
  <si>
    <t>Vận chuyển bạt đi bảo quả (sau khi mở bạt)</t>
  </si>
  <si>
    <t>PT.9</t>
  </si>
  <si>
    <t>Công tác hỗ trợ vận chuyển dầu cấp cho xe cơ giới ( cuốc, máy cày, xúc lật..)</t>
  </si>
  <si>
    <t>PT.11</t>
  </si>
  <si>
    <t>PT.13</t>
  </si>
  <si>
    <t>Bùn HCC - Nặng mùi</t>
  </si>
  <si>
    <t>XLB.A1.13.1</t>
  </si>
  <si>
    <t>XLB.A1.13.2</t>
  </si>
  <si>
    <t>XLB.A1.14.1</t>
  </si>
  <si>
    <t>XLB.A1.14.2</t>
  </si>
  <si>
    <t>BSTN - Công tác đảo trộn compost tại bãi Ủ ngoài trời bằng máy BackHus</t>
  </si>
  <si>
    <t>XLB.A1.15.1</t>
  </si>
  <si>
    <t>BSTN - Công tác đậy bạt đống ủ</t>
  </si>
  <si>
    <t>XLB.A1.15.2</t>
  </si>
  <si>
    <t>BSTN - Công tác mở bạt đống ủ</t>
  </si>
  <si>
    <t>Bùn HCC - Ít mùi</t>
  </si>
  <si>
    <t>XLB.A2.13.1</t>
  </si>
  <si>
    <t>XLB.A2.13.2</t>
  </si>
  <si>
    <t>XLB.A2.14.1</t>
  </si>
  <si>
    <t>XLB.A2.14.2</t>
  </si>
  <si>
    <t>XLB.A2.15.1</t>
  </si>
  <si>
    <t>XLB.A2.15.2</t>
  </si>
  <si>
    <t>BSTN – Công tác vận chuyển bùn sau phối trộn về địa điểm tập kết - dùng xúc lật</t>
  </si>
  <si>
    <t>BSTN – Công tác vận chuyển bùn sau phối trộn về địa điểm tập kết - dùng cuốc 07</t>
  </si>
  <si>
    <t>XLB.A3.01</t>
  </si>
  <si>
    <t>XLB.A3.02</t>
  </si>
  <si>
    <t>XLB.A3.04</t>
  </si>
  <si>
    <t>XLB.A3.05</t>
  </si>
  <si>
    <t>XLB.A3.07</t>
  </si>
  <si>
    <t>XLB.A3.15.1</t>
  </si>
  <si>
    <t>XLB.A3.15.2</t>
  </si>
  <si>
    <t>XLB.A3.16.1</t>
  </si>
  <si>
    <t>XLB.A3.16.2</t>
  </si>
  <si>
    <t>XLB.A3.16.3</t>
  </si>
  <si>
    <t>XLB.B.01.1</t>
  </si>
  <si>
    <t>XLB.B.01.2</t>
  </si>
  <si>
    <t>XLB.B.02.1</t>
  </si>
  <si>
    <t>XLB.B.02.2</t>
  </si>
  <si>
    <t>XLB.B.02.3</t>
  </si>
  <si>
    <t>XLB.B.03.1</t>
  </si>
  <si>
    <t>BDT - Công tác vận chuyển bùn duy tu từ hồ chứa về khu xử lý - dùng ben 5 tấn</t>
  </si>
  <si>
    <t>XLB.B.03.2</t>
  </si>
  <si>
    <t>BDT - Công tác vận chuyển bùn duy tu từ hồ chứa về khu xử lý - dùng ben 15 tấn</t>
  </si>
  <si>
    <t>XLB.B.04</t>
  </si>
  <si>
    <t>XLB.B.05.1</t>
  </si>
  <si>
    <t>XLB.B.05.2</t>
  </si>
  <si>
    <t>XLB.B.06</t>
  </si>
  <si>
    <t>XLB.B.07</t>
  </si>
  <si>
    <t>XLB.B.08</t>
  </si>
  <si>
    <t>XLB.B.09</t>
  </si>
  <si>
    <t>XLB.B.10</t>
  </si>
  <si>
    <t>XLB.B.11.1</t>
  </si>
  <si>
    <t>XLB.B.11.2</t>
  </si>
  <si>
    <t>XLB.B.12.1</t>
  </si>
  <si>
    <t>BDT - Công tác đảo trộn compost duy tu tại bãi Ủ ngoài trời - dùng cuốc 07</t>
  </si>
  <si>
    <t>XLB.B.12.2</t>
  </si>
  <si>
    <t>BDT - Công tác đảo trộn compost duy tu tại bãi Ủ ngoài trời - dùng Backhus</t>
  </si>
  <si>
    <t>XLB.B.13.1</t>
  </si>
  <si>
    <t>BDT - Công tác vận chuyển bùn duy tu từ hồ chứa về địa điểm tập kết - dùng xúc lật</t>
  </si>
  <si>
    <t>XLB.B.13.2</t>
  </si>
  <si>
    <t>BDT - Công tác vận chuyển bùn duy tu từ hồ chứa về địa điểm tập kết - dùng cuốc 07</t>
  </si>
  <si>
    <t>XLB.B.14.1</t>
  </si>
  <si>
    <t>XLB.B.14.2</t>
  </si>
  <si>
    <t>XLB.B.14.3</t>
  </si>
  <si>
    <t>XLB.C1.01.2</t>
  </si>
  <si>
    <t>XLB.C1.07.1</t>
  </si>
  <si>
    <t>XLB.C1.07.2</t>
  </si>
  <si>
    <t>XLB.C1.08</t>
  </si>
  <si>
    <t>BKR – Công tác vận chuyển rác sau phân loại từ bùn kênh rạch về địa điểm tập kết - dùng cuốc 07</t>
  </si>
  <si>
    <t>BKR – Công tác vận chuyển rác sau phân loại từ bùn kênh rạch về địa điểm tập kết - dùng xúc lật</t>
  </si>
  <si>
    <t>XLB.C1.10.1</t>
  </si>
  <si>
    <t>XLB.C1.10.2</t>
  </si>
  <si>
    <t>XLB.C1.12</t>
  </si>
  <si>
    <t>XLB.C1.13.1</t>
  </si>
  <si>
    <t>XLB.C1.13.2</t>
  </si>
  <si>
    <t>XLB.C1.14</t>
  </si>
  <si>
    <t>BKR - Công tác vận chuyển bùn kênh rạch sau phối trộn về địa điểm tập kết - dùng xúc lật</t>
  </si>
  <si>
    <t>BKR - Công tác vận chuyển bùn kênh rạch sau phối trộn về địa điểm tập kết - dùng cuốc 07</t>
  </si>
  <si>
    <t>XLB.C1.16.3</t>
  </si>
  <si>
    <t>XLB.C2.07.1</t>
  </si>
  <si>
    <t>XLB.C2.07.2</t>
  </si>
  <si>
    <t>XLB.C2.08</t>
  </si>
  <si>
    <t>XLB.C2.10.1</t>
  </si>
  <si>
    <t>XLB.C2.10.2</t>
  </si>
  <si>
    <t>XLB.C2.12</t>
  </si>
  <si>
    <t>XLB.C2.13.1</t>
  </si>
  <si>
    <t>XLB.C2.13.2</t>
  </si>
  <si>
    <t>XLB.C2.14</t>
  </si>
  <si>
    <t>BKR - Công tác vận chuyển bùn kênh rạch từ hồ chứa về địa điểm tập kết - dùng xúc lật</t>
  </si>
  <si>
    <t>BKR - Công tác vận chuyển bùn kênh rạch từ hồ chứa về địa điểm tập kết - dùng cuốc 07</t>
  </si>
  <si>
    <t>XLB.C2.16.3</t>
  </si>
  <si>
    <t>XLB.D.11.1</t>
  </si>
  <si>
    <t>XLB.D.11.2</t>
  </si>
  <si>
    <t>DS – Công tác đảo trộn bán thành phẩm - dùng cuốc 07</t>
  </si>
  <si>
    <t>DS – Công tác đảo trộn bán thành phẩm - dùng máy BackHus</t>
  </si>
  <si>
    <t>DS – Công tác vận chuyển bán thành phẩm đi sàng bằng xe ben 15 tấn - dùng xúc lật</t>
  </si>
  <si>
    <t>DS – Công tác vận chuyển bán thành phẩm đi sàng bằng xe ben 15 tấn - dùng cuốc 07</t>
  </si>
  <si>
    <t>DS – Công tác vận chuyển bán thành phẩm đi đóng gói bằng xe ben 5 tấn - dùng xúc lật</t>
  </si>
  <si>
    <t>DS – Công tác vận chuyển bán thành phẩm đi đóng gói bằng xe ben 5 tấn - dùng cuốc 07</t>
  </si>
  <si>
    <t>DS.E.08.01</t>
  </si>
  <si>
    <t>Đóng gói 5dm3</t>
  </si>
  <si>
    <t>DS.E.08.02</t>
  </si>
  <si>
    <t>Đóng gói 10dm3</t>
  </si>
  <si>
    <t>DS.E.08.03</t>
  </si>
  <si>
    <t>Đóng gói 20dm3</t>
  </si>
  <si>
    <t>DS.E.08.04</t>
  </si>
  <si>
    <t>Đóng gói 50dm3</t>
  </si>
  <si>
    <t>- B.ĐẦU 4</t>
  </si>
  <si>
    <t>- B.ĐẦU 5</t>
  </si>
  <si>
    <t>- B.ĐẦU 6</t>
  </si>
  <si>
    <t>- K.THÚC 4</t>
  </si>
  <si>
    <t>- K.THÚC 5</t>
  </si>
  <si>
    <t>- K.THÚC 6</t>
  </si>
  <si>
    <t>Bùn hữu cơ cao - 1C</t>
  </si>
  <si>
    <t>S1</t>
  </si>
  <si>
    <t>S2</t>
  </si>
  <si>
    <t>S3</t>
  </si>
  <si>
    <t>C1</t>
  </si>
  <si>
    <t>C2</t>
  </si>
  <si>
    <t>C3</t>
  </si>
  <si>
    <t>T1</t>
  </si>
  <si>
    <t>T2</t>
  </si>
  <si>
    <t>T3</t>
  </si>
  <si>
    <t>Nhớt 90 (Lít) :</t>
  </si>
  <si>
    <t>BP Thống Kê</t>
  </si>
  <si>
    <t xml:space="preserve">Quản Lý Trực Tiếp/ Tổ Trưởng </t>
  </si>
  <si>
    <t>-SL T.hiện:</t>
  </si>
  <si>
    <t>- Ghi chú:</t>
  </si>
  <si>
    <t>-Công đoạn:</t>
  </si>
  <si>
    <t>- B.ĐẦU 7</t>
  </si>
  <si>
    <t>- B.ĐẦU 8</t>
  </si>
  <si>
    <t>- B.ĐẦU 9</t>
  </si>
  <si>
    <t>- K.THÚC 7</t>
  </si>
  <si>
    <t>- K.THÚC 8</t>
  </si>
  <si>
    <t>- K.THÚC 9</t>
  </si>
  <si>
    <t>Nhớt 140(Lít) :</t>
  </si>
  <si>
    <t>Máy ép bùn</t>
  </si>
  <si>
    <t>- T.gian :</t>
  </si>
  <si>
    <t>- Ngày T.hiện</t>
  </si>
  <si>
    <t>- Tên Xe</t>
  </si>
  <si>
    <t xml:space="preserve"> -  Dầu D.O (Lít)</t>
  </si>
  <si>
    <t>Ca làm việc :</t>
  </si>
  <si>
    <t>XCG01</t>
  </si>
  <si>
    <t>XCG02</t>
  </si>
  <si>
    <t>XCG03</t>
  </si>
  <si>
    <t>XCG04</t>
  </si>
  <si>
    <t>XCG05</t>
  </si>
  <si>
    <t>XCG06</t>
  </si>
  <si>
    <t>XCG07</t>
  </si>
  <si>
    <t>XCG08</t>
  </si>
  <si>
    <t>XCG09</t>
  </si>
  <si>
    <t>XCG10</t>
  </si>
  <si>
    <t>XCG11</t>
  </si>
  <si>
    <t>XCG12</t>
  </si>
  <si>
    <t>XCG13</t>
  </si>
  <si>
    <t>XCG14</t>
  </si>
  <si>
    <t>XCG15</t>
  </si>
  <si>
    <t>XCG16</t>
  </si>
  <si>
    <t>XCG17</t>
  </si>
  <si>
    <t>XCG18</t>
  </si>
  <si>
    <t>XCG19</t>
  </si>
  <si>
    <t>XCG20</t>
  </si>
  <si>
    <t>XCG21</t>
  </si>
  <si>
    <t>XCG22</t>
  </si>
  <si>
    <t>XCG23</t>
  </si>
  <si>
    <t>XCG24</t>
  </si>
  <si>
    <t>XCG25</t>
  </si>
  <si>
    <t>XCG26</t>
  </si>
  <si>
    <t>XCG27</t>
  </si>
  <si>
    <t>XCG28</t>
  </si>
  <si>
    <t>XCG29</t>
  </si>
  <si>
    <t>XCG30</t>
  </si>
  <si>
    <t>XCG31</t>
  </si>
  <si>
    <t>XCG32</t>
  </si>
  <si>
    <t>XCG33</t>
  </si>
  <si>
    <t>XCG34</t>
  </si>
  <si>
    <t>XCG35</t>
  </si>
  <si>
    <t>XCG36</t>
  </si>
  <si>
    <t>XCG37</t>
  </si>
  <si>
    <t>XCG38</t>
  </si>
  <si>
    <t>XCG39</t>
  </si>
  <si>
    <t>XCG40</t>
  </si>
  <si>
    <t>XCG41</t>
  </si>
  <si>
    <t>XCG42</t>
  </si>
  <si>
    <t>XCG43</t>
  </si>
  <si>
    <t>XCG44</t>
  </si>
  <si>
    <t>XCG45</t>
  </si>
  <si>
    <t>VHM46</t>
  </si>
  <si>
    <t>VHM47</t>
  </si>
  <si>
    <t>VHM48</t>
  </si>
  <si>
    <t>VHM49</t>
  </si>
  <si>
    <t>VHM50</t>
  </si>
  <si>
    <t>VHM51</t>
  </si>
  <si>
    <t>VHM52</t>
  </si>
  <si>
    <t>VHM53</t>
  </si>
  <si>
    <t>VHM54</t>
  </si>
  <si>
    <t>VHM55</t>
  </si>
  <si>
    <t>Duy Tu</t>
  </si>
  <si>
    <t>C. Ty Phú Thành Ngân</t>
  </si>
  <si>
    <t>Tạ Trí Thuận</t>
  </si>
  <si>
    <t>Nguyễn Tuấn vinh</t>
  </si>
  <si>
    <t>Lê Nhật Trường giang</t>
  </si>
  <si>
    <t>Nguyễn Chí Thạch</t>
  </si>
  <si>
    <t>Nguyễn Linh Vương</t>
  </si>
  <si>
    <t>- BP  T.hiện</t>
  </si>
  <si>
    <t>VH máy</t>
  </si>
  <si>
    <t>XCG - Nhà máy</t>
  </si>
  <si>
    <t>XÁC NHẬN VẬN HÀNH MÁY</t>
  </si>
  <si>
    <t>Vận hành máy</t>
  </si>
  <si>
    <t>VHM1</t>
  </si>
  <si>
    <t>VHM2</t>
  </si>
  <si>
    <t>VHM3</t>
  </si>
  <si>
    <t>VHM4</t>
  </si>
  <si>
    <t>VHM5</t>
  </si>
  <si>
    <t>VHM6</t>
  </si>
  <si>
    <t>VHM7</t>
  </si>
  <si>
    <t>VHM8</t>
  </si>
  <si>
    <t>VHM9</t>
  </si>
  <si>
    <t>VHM10</t>
  </si>
  <si>
    <t>- Tên máy</t>
  </si>
  <si>
    <t>Nguyễn Thị Duyên</t>
  </si>
  <si>
    <t>Mai Thiện Thái</t>
  </si>
  <si>
    <t>Dương Tuấn Vũ</t>
  </si>
  <si>
    <t>Lý Dương</t>
  </si>
  <si>
    <t>Phan Thanh Minh</t>
  </si>
  <si>
    <t>Đặng Văn Luân</t>
  </si>
  <si>
    <t>Huỳnh Văn Duy</t>
  </si>
  <si>
    <t xml:space="preserve">Nguyễn Chí Thạch </t>
  </si>
  <si>
    <t>PT.14</t>
  </si>
  <si>
    <t>Xe hư hỏng</t>
  </si>
  <si>
    <t>Trấu ủ</t>
  </si>
  <si>
    <t>Đá Scoria 10 - 20mm</t>
  </si>
  <si>
    <t>Đá Scoria 2 - 5mm</t>
  </si>
  <si>
    <t>Đá Scoria 20 - 50mm</t>
  </si>
  <si>
    <t>Đá Scoria 5 - 10mm</t>
  </si>
  <si>
    <t>Đất Công Trình 40dm3</t>
  </si>
  <si>
    <t>Đất mai 20dm3</t>
  </si>
  <si>
    <t>Đất rau 10dm3</t>
  </si>
  <si>
    <t>Đất rau 20dm3</t>
  </si>
  <si>
    <t>Đất rau 5dm3</t>
  </si>
  <si>
    <t>Đất sạch 20dm3</t>
  </si>
  <si>
    <t>Đất sạch 50dm3</t>
  </si>
  <si>
    <t>Đất sạch 5dm3</t>
  </si>
  <si>
    <t>Đất sạch Hà Nội 20dm3</t>
  </si>
  <si>
    <t>Đất Việt 20dm3</t>
  </si>
  <si>
    <t>Đất Việt 50dm3</t>
  </si>
  <si>
    <t>Giá thể trồng lan</t>
  </si>
  <si>
    <t>Phân bò 10dm3</t>
  </si>
  <si>
    <t>Phân bò 3dm3</t>
  </si>
  <si>
    <t>Phân đùn: 4.2.2(T - O) - 0.5kg</t>
  </si>
  <si>
    <t>Phân đùn: 4.2.2(T - O) - 1kg</t>
  </si>
  <si>
    <t>Promix 20dm3</t>
  </si>
  <si>
    <t>Đất xuất khẩu 40L</t>
  </si>
  <si>
    <t>NL Compost</t>
  </si>
  <si>
    <t>NL Mụn dừa</t>
  </si>
  <si>
    <t>NL Phân bò</t>
  </si>
  <si>
    <t>NL Tro</t>
  </si>
  <si>
    <t>NL Trấu</t>
  </si>
  <si>
    <t>NL Đất đen</t>
  </si>
  <si>
    <t>NL Vôi</t>
  </si>
  <si>
    <t>NL R-T</t>
  </si>
  <si>
    <t>NL Lân</t>
  </si>
  <si>
    <t>Cấp liệu máy sáng</t>
  </si>
  <si>
    <t>TMB 30kg</t>
  </si>
  <si>
    <t>TMB 40kg</t>
  </si>
  <si>
    <t>XK Vàng 20dm3</t>
  </si>
  <si>
    <t>XK Đỏ 20dm3</t>
  </si>
  <si>
    <t>Máy cày Kabuta</t>
  </si>
  <si>
    <t>Phân hữu cơ T- O (500gr)</t>
  </si>
  <si>
    <t>Phân hữu cơ T- O (1kg)</t>
  </si>
  <si>
    <t>Phân hữu cơ vi sinh T-MB (40kg)</t>
  </si>
  <si>
    <t>Thảm Xơ Dừa (50x50)</t>
  </si>
  <si>
    <t>Chỉ Sơ dừa 50dm3</t>
  </si>
  <si>
    <t>Bò Xá 50dm3</t>
  </si>
  <si>
    <t>Phân bò lẻ</t>
  </si>
  <si>
    <t>Đất Công Trình 50dm3</t>
  </si>
  <si>
    <t xml:space="preserve">Vỏ trái dừa sau cắt </t>
  </si>
  <si>
    <t>Bùn hữu cơ cao - BH</t>
  </si>
  <si>
    <t>Compost xá 50dm3</t>
  </si>
  <si>
    <t>XLB.D.04</t>
  </si>
  <si>
    <t>XLB.D.05.01</t>
  </si>
  <si>
    <t>BEN – Công tác vận chuyển bùn bentonite sau phối trộn về điểm tập kết - dùng xúc lật</t>
  </si>
  <si>
    <t>XLB.D.05.02</t>
  </si>
  <si>
    <t>BEN – Công tác vận chuyển bùn bentonite sau phối trộn về điểm tập kết - dùng cuốc 07</t>
  </si>
  <si>
    <t>XLB.D.06.1</t>
  </si>
  <si>
    <t>BEN – Công tác tăng bo bùn bentonite tại điểm tập kết - dùng cuốc 07</t>
  </si>
  <si>
    <t>XLB.D.06.2</t>
  </si>
  <si>
    <t>BEN – Công tác tăng bo bùn bentonite tại điểm tập kết - dùng cần dài</t>
  </si>
  <si>
    <t>XLB.D.06.3</t>
  </si>
  <si>
    <t>BEN – Công tác tăng bo bùn bentonite tại điểm tập kết - dùng xe ủi</t>
  </si>
  <si>
    <t>F.TD.01</t>
  </si>
  <si>
    <t>F.TD.02.01</t>
  </si>
  <si>
    <t>F.TD.02.02</t>
  </si>
  <si>
    <t>TD- Công tác vận chuyển trái dừa sau xay đến điểm tập kết- dùng cuốc 07</t>
  </si>
  <si>
    <t>F.TD.03.01</t>
  </si>
  <si>
    <t>TD - Công tác tăng bo vỏ dừa sau xay tại điểm tập kết- dùng cuốc 07</t>
  </si>
  <si>
    <t>F.TD.03.02</t>
  </si>
  <si>
    <t>TD - Công tác tăng bo vỏ dừa sau xay tại điểm tập kết- dùng cuốc cần dài</t>
  </si>
  <si>
    <t>F.TD.03.03</t>
  </si>
  <si>
    <t>TD - Công tác tăng bo vỏ dừa sau xay tại điểm tập kết- dùng xe ủi D31</t>
  </si>
  <si>
    <t>DS.E.08.05</t>
  </si>
  <si>
    <t>Đóng gói 3dm3</t>
  </si>
  <si>
    <t>DS190109.C</t>
  </si>
  <si>
    <t>DS190117</t>
  </si>
  <si>
    <t>DV190103</t>
  </si>
  <si>
    <t>DS190121</t>
  </si>
  <si>
    <t>DS190124</t>
  </si>
  <si>
    <t>DS190220</t>
  </si>
  <si>
    <t>DS190221</t>
  </si>
  <si>
    <t>DS190219</t>
  </si>
  <si>
    <t>DS190226</t>
  </si>
  <si>
    <t>DS190228</t>
  </si>
  <si>
    <t>DR181017</t>
  </si>
  <si>
    <t>PB181128</t>
  </si>
  <si>
    <t>Vệ sinh + chờ đất</t>
  </si>
  <si>
    <t>8h-10h40 chờ đất</t>
  </si>
  <si>
    <t>bảo trì xe</t>
  </si>
  <si>
    <t>Thế ben (9) 1314</t>
  </si>
  <si>
    <t>Máy cày Kubuta</t>
  </si>
  <si>
    <t>W9-190223</t>
  </si>
  <si>
    <t>Hồ B6</t>
  </si>
  <si>
    <t>hồ C3</t>
  </si>
  <si>
    <t>vc trấu ủ dời bãi sang ranh nghĩa trang</t>
  </si>
  <si>
    <t>làm luống đất sạch lô DS190228</t>
  </si>
  <si>
    <t>- Tổng SL.T.Hiện</t>
  </si>
  <si>
    <t>(M3 hoặc Tấn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</si>
</sst>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.00\ &quot;₫&quot;_-;\-* #,##0.00\ &quot;₫&quot;_-;_-* &quot;-&quot;??\ &quot;₫&quot;_-;_-@_-"/>
    <numFmt numFmtId="166" formatCode="h:mm;@"/>
    <numFmt numFmtId="167" formatCode="[h]:mm"/>
    <numFmt numFmtId="168" formatCode="[h]:mm:ss;@"/>
    <numFmt numFmtId="169" formatCode="_(* #,##0_);_(* \(#,##0\);_(* &quot;-&quot;??_);_(@_)"/>
    <numFmt numFmtId="170" formatCode="_(* #,##0.0_);_(* \(#,##0.0\);_(* &quot;-&quot;??_);_(@_)"/>
    <numFmt numFmtId="171" formatCode="0.0%"/>
    <numFmt numFmtId="172" formatCode="[$-1000000]h:mm;@"/>
    <numFmt numFmtId="173" formatCode="[$-1010000]d/m/yyyy;@"/>
    <numFmt numFmtId="174" formatCode="0.000000000000000%"/>
    <numFmt numFmtId="175" formatCode="_(* #,##0.00_);_(* \(#,##0.00\);_(* &quot;-&quot;_);_(@_)"/>
    <numFmt numFmtId="176" formatCode="0.00000000000000%"/>
    <numFmt numFmtId="177" formatCode="m/d/yy"/>
    <numFmt numFmtId="178" formatCode="[h]:mm;@"/>
  </numFmts>
  <fonts count="6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  <charset val="163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  <charset val="163"/>
    </font>
    <font>
      <sz val="12"/>
      <name val="Arial"/>
      <family val="2"/>
      <charset val="163"/>
    </font>
    <font>
      <b/>
      <sz val="10"/>
      <name val="Arial"/>
      <family val="2"/>
      <charset val="163"/>
    </font>
    <font>
      <b/>
      <sz val="12"/>
      <color theme="1"/>
      <name val="Arial"/>
      <family val="2"/>
      <charset val="163"/>
    </font>
    <font>
      <sz val="12"/>
      <color theme="9" tint="-0.249977111117893"/>
      <name val="Arial"/>
      <family val="2"/>
      <charset val="163"/>
    </font>
    <font>
      <b/>
      <sz val="11"/>
      <color theme="1"/>
      <name val="Arial"/>
      <family val="2"/>
      <charset val="163"/>
    </font>
    <font>
      <sz val="11"/>
      <color theme="1"/>
      <name val="Arial"/>
      <family val="2"/>
      <charset val="163"/>
    </font>
    <font>
      <sz val="11"/>
      <name val="Arial"/>
      <family val="2"/>
      <charset val="163"/>
    </font>
    <font>
      <sz val="8"/>
      <name val="Calibri"/>
      <family val="2"/>
      <scheme val="minor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sz val="13"/>
      <name val="VNI-Aptima"/>
    </font>
    <font>
      <b/>
      <sz val="12"/>
      <name val="Times New Roman"/>
      <family val="1"/>
      <charset val="163"/>
    </font>
    <font>
      <b/>
      <sz val="16"/>
      <color theme="0"/>
      <name val="Times New Roman"/>
      <family val="1"/>
    </font>
    <font>
      <sz val="12"/>
      <color theme="0"/>
      <name val="Times New Roman"/>
      <family val="1"/>
    </font>
    <font>
      <sz val="11"/>
      <color theme="0"/>
      <name val="Times New Roman"/>
      <family val="1"/>
    </font>
    <font>
      <sz val="12"/>
      <color theme="0"/>
      <name val="Calibri"/>
      <family val="2"/>
      <scheme val="minor"/>
    </font>
    <font>
      <sz val="12"/>
      <color theme="0"/>
      <name val="VNI-Aptima"/>
    </font>
    <font>
      <b/>
      <sz val="10"/>
      <color theme="1"/>
      <name val="Arial"/>
      <family val="2"/>
      <charset val="163"/>
    </font>
    <font>
      <b/>
      <sz val="12"/>
      <color theme="1"/>
      <name val="Calibri"/>
      <family val="2"/>
      <charset val="163"/>
      <scheme val="minor"/>
    </font>
    <font>
      <sz val="12"/>
      <color theme="1"/>
      <name val="Arial"/>
      <family val="2"/>
      <charset val="163"/>
    </font>
    <font>
      <sz val="13"/>
      <color theme="1"/>
      <name val="Arial"/>
      <family val="2"/>
      <charset val="16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indexed="81"/>
      <name val="Tahoma"/>
      <family val="2"/>
      <charset val="163"/>
    </font>
    <font>
      <b/>
      <sz val="11"/>
      <color theme="1"/>
      <name val="Calibri"/>
      <family val="2"/>
      <scheme val="minor"/>
    </font>
    <font>
      <sz val="20"/>
      <color theme="9" tint="-0.249977111117893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3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Arial"/>
      <family val="2"/>
      <charset val="163"/>
    </font>
    <font>
      <b/>
      <sz val="11"/>
      <name val="Arial"/>
      <family val="2"/>
      <charset val="163"/>
    </font>
    <font>
      <b/>
      <sz val="13"/>
      <name val="Arial"/>
      <family val="2"/>
    </font>
    <font>
      <sz val="12"/>
      <color theme="1"/>
      <name val="Calibri"/>
      <family val="2"/>
      <charset val="163"/>
      <scheme val="minor"/>
    </font>
    <font>
      <sz val="12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i/>
      <sz val="10"/>
      <color theme="1"/>
      <name val="Arial"/>
      <family val="2"/>
      <charset val="163"/>
    </font>
    <font>
      <b/>
      <sz val="9"/>
      <color theme="1"/>
      <name val="Calibri"/>
      <family val="2"/>
      <charset val="163"/>
      <scheme val="minor"/>
    </font>
    <font>
      <b/>
      <sz val="9"/>
      <color theme="1"/>
      <name val="Arial"/>
      <family val="2"/>
      <charset val="163"/>
    </font>
    <font>
      <sz val="10"/>
      <name val="Arial"/>
      <family val="2"/>
      <charset val="163"/>
    </font>
    <font>
      <sz val="10"/>
      <color theme="1"/>
      <name val="Arial"/>
      <family val="2"/>
      <charset val="163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/>
      </left>
      <right style="thin">
        <color theme="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theme="6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6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6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9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theme="6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8">
    <xf numFmtId="0" fontId="0" fillId="0" borderId="0"/>
    <xf numFmtId="43" fontId="6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43">
    <xf numFmtId="0" fontId="0" fillId="0" borderId="0" xfId="0"/>
    <xf numFmtId="0" fontId="7" fillId="0" borderId="0" xfId="0" applyFont="1"/>
    <xf numFmtId="0" fontId="11" fillId="0" borderId="0" xfId="0" applyFont="1"/>
    <xf numFmtId="43" fontId="7" fillId="0" borderId="0" xfId="1" applyFont="1"/>
    <xf numFmtId="0" fontId="12" fillId="6" borderId="0" xfId="0" applyFont="1" applyFill="1" applyBorder="1" applyAlignment="1">
      <alignment horizontal="center" vertical="center" wrapText="1"/>
    </xf>
    <xf numFmtId="166" fontId="12" fillId="6" borderId="0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7" borderId="6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 wrapText="1"/>
    </xf>
    <xf numFmtId="169" fontId="13" fillId="7" borderId="6" xfId="1" applyNumberFormat="1" applyFont="1" applyFill="1" applyBorder="1" applyAlignment="1">
      <alignment horizontal="center" vertical="center" wrapText="1"/>
    </xf>
    <xf numFmtId="43" fontId="13" fillId="9" borderId="6" xfId="1" applyFont="1" applyFill="1" applyBorder="1" applyAlignment="1">
      <alignment horizontal="center" vertical="center" wrapText="1"/>
    </xf>
    <xf numFmtId="43" fontId="13" fillId="6" borderId="6" xfId="1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9" fontId="7" fillId="0" borderId="0" xfId="7" applyFont="1"/>
    <xf numFmtId="168" fontId="0" fillId="0" borderId="0" xfId="0" applyNumberFormat="1"/>
    <xf numFmtId="168" fontId="14" fillId="13" borderId="7" xfId="0" applyNumberFormat="1" applyFont="1" applyFill="1" applyBorder="1" applyAlignment="1">
      <alignment wrapText="1"/>
    </xf>
    <xf numFmtId="168" fontId="14" fillId="0" borderId="8" xfId="0" applyNumberFormat="1" applyFont="1" applyBorder="1" applyAlignment="1">
      <alignment wrapText="1"/>
    </xf>
    <xf numFmtId="0" fontId="7" fillId="0" borderId="6" xfId="0" applyFont="1" applyBorder="1"/>
    <xf numFmtId="170" fontId="7" fillId="0" borderId="6" xfId="1" applyNumberFormat="1" applyFont="1" applyBorder="1"/>
    <xf numFmtId="170" fontId="7" fillId="0" borderId="6" xfId="0" applyNumberFormat="1" applyFont="1" applyBorder="1"/>
    <xf numFmtId="0" fontId="7" fillId="0" borderId="6" xfId="0" applyFont="1" applyFill="1" applyBorder="1"/>
    <xf numFmtId="0" fontId="13" fillId="0" borderId="6" xfId="0" applyFont="1" applyBorder="1" applyAlignment="1">
      <alignment horizontal="left"/>
    </xf>
    <xf numFmtId="0" fontId="13" fillId="0" borderId="6" xfId="0" applyFont="1" applyBorder="1" applyAlignment="1"/>
    <xf numFmtId="169" fontId="13" fillId="0" borderId="6" xfId="1" applyNumberFormat="1" applyFont="1" applyBorder="1" applyAlignment="1"/>
    <xf numFmtId="0" fontId="13" fillId="9" borderId="6" xfId="0" applyFont="1" applyFill="1" applyBorder="1" applyAlignment="1">
      <alignment horizontal="center" vertical="center"/>
    </xf>
    <xf numFmtId="170" fontId="13" fillId="6" borderId="6" xfId="1" applyNumberFormat="1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7" fillId="5" borderId="6" xfId="0" applyFont="1" applyFill="1" applyBorder="1" applyAlignment="1">
      <alignment vertical="center"/>
    </xf>
    <xf numFmtId="168" fontId="7" fillId="0" borderId="6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vertical="center" wrapText="1"/>
    </xf>
    <xf numFmtId="43" fontId="13" fillId="0" borderId="6" xfId="1" applyFont="1" applyBorder="1" applyAlignment="1">
      <alignment vertical="center" wrapText="1"/>
    </xf>
    <xf numFmtId="169" fontId="7" fillId="0" borderId="6" xfId="1" applyNumberFormat="1" applyFont="1" applyBorder="1"/>
    <xf numFmtId="171" fontId="7" fillId="0" borderId="6" xfId="7" applyNumberFormat="1" applyFont="1" applyBorder="1" applyAlignment="1">
      <alignment horizontal="right"/>
    </xf>
    <xf numFmtId="43" fontId="7" fillId="0" borderId="6" xfId="1" applyFont="1" applyBorder="1"/>
    <xf numFmtId="43" fontId="7" fillId="0" borderId="6" xfId="1" applyNumberFormat="1" applyFont="1" applyBorder="1"/>
    <xf numFmtId="2" fontId="7" fillId="0" borderId="6" xfId="0" applyNumberFormat="1" applyFont="1" applyBorder="1" applyAlignment="1">
      <alignment wrapText="1"/>
    </xf>
    <xf numFmtId="43" fontId="7" fillId="0" borderId="6" xfId="1" applyFont="1" applyBorder="1" applyAlignment="1">
      <alignment vertical="center"/>
    </xf>
    <xf numFmtId="2" fontId="7" fillId="0" borderId="6" xfId="0" applyNumberFormat="1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7" fillId="4" borderId="6" xfId="0" applyFont="1" applyFill="1" applyBorder="1"/>
    <xf numFmtId="0" fontId="7" fillId="12" borderId="6" xfId="0" applyFont="1" applyFill="1" applyBorder="1" applyAlignment="1">
      <alignment horizontal="left"/>
    </xf>
    <xf numFmtId="0" fontId="7" fillId="12" borderId="6" xfId="0" applyFont="1" applyFill="1" applyBorder="1"/>
    <xf numFmtId="168" fontId="7" fillId="12" borderId="6" xfId="0" applyNumberFormat="1" applyFont="1" applyFill="1" applyBorder="1" applyAlignment="1">
      <alignment horizontal="center" vertical="center" wrapText="1"/>
    </xf>
    <xf numFmtId="0" fontId="7" fillId="12" borderId="6" xfId="0" applyNumberFormat="1" applyFont="1" applyFill="1" applyBorder="1" applyAlignment="1">
      <alignment horizontal="center" vertical="center" wrapText="1"/>
    </xf>
    <xf numFmtId="43" fontId="13" fillId="12" borderId="6" xfId="1" applyFont="1" applyFill="1" applyBorder="1" applyAlignment="1">
      <alignment horizontal="center" vertical="center" wrapText="1"/>
    </xf>
    <xf numFmtId="43" fontId="7" fillId="12" borderId="6" xfId="1" applyFont="1" applyFill="1" applyBorder="1" applyAlignment="1">
      <alignment horizontal="center" vertical="center" wrapText="1"/>
    </xf>
    <xf numFmtId="43" fontId="7" fillId="12" borderId="6" xfId="1" applyFont="1" applyFill="1" applyBorder="1" applyAlignment="1">
      <alignment horizontal="right" vertical="center" wrapText="1"/>
    </xf>
    <xf numFmtId="43" fontId="13" fillId="5" borderId="6" xfId="1" applyFont="1" applyFill="1" applyBorder="1" applyAlignment="1">
      <alignment horizontal="center" vertical="center" wrapText="1"/>
    </xf>
    <xf numFmtId="171" fontId="7" fillId="0" borderId="6" xfId="7" applyNumberFormat="1" applyFont="1" applyBorder="1" applyAlignment="1">
      <alignment horizontal="right" vertical="center" wrapText="1"/>
    </xf>
    <xf numFmtId="43" fontId="7" fillId="0" borderId="6" xfId="1" applyFont="1" applyBorder="1" applyAlignment="1">
      <alignment horizontal="center" vertical="center" wrapText="1"/>
    </xf>
    <xf numFmtId="43" fontId="7" fillId="0" borderId="6" xfId="1" applyFont="1" applyBorder="1" applyAlignment="1"/>
    <xf numFmtId="43" fontId="7" fillId="0" borderId="6" xfId="1" applyFont="1" applyBorder="1" applyAlignment="1">
      <alignment vertical="center" wrapText="1"/>
    </xf>
    <xf numFmtId="43" fontId="7" fillId="5" borderId="6" xfId="1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0" borderId="6" xfId="0" applyFont="1" applyBorder="1" applyAlignment="1">
      <alignment horizontal="center"/>
    </xf>
    <xf numFmtId="0" fontId="7" fillId="0" borderId="6" xfId="7" applyNumberFormat="1" applyFont="1" applyBorder="1" applyAlignment="1">
      <alignment horizontal="right"/>
    </xf>
    <xf numFmtId="43" fontId="7" fillId="0" borderId="6" xfId="1" applyFont="1" applyBorder="1" applyAlignment="1">
      <alignment wrapText="1"/>
    </xf>
    <xf numFmtId="168" fontId="13" fillId="7" borderId="6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13" fillId="5" borderId="6" xfId="1" applyNumberFormat="1" applyFont="1" applyFill="1" applyBorder="1" applyAlignment="1">
      <alignment horizontal="center" vertical="center" wrapText="1"/>
    </xf>
    <xf numFmtId="0" fontId="0" fillId="0" borderId="6" xfId="0" applyFont="1" applyBorder="1"/>
    <xf numFmtId="43" fontId="7" fillId="5" borderId="0" xfId="1" applyFont="1" applyFill="1"/>
    <xf numFmtId="0" fontId="7" fillId="5" borderId="0" xfId="1" applyNumberFormat="1" applyFont="1" applyFill="1"/>
    <xf numFmtId="169" fontId="7" fillId="0" borderId="6" xfId="12" applyNumberFormat="1" applyFont="1" applyBorder="1" applyAlignment="1">
      <alignment horizontal="center" vertical="center" wrapText="1"/>
    </xf>
    <xf numFmtId="169" fontId="7" fillId="12" borderId="6" xfId="12" applyNumberFormat="1" applyFont="1" applyFill="1" applyBorder="1" applyAlignment="1">
      <alignment horizontal="center" vertical="center" wrapText="1"/>
    </xf>
    <xf numFmtId="169" fontId="7" fillId="0" borderId="6" xfId="12" applyNumberFormat="1" applyFont="1" applyBorder="1" applyAlignment="1">
      <alignment vertical="center" wrapText="1"/>
    </xf>
    <xf numFmtId="168" fontId="7" fillId="0" borderId="6" xfId="7" applyNumberFormat="1" applyFont="1" applyBorder="1" applyAlignment="1">
      <alignment horizontal="right"/>
    </xf>
    <xf numFmtId="168" fontId="0" fillId="0" borderId="9" xfId="0" applyNumberFormat="1" applyFont="1" applyBorder="1"/>
    <xf numFmtId="0" fontId="0" fillId="0" borderId="9" xfId="0" applyFont="1" applyBorder="1"/>
    <xf numFmtId="172" fontId="0" fillId="0" borderId="0" xfId="0" applyNumberFormat="1"/>
    <xf numFmtId="0" fontId="15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0" borderId="0" xfId="0" applyFont="1"/>
    <xf numFmtId="14" fontId="16" fillId="4" borderId="5" xfId="0" applyNumberFormat="1" applyFont="1" applyFill="1" applyBorder="1"/>
    <xf numFmtId="0" fontId="16" fillId="4" borderId="6" xfId="0" applyFont="1" applyFill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6" xfId="11" applyFont="1" applyBorder="1"/>
    <xf numFmtId="0" fontId="17" fillId="4" borderId="6" xfId="11" applyFont="1" applyFill="1" applyBorder="1"/>
    <xf numFmtId="0" fontId="17" fillId="3" borderId="6" xfId="11" applyFont="1" applyFill="1" applyBorder="1"/>
    <xf numFmtId="0" fontId="17" fillId="3" borderId="2" xfId="11" applyFont="1" applyFill="1" applyBorder="1"/>
    <xf numFmtId="0" fontId="16" fillId="0" borderId="1" xfId="0" applyFont="1" applyBorder="1"/>
    <xf numFmtId="43" fontId="16" fillId="0" borderId="0" xfId="0" applyNumberFormat="1" applyFont="1"/>
    <xf numFmtId="0" fontId="16" fillId="10" borderId="6" xfId="0" applyFont="1" applyFill="1" applyBorder="1" applyAlignment="1">
      <alignment horizontal="left" vertical="center"/>
    </xf>
    <xf numFmtId="0" fontId="17" fillId="4" borderId="2" xfId="0" applyFont="1" applyFill="1" applyBorder="1"/>
    <xf numFmtId="0" fontId="17" fillId="11" borderId="6" xfId="11" applyFont="1" applyFill="1" applyBorder="1"/>
    <xf numFmtId="0" fontId="17" fillId="5" borderId="6" xfId="11" applyFont="1" applyFill="1" applyBorder="1"/>
    <xf numFmtId="0" fontId="16" fillId="2" borderId="6" xfId="0" applyFont="1" applyFill="1" applyBorder="1" applyAlignment="1">
      <alignment horizontal="left" vertical="center"/>
    </xf>
    <xf numFmtId="0" fontId="16" fillId="8" borderId="6" xfId="0" applyFont="1" applyFill="1" applyBorder="1" applyAlignment="1">
      <alignment horizontal="left" vertical="center"/>
    </xf>
    <xf numFmtId="0" fontId="17" fillId="4" borderId="6" xfId="2" applyFont="1" applyFill="1" applyBorder="1" applyAlignment="1">
      <alignment horizontal="left" vertical="center"/>
    </xf>
    <xf numFmtId="0" fontId="17" fillId="4" borderId="6" xfId="0" applyFont="1" applyFill="1" applyBorder="1"/>
    <xf numFmtId="0" fontId="17" fillId="3" borderId="6" xfId="0" applyFont="1" applyFill="1" applyBorder="1"/>
    <xf numFmtId="0" fontId="13" fillId="5" borderId="6" xfId="0" applyFont="1" applyFill="1" applyBorder="1"/>
    <xf numFmtId="0" fontId="13" fillId="5" borderId="6" xfId="0" applyFont="1" applyFill="1" applyBorder="1" applyAlignment="1">
      <alignment horizontal="center"/>
    </xf>
    <xf numFmtId="171" fontId="13" fillId="5" borderId="6" xfId="0" applyNumberFormat="1" applyFont="1" applyFill="1" applyBorder="1"/>
    <xf numFmtId="0" fontId="7" fillId="4" borderId="6" xfId="0" applyFont="1" applyFill="1" applyBorder="1" applyAlignment="1">
      <alignment horizontal="center"/>
    </xf>
    <xf numFmtId="10" fontId="7" fillId="2" borderId="6" xfId="7" applyNumberFormat="1" applyFont="1" applyFill="1" applyBorder="1"/>
    <xf numFmtId="171" fontId="7" fillId="5" borderId="6" xfId="0" applyNumberFormat="1" applyFont="1" applyFill="1" applyBorder="1"/>
    <xf numFmtId="0" fontId="7" fillId="0" borderId="12" xfId="0" applyFont="1" applyBorder="1"/>
    <xf numFmtId="0" fontId="7" fillId="5" borderId="6" xfId="0" applyFont="1" applyFill="1" applyBorder="1"/>
    <xf numFmtId="0" fontId="7" fillId="5" borderId="6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7" fillId="2" borderId="12" xfId="7" applyNumberFormat="1" applyFont="1" applyFill="1" applyBorder="1"/>
    <xf numFmtId="170" fontId="13" fillId="5" borderId="6" xfId="1" applyNumberFormat="1" applyFont="1" applyFill="1" applyBorder="1" applyAlignment="1">
      <alignment wrapText="1"/>
    </xf>
    <xf numFmtId="170" fontId="7" fillId="4" borderId="6" xfId="1" applyNumberFormat="1" applyFont="1" applyFill="1" applyBorder="1" applyAlignment="1">
      <alignment wrapText="1"/>
    </xf>
    <xf numFmtId="170" fontId="7" fillId="0" borderId="6" xfId="1" applyNumberFormat="1" applyFont="1" applyBorder="1" applyAlignment="1">
      <alignment wrapText="1"/>
    </xf>
    <xf numFmtId="43" fontId="7" fillId="0" borderId="6" xfId="1" applyNumberFormat="1" applyFont="1" applyBorder="1" applyAlignment="1">
      <alignment wrapText="1"/>
    </xf>
    <xf numFmtId="170" fontId="7" fillId="0" borderId="12" xfId="1" applyNumberFormat="1" applyFont="1" applyBorder="1" applyAlignment="1">
      <alignment wrapText="1"/>
    </xf>
    <xf numFmtId="171" fontId="13" fillId="5" borderId="6" xfId="7" applyNumberFormat="1" applyFont="1" applyFill="1" applyBorder="1" applyAlignment="1">
      <alignment wrapText="1"/>
    </xf>
    <xf numFmtId="170" fontId="13" fillId="5" borderId="11" xfId="0" applyNumberFormat="1" applyFont="1" applyFill="1" applyBorder="1" applyAlignment="1">
      <alignment wrapText="1"/>
    </xf>
    <xf numFmtId="171" fontId="7" fillId="0" borderId="6" xfId="7" applyNumberFormat="1" applyFont="1" applyBorder="1" applyAlignment="1">
      <alignment wrapText="1"/>
    </xf>
    <xf numFmtId="170" fontId="7" fillId="4" borderId="11" xfId="0" applyNumberFormat="1" applyFont="1" applyFill="1" applyBorder="1" applyAlignment="1">
      <alignment wrapText="1"/>
    </xf>
    <xf numFmtId="0" fontId="7" fillId="0" borderId="11" xfId="0" applyFont="1" applyBorder="1" applyAlignment="1">
      <alignment wrapText="1"/>
    </xf>
    <xf numFmtId="9" fontId="7" fillId="5" borderId="6" xfId="7" applyFont="1" applyFill="1" applyBorder="1" applyAlignment="1">
      <alignment wrapText="1"/>
    </xf>
    <xf numFmtId="9" fontId="7" fillId="0" borderId="6" xfId="7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13" fillId="14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 wrapText="1"/>
    </xf>
    <xf numFmtId="0" fontId="13" fillId="14" borderId="10" xfId="0" applyFont="1" applyFill="1" applyBorder="1" applyAlignment="1">
      <alignment horizontal="center" vertical="center" wrapText="1"/>
    </xf>
    <xf numFmtId="171" fontId="7" fillId="0" borderId="0" xfId="7" applyNumberFormat="1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74" fontId="7" fillId="0" borderId="0" xfId="0" applyNumberFormat="1" applyFont="1"/>
    <xf numFmtId="0" fontId="16" fillId="4" borderId="6" xfId="0" applyNumberFormat="1" applyFont="1" applyFill="1" applyBorder="1"/>
    <xf numFmtId="0" fontId="16" fillId="4" borderId="6" xfId="0" applyNumberFormat="1" applyFont="1" applyFill="1" applyBorder="1" applyAlignment="1">
      <alignment horizontal="center" vertical="center"/>
    </xf>
    <xf numFmtId="0" fontId="16" fillId="4" borderId="6" xfId="0" applyFont="1" applyFill="1" applyBorder="1"/>
    <xf numFmtId="175" fontId="16" fillId="4" borderId="6" xfId="15" applyNumberFormat="1" applyFont="1" applyFill="1" applyBorder="1" applyAlignment="1">
      <alignment wrapText="1"/>
    </xf>
    <xf numFmtId="0" fontId="16" fillId="4" borderId="12" xfId="0" applyNumberFormat="1" applyFont="1" applyFill="1" applyBorder="1"/>
    <xf numFmtId="175" fontId="16" fillId="4" borderId="12" xfId="15" applyNumberFormat="1" applyFont="1" applyFill="1" applyBorder="1" applyAlignment="1">
      <alignment wrapText="1"/>
    </xf>
    <xf numFmtId="0" fontId="16" fillId="4" borderId="19" xfId="0" applyNumberFormat="1" applyFont="1" applyFill="1" applyBorder="1"/>
    <xf numFmtId="0" fontId="13" fillId="0" borderId="0" xfId="0" applyFont="1"/>
    <xf numFmtId="14" fontId="19" fillId="0" borderId="6" xfId="0" applyNumberFormat="1" applyFont="1" applyFill="1" applyBorder="1" applyAlignment="1">
      <alignment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14" fontId="20" fillId="4" borderId="6" xfId="0" applyNumberFormat="1" applyFont="1" applyFill="1" applyBorder="1" applyAlignment="1">
      <alignment horizontal="center" vertical="center" wrapText="1"/>
    </xf>
    <xf numFmtId="0" fontId="23" fillId="15" borderId="6" xfId="2" applyFont="1" applyFill="1" applyBorder="1" applyAlignment="1" applyProtection="1">
      <alignment horizontal="center" vertical="center" wrapText="1"/>
    </xf>
    <xf numFmtId="0" fontId="23" fillId="15" borderId="6" xfId="2" applyFont="1" applyFill="1" applyBorder="1" applyAlignment="1" applyProtection="1">
      <alignment vertical="center" wrapText="1"/>
    </xf>
    <xf numFmtId="14" fontId="20" fillId="15" borderId="6" xfId="2" applyNumberFormat="1" applyFont="1" applyFill="1" applyBorder="1" applyAlignment="1" applyProtection="1">
      <alignment horizontal="center" vertical="center" wrapText="1"/>
    </xf>
    <xf numFmtId="0" fontId="20" fillId="15" borderId="6" xfId="0" applyFont="1" applyFill="1" applyBorder="1" applyAlignment="1">
      <alignment horizontal="center" vertical="center"/>
    </xf>
    <xf numFmtId="0" fontId="24" fillId="7" borderId="6" xfId="2" applyFont="1" applyFill="1" applyBorder="1" applyAlignment="1" applyProtection="1">
      <alignment vertical="center" wrapText="1"/>
    </xf>
    <xf numFmtId="14" fontId="21" fillId="7" borderId="6" xfId="2" applyNumberFormat="1" applyFont="1" applyFill="1" applyBorder="1" applyAlignment="1" applyProtection="1">
      <alignment horizontal="center" vertical="center" wrapText="1"/>
    </xf>
    <xf numFmtId="0" fontId="21" fillId="7" borderId="6" xfId="0" applyFont="1" applyFill="1" applyBorder="1" applyAlignment="1">
      <alignment horizontal="center" vertical="center"/>
    </xf>
    <xf numFmtId="0" fontId="24" fillId="0" borderId="6" xfId="2" applyFont="1" applyFill="1" applyBorder="1" applyAlignment="1" applyProtection="1">
      <alignment vertical="center" wrapText="1"/>
    </xf>
    <xf numFmtId="14" fontId="21" fillId="4" borderId="6" xfId="2" applyNumberFormat="1" applyFont="1" applyFill="1" applyBorder="1" applyAlignment="1" applyProtection="1">
      <alignment horizontal="center" vertical="center" wrapText="1"/>
    </xf>
    <xf numFmtId="0" fontId="21" fillId="4" borderId="6" xfId="0" applyFont="1" applyFill="1" applyBorder="1" applyAlignment="1">
      <alignment horizontal="center" vertical="center"/>
    </xf>
    <xf numFmtId="0" fontId="23" fillId="15" borderId="15" xfId="2" applyFont="1" applyFill="1" applyBorder="1" applyAlignment="1" applyProtection="1">
      <alignment horizontal="center" vertical="center" wrapText="1"/>
    </xf>
    <xf numFmtId="0" fontId="23" fillId="15" borderId="1" xfId="2" applyFont="1" applyFill="1" applyBorder="1" applyAlignment="1" applyProtection="1">
      <alignment vertical="center" wrapText="1"/>
    </xf>
    <xf numFmtId="0" fontId="23" fillId="7" borderId="6" xfId="2" applyFont="1" applyFill="1" applyBorder="1" applyAlignment="1" applyProtection="1">
      <alignment vertical="center" wrapText="1"/>
    </xf>
    <xf numFmtId="14" fontId="20" fillId="7" borderId="6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25" fillId="7" borderId="6" xfId="0" applyFont="1" applyFill="1" applyBorder="1" applyAlignment="1">
      <alignment horizontal="center" vertical="center" wrapText="1"/>
    </xf>
    <xf numFmtId="0" fontId="20" fillId="7" borderId="6" xfId="0" applyFont="1" applyFill="1" applyBorder="1" applyAlignment="1">
      <alignment horizontal="center" vertical="center"/>
    </xf>
    <xf numFmtId="14" fontId="21" fillId="0" borderId="6" xfId="2" applyNumberFormat="1" applyFont="1" applyFill="1" applyBorder="1" applyAlignment="1" applyProtection="1">
      <alignment horizontal="center" vertical="center" wrapText="1"/>
    </xf>
    <xf numFmtId="0" fontId="24" fillId="0" borderId="1" xfId="2" applyFont="1" applyFill="1" applyBorder="1" applyAlignment="1" applyProtection="1">
      <alignment horizontal="center" vertical="center" wrapText="1"/>
    </xf>
    <xf numFmtId="0" fontId="23" fillId="7" borderId="6" xfId="2" applyFont="1" applyFill="1" applyBorder="1" applyAlignment="1" applyProtection="1">
      <alignment horizontal="left" vertical="center" wrapText="1"/>
    </xf>
    <xf numFmtId="0" fontId="24" fillId="4" borderId="6" xfId="0" applyFont="1" applyFill="1" applyBorder="1" applyAlignment="1">
      <alignment horizontal="left" vertical="center"/>
    </xf>
    <xf numFmtId="14" fontId="21" fillId="4" borderId="6" xfId="2" quotePrefix="1" applyNumberFormat="1" applyFont="1" applyFill="1" applyBorder="1" applyAlignment="1">
      <alignment horizontal="center" vertical="center"/>
    </xf>
    <xf numFmtId="0" fontId="23" fillId="0" borderId="6" xfId="2" applyFont="1" applyFill="1" applyBorder="1" applyAlignment="1" applyProtection="1">
      <alignment vertical="center" wrapText="1"/>
    </xf>
    <xf numFmtId="0" fontId="0" fillId="0" borderId="6" xfId="0" applyFill="1" applyBorder="1"/>
    <xf numFmtId="0" fontId="24" fillId="7" borderId="3" xfId="2" applyFont="1" applyFill="1" applyBorder="1" applyAlignment="1" applyProtection="1">
      <alignment horizontal="center" vertical="center" wrapText="1"/>
    </xf>
    <xf numFmtId="14" fontId="20" fillId="7" borderId="6" xfId="2" quotePrefix="1" applyNumberFormat="1" applyFont="1" applyFill="1" applyBorder="1" applyAlignment="1">
      <alignment horizontal="center" vertical="center"/>
    </xf>
    <xf numFmtId="14" fontId="20" fillId="4" borderId="6" xfId="2" quotePrefix="1" applyNumberFormat="1" applyFont="1" applyFill="1" applyBorder="1" applyAlignment="1">
      <alignment horizontal="center" vertical="center"/>
    </xf>
    <xf numFmtId="0" fontId="24" fillId="4" borderId="6" xfId="16" applyNumberFormat="1" applyFont="1" applyFill="1" applyBorder="1" applyAlignment="1">
      <alignment horizontal="left" vertical="center"/>
    </xf>
    <xf numFmtId="0" fontId="24" fillId="4" borderId="6" xfId="2" applyFont="1" applyFill="1" applyBorder="1" applyAlignment="1" applyProtection="1">
      <alignment vertical="center" wrapText="1"/>
    </xf>
    <xf numFmtId="0" fontId="23" fillId="17" borderId="6" xfId="2" applyFont="1" applyFill="1" applyBorder="1" applyAlignment="1" applyProtection="1">
      <alignment vertical="center" wrapText="1"/>
    </xf>
    <xf numFmtId="14" fontId="21" fillId="17" borderId="6" xfId="2" applyNumberFormat="1" applyFont="1" applyFill="1" applyBorder="1" applyAlignment="1" applyProtection="1">
      <alignment horizontal="center" vertical="center" wrapText="1"/>
    </xf>
    <xf numFmtId="0" fontId="21" fillId="0" borderId="6" xfId="0" applyFont="1" applyFill="1" applyBorder="1" applyAlignment="1"/>
    <xf numFmtId="0" fontId="26" fillId="0" borderId="3" xfId="0" applyFont="1" applyFill="1" applyBorder="1" applyAlignment="1">
      <alignment horizontal="center"/>
    </xf>
    <xf numFmtId="0" fontId="23" fillId="7" borderId="6" xfId="0" applyFont="1" applyFill="1" applyBorder="1" applyAlignment="1">
      <alignment horizontal="center" wrapText="1"/>
    </xf>
    <xf numFmtId="0" fontId="20" fillId="7" borderId="6" xfId="0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4" fillId="15" borderId="11" xfId="2" applyFont="1" applyFill="1" applyBorder="1" applyAlignment="1" applyProtection="1">
      <alignment horizontal="center" vertical="center" wrapText="1"/>
    </xf>
    <xf numFmtId="0" fontId="24" fillId="0" borderId="11" xfId="2" applyFont="1" applyFill="1" applyBorder="1" applyAlignment="1" applyProtection="1">
      <alignment horizontal="center" vertical="center" wrapText="1"/>
    </xf>
    <xf numFmtId="0" fontId="24" fillId="0" borderId="22" xfId="2" applyFont="1" applyFill="1" applyBorder="1" applyAlignment="1" applyProtection="1">
      <alignment horizontal="center" vertical="center" wrapText="1"/>
    </xf>
    <xf numFmtId="0" fontId="24" fillId="15" borderId="22" xfId="2" applyFont="1" applyFill="1" applyBorder="1" applyAlignment="1" applyProtection="1">
      <alignment horizontal="center" vertical="center" wrapText="1"/>
    </xf>
    <xf numFmtId="0" fontId="24" fillId="15" borderId="3" xfId="2" applyFont="1" applyFill="1" applyBorder="1" applyAlignment="1" applyProtection="1">
      <alignment horizontal="center" vertical="center" wrapText="1"/>
    </xf>
    <xf numFmtId="0" fontId="26" fillId="0" borderId="11" xfId="0" applyFont="1" applyFill="1" applyBorder="1" applyAlignment="1">
      <alignment horizontal="center"/>
    </xf>
    <xf numFmtId="0" fontId="26" fillId="0" borderId="11" xfId="0" applyFont="1" applyFill="1" applyBorder="1" applyAlignment="1">
      <alignment horizontal="center" vertical="center"/>
    </xf>
    <xf numFmtId="0" fontId="28" fillId="0" borderId="11" xfId="2" applyFont="1" applyFill="1" applyBorder="1" applyAlignment="1" applyProtection="1">
      <alignment horizontal="center" vertical="center" wrapText="1"/>
    </xf>
    <xf numFmtId="0" fontId="24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8" fillId="0" borderId="3" xfId="2" applyFont="1" applyFill="1" applyBorder="1" applyAlignment="1" applyProtection="1">
      <alignment horizontal="center" vertical="center" wrapText="1"/>
    </xf>
    <xf numFmtId="0" fontId="24" fillId="0" borderId="3" xfId="2" applyFont="1" applyFill="1" applyBorder="1" applyAlignment="1" applyProtection="1">
      <alignment horizontal="center" vertical="center" wrapText="1"/>
    </xf>
    <xf numFmtId="0" fontId="23" fillId="7" borderId="11" xfId="0" applyFont="1" applyFill="1" applyBorder="1" applyAlignment="1">
      <alignment horizontal="center"/>
    </xf>
    <xf numFmtId="0" fontId="24" fillId="15" borderId="6" xfId="2" applyFont="1" applyFill="1" applyBorder="1" applyAlignment="1" applyProtection="1">
      <alignment vertical="center" wrapText="1"/>
    </xf>
    <xf numFmtId="0" fontId="23" fillId="7" borderId="6" xfId="0" applyFont="1" applyFill="1" applyBorder="1" applyAlignment="1">
      <alignment horizontal="left" vertical="center"/>
    </xf>
    <xf numFmtId="0" fontId="23" fillId="4" borderId="6" xfId="16" applyNumberFormat="1" applyFont="1" applyFill="1" applyBorder="1" applyAlignment="1">
      <alignment horizontal="left" vertical="center"/>
    </xf>
    <xf numFmtId="3" fontId="24" fillId="4" borderId="6" xfId="0" applyNumberFormat="1" applyFont="1" applyFill="1" applyBorder="1" applyAlignment="1">
      <alignment horizontal="left" vertical="center"/>
    </xf>
    <xf numFmtId="0" fontId="24" fillId="5" borderId="3" xfId="2" applyFont="1" applyFill="1" applyBorder="1" applyAlignment="1" applyProtection="1">
      <alignment horizontal="center" vertical="center" wrapText="1"/>
    </xf>
    <xf numFmtId="0" fontId="24" fillId="5" borderId="6" xfId="16" applyNumberFormat="1" applyFont="1" applyFill="1" applyBorder="1" applyAlignment="1">
      <alignment horizontal="left" vertical="center"/>
    </xf>
    <xf numFmtId="14" fontId="21" fillId="5" borderId="6" xfId="2" applyNumberFormat="1" applyFont="1" applyFill="1" applyBorder="1" applyAlignment="1" applyProtection="1">
      <alignment horizontal="center" vertical="center" wrapText="1"/>
    </xf>
    <xf numFmtId="14" fontId="31" fillId="4" borderId="0" xfId="0" applyNumberFormat="1" applyFont="1" applyFill="1" applyBorder="1" applyAlignment="1">
      <alignment horizontal="center" vertical="center" wrapText="1"/>
    </xf>
    <xf numFmtId="0" fontId="32" fillId="4" borderId="0" xfId="0" applyFont="1" applyFill="1" applyBorder="1" applyAlignment="1">
      <alignment horizontal="center" vertical="center"/>
    </xf>
    <xf numFmtId="0" fontId="33" fillId="4" borderId="0" xfId="0" applyFont="1" applyFill="1" applyBorder="1" applyAlignment="1">
      <alignment horizontal="center" vertical="center"/>
    </xf>
    <xf numFmtId="14" fontId="22" fillId="0" borderId="11" xfId="0" applyNumberFormat="1" applyFont="1" applyFill="1" applyBorder="1" applyAlignment="1">
      <alignment vertical="center" wrapText="1"/>
    </xf>
    <xf numFmtId="0" fontId="34" fillId="4" borderId="0" xfId="0" applyFont="1" applyFill="1" applyBorder="1"/>
    <xf numFmtId="0" fontId="35" fillId="4" borderId="0" xfId="0" applyFont="1" applyFill="1" applyBorder="1"/>
    <xf numFmtId="14" fontId="20" fillId="15" borderId="6" xfId="0" applyNumberFormat="1" applyFont="1" applyFill="1" applyBorder="1" applyAlignment="1">
      <alignment horizontal="center" vertical="center"/>
    </xf>
    <xf numFmtId="14" fontId="21" fillId="4" borderId="6" xfId="0" applyNumberFormat="1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14" fontId="12" fillId="6" borderId="0" xfId="0" applyNumberFormat="1" applyFont="1" applyFill="1" applyBorder="1" applyAlignment="1">
      <alignment horizontal="center" vertical="center" wrapText="1"/>
    </xf>
    <xf numFmtId="0" fontId="16" fillId="0" borderId="6" xfId="0" applyFont="1" applyBorder="1"/>
    <xf numFmtId="0" fontId="16" fillId="4" borderId="6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5" borderId="0" xfId="0" applyFont="1" applyFill="1" applyAlignment="1">
      <alignment horizontal="center" vertical="center" wrapText="1"/>
    </xf>
    <xf numFmtId="0" fontId="16" fillId="4" borderId="12" xfId="0" applyNumberFormat="1" applyFont="1" applyFill="1" applyBorder="1" applyAlignment="1">
      <alignment horizontal="center" vertical="center"/>
    </xf>
    <xf numFmtId="0" fontId="16" fillId="4" borderId="4" xfId="0" applyNumberFormat="1" applyFont="1" applyFill="1" applyBorder="1" applyAlignment="1">
      <alignment horizontal="center" vertical="center"/>
    </xf>
    <xf numFmtId="0" fontId="16" fillId="4" borderId="25" xfId="0" applyNumberFormat="1" applyFont="1" applyFill="1" applyBorder="1"/>
    <xf numFmtId="0" fontId="16" fillId="4" borderId="25" xfId="0" applyNumberFormat="1" applyFont="1" applyFill="1" applyBorder="1" applyAlignment="1">
      <alignment horizontal="center" vertical="center"/>
    </xf>
    <xf numFmtId="175" fontId="16" fillId="4" borderId="25" xfId="15" applyNumberFormat="1" applyFont="1" applyFill="1" applyBorder="1" applyAlignment="1">
      <alignment wrapText="1"/>
    </xf>
    <xf numFmtId="0" fontId="16" fillId="4" borderId="4" xfId="0" applyNumberFormat="1" applyFont="1" applyFill="1" applyBorder="1"/>
    <xf numFmtId="175" fontId="16" fillId="4" borderId="4" xfId="15" applyNumberFormat="1" applyFont="1" applyFill="1" applyBorder="1" applyAlignment="1">
      <alignment wrapText="1"/>
    </xf>
    <xf numFmtId="0" fontId="16" fillId="4" borderId="6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25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6" xfId="0" applyNumberFormat="1" applyFont="1" applyBorder="1"/>
    <xf numFmtId="0" fontId="7" fillId="0" borderId="12" xfId="0" applyNumberFormat="1" applyFont="1" applyBorder="1"/>
    <xf numFmtId="0" fontId="7" fillId="5" borderId="4" xfId="0" applyFont="1" applyFill="1" applyBorder="1"/>
    <xf numFmtId="0" fontId="7" fillId="5" borderId="4" xfId="0" applyFont="1" applyFill="1" applyBorder="1" applyAlignment="1">
      <alignment horizontal="center"/>
    </xf>
    <xf numFmtId="170" fontId="13" fillId="5" borderId="4" xfId="1" applyNumberFormat="1" applyFont="1" applyFill="1" applyBorder="1" applyAlignment="1">
      <alignment wrapText="1"/>
    </xf>
    <xf numFmtId="0" fontId="7" fillId="0" borderId="25" xfId="0" applyFont="1" applyBorder="1"/>
    <xf numFmtId="0" fontId="7" fillId="4" borderId="25" xfId="0" applyFont="1" applyFill="1" applyBorder="1"/>
    <xf numFmtId="0" fontId="7" fillId="4" borderId="25" xfId="0" applyFont="1" applyFill="1" applyBorder="1" applyAlignment="1">
      <alignment horizontal="center"/>
    </xf>
    <xf numFmtId="170" fontId="7" fillId="4" borderId="25" xfId="1" applyNumberFormat="1" applyFont="1" applyFill="1" applyBorder="1" applyAlignment="1">
      <alignment wrapText="1"/>
    </xf>
    <xf numFmtId="10" fontId="7" fillId="2" borderId="25" xfId="7" applyNumberFormat="1" applyFont="1" applyFill="1" applyBorder="1"/>
    <xf numFmtId="9" fontId="7" fillId="0" borderId="25" xfId="7" applyFont="1" applyBorder="1" applyAlignment="1">
      <alignment wrapText="1"/>
    </xf>
    <xf numFmtId="170" fontId="7" fillId="4" borderId="27" xfId="0" applyNumberFormat="1" applyFont="1" applyFill="1" applyBorder="1" applyAlignment="1">
      <alignment wrapText="1"/>
    </xf>
    <xf numFmtId="173" fontId="13" fillId="0" borderId="6" xfId="0" applyNumberFormat="1" applyFont="1" applyBorder="1"/>
    <xf numFmtId="173" fontId="13" fillId="0" borderId="25" xfId="0" applyNumberFormat="1" applyFont="1" applyBorder="1"/>
    <xf numFmtId="173" fontId="13" fillId="0" borderId="4" xfId="0" applyNumberFormat="1" applyFont="1" applyBorder="1"/>
    <xf numFmtId="0" fontId="36" fillId="10" borderId="15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24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5" fillId="4" borderId="23" xfId="0" applyNumberFormat="1" applyFont="1" applyFill="1" applyBorder="1" applyAlignment="1">
      <alignment horizontal="center" vertical="center"/>
    </xf>
    <xf numFmtId="14" fontId="36" fillId="10" borderId="4" xfId="0" applyNumberFormat="1" applyFont="1" applyFill="1" applyBorder="1" applyAlignment="1">
      <alignment horizontal="center" vertical="center" wrapText="1"/>
    </xf>
    <xf numFmtId="173" fontId="15" fillId="4" borderId="6" xfId="0" applyNumberFormat="1" applyFont="1" applyFill="1" applyBorder="1" applyAlignment="1">
      <alignment horizontal="right"/>
    </xf>
    <xf numFmtId="173" fontId="15" fillId="4" borderId="25" xfId="0" applyNumberFormat="1" applyFont="1" applyFill="1" applyBorder="1" applyAlignment="1">
      <alignment horizontal="right"/>
    </xf>
    <xf numFmtId="173" fontId="15" fillId="4" borderId="4" xfId="0" applyNumberFormat="1" applyFont="1" applyFill="1" applyBorder="1" applyAlignment="1">
      <alignment horizontal="right"/>
    </xf>
    <xf numFmtId="0" fontId="37" fillId="0" borderId="0" xfId="0" applyFont="1"/>
    <xf numFmtId="0" fontId="36" fillId="10" borderId="4" xfId="0" applyFont="1" applyFill="1" applyBorder="1" applyAlignment="1">
      <alignment horizontal="center" vertical="center" wrapText="1"/>
    </xf>
    <xf numFmtId="175" fontId="36" fillId="9" borderId="4" xfId="15" applyNumberFormat="1" applyFont="1" applyFill="1" applyBorder="1" applyAlignment="1">
      <alignment horizontal="center" vertical="center" wrapText="1"/>
    </xf>
    <xf numFmtId="175" fontId="36" fillId="15" borderId="4" xfId="15" applyNumberFormat="1" applyFont="1" applyFill="1" applyBorder="1" applyAlignment="1">
      <alignment horizontal="center" vertical="center" wrapText="1"/>
    </xf>
    <xf numFmtId="0" fontId="7" fillId="0" borderId="11" xfId="0" applyNumberFormat="1" applyFont="1" applyBorder="1"/>
    <xf numFmtId="176" fontId="7" fillId="0" borderId="0" xfId="0" applyNumberFormat="1" applyFont="1"/>
    <xf numFmtId="175" fontId="36" fillId="10" borderId="10" xfId="15" applyNumberFormat="1" applyFont="1" applyFill="1" applyBorder="1" applyAlignment="1">
      <alignment horizontal="center" vertical="center" wrapText="1"/>
    </xf>
    <xf numFmtId="175" fontId="16" fillId="13" borderId="11" xfId="15" applyNumberFormat="1" applyFont="1" applyFill="1" applyBorder="1" applyAlignment="1">
      <alignment wrapText="1"/>
    </xf>
    <xf numFmtId="175" fontId="16" fillId="13" borderId="13" xfId="15" applyNumberFormat="1" applyFont="1" applyFill="1" applyBorder="1" applyAlignment="1">
      <alignment wrapText="1"/>
    </xf>
    <xf numFmtId="175" fontId="16" fillId="13" borderId="27" xfId="15" applyNumberFormat="1" applyFont="1" applyFill="1" applyBorder="1" applyAlignment="1">
      <alignment wrapText="1"/>
    </xf>
    <xf numFmtId="175" fontId="16" fillId="13" borderId="10" xfId="15" applyNumberFormat="1" applyFont="1" applyFill="1" applyBorder="1" applyAlignment="1">
      <alignment wrapText="1"/>
    </xf>
    <xf numFmtId="175" fontId="0" fillId="0" borderId="0" xfId="15" applyNumberFormat="1" applyFont="1"/>
    <xf numFmtId="175" fontId="36" fillId="10" borderId="4" xfId="15" applyNumberFormat="1" applyFont="1" applyFill="1" applyBorder="1" applyAlignment="1">
      <alignment horizontal="center" vertical="center" wrapText="1"/>
    </xf>
    <xf numFmtId="175" fontId="36" fillId="8" borderId="16" xfId="15" applyNumberFormat="1" applyFont="1" applyFill="1" applyBorder="1" applyAlignment="1">
      <alignment horizontal="center" vertical="center" wrapText="1"/>
    </xf>
    <xf numFmtId="175" fontId="16" fillId="2" borderId="6" xfId="15" applyNumberFormat="1" applyFont="1" applyFill="1" applyBorder="1" applyAlignment="1">
      <alignment wrapText="1"/>
    </xf>
    <xf numFmtId="175" fontId="16" fillId="8" borderId="14" xfId="15" applyNumberFormat="1" applyFont="1" applyFill="1" applyBorder="1" applyAlignment="1">
      <alignment wrapText="1"/>
    </xf>
    <xf numFmtId="175" fontId="16" fillId="2" borderId="12" xfId="15" applyNumberFormat="1" applyFont="1" applyFill="1" applyBorder="1" applyAlignment="1">
      <alignment wrapText="1"/>
    </xf>
    <xf numFmtId="175" fontId="16" fillId="8" borderId="18" xfId="15" applyNumberFormat="1" applyFont="1" applyFill="1" applyBorder="1" applyAlignment="1">
      <alignment wrapText="1"/>
    </xf>
    <xf numFmtId="175" fontId="16" fillId="2" borderId="25" xfId="15" applyNumberFormat="1" applyFont="1" applyFill="1" applyBorder="1" applyAlignment="1">
      <alignment wrapText="1"/>
    </xf>
    <xf numFmtId="175" fontId="16" fillId="8" borderId="26" xfId="15" applyNumberFormat="1" applyFont="1" applyFill="1" applyBorder="1" applyAlignment="1">
      <alignment wrapText="1"/>
    </xf>
    <xf numFmtId="175" fontId="16" fillId="2" borderId="4" xfId="15" applyNumberFormat="1" applyFont="1" applyFill="1" applyBorder="1" applyAlignment="1">
      <alignment wrapText="1"/>
    </xf>
    <xf numFmtId="175" fontId="16" fillId="8" borderId="16" xfId="15" applyNumberFormat="1" applyFont="1" applyFill="1" applyBorder="1" applyAlignment="1">
      <alignment wrapText="1"/>
    </xf>
    <xf numFmtId="175" fontId="7" fillId="0" borderId="0" xfId="15" applyNumberFormat="1" applyFont="1"/>
    <xf numFmtId="172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6" xfId="0" applyFont="1" applyBorder="1"/>
    <xf numFmtId="0" fontId="2" fillId="0" borderId="6" xfId="0" applyFont="1" applyBorder="1" applyAlignment="1">
      <alignment horizontal="center" vertical="center"/>
    </xf>
    <xf numFmtId="0" fontId="38" fillId="0" borderId="0" xfId="0" pivotButton="1" applyFont="1"/>
    <xf numFmtId="0" fontId="38" fillId="0" borderId="0" xfId="0" applyFont="1" applyAlignment="1">
      <alignment horizontal="left"/>
    </xf>
    <xf numFmtId="173" fontId="38" fillId="0" borderId="0" xfId="0" applyNumberFormat="1" applyFont="1" applyAlignment="1">
      <alignment horizontal="left"/>
    </xf>
    <xf numFmtId="0" fontId="38" fillId="0" borderId="0" xfId="0" applyFont="1" applyAlignment="1">
      <alignment horizontal="left" indent="1"/>
    </xf>
    <xf numFmtId="175" fontId="38" fillId="0" borderId="0" xfId="0" applyNumberFormat="1" applyFont="1"/>
    <xf numFmtId="0" fontId="38" fillId="5" borderId="0" xfId="0" applyFont="1" applyFill="1"/>
    <xf numFmtId="0" fontId="38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0" fontId="38" fillId="0" borderId="0" xfId="0" applyNumberFormat="1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10" fontId="7" fillId="0" borderId="0" xfId="7" applyNumberFormat="1" applyFont="1" applyAlignment="1">
      <alignment horizontal="center" vertical="center" wrapText="1"/>
    </xf>
    <xf numFmtId="173" fontId="38" fillId="0" borderId="0" xfId="0" applyNumberFormat="1" applyFont="1" applyAlignment="1">
      <alignment horizontal="center" vertical="center" wrapText="1"/>
    </xf>
    <xf numFmtId="10" fontId="38" fillId="5" borderId="0" xfId="0" applyNumberFormat="1" applyFont="1" applyFill="1" applyAlignment="1">
      <alignment horizontal="center" vertical="center" wrapText="1"/>
    </xf>
    <xf numFmtId="10" fontId="38" fillId="0" borderId="0" xfId="0" applyNumberFormat="1" applyFont="1" applyAlignment="1">
      <alignment horizontal="center" vertical="center" wrapText="1"/>
    </xf>
    <xf numFmtId="0" fontId="39" fillId="0" borderId="6" xfId="0" applyFont="1" applyBorder="1" applyAlignment="1">
      <alignment horizontal="left" vertical="center"/>
    </xf>
    <xf numFmtId="0" fontId="39" fillId="10" borderId="6" xfId="0" applyFont="1" applyFill="1" applyBorder="1" applyAlignment="1">
      <alignment horizontal="left" vertical="center"/>
    </xf>
    <xf numFmtId="0" fontId="39" fillId="2" borderId="6" xfId="0" applyFont="1" applyFill="1" applyBorder="1" applyAlignment="1">
      <alignment horizontal="left" vertical="center"/>
    </xf>
    <xf numFmtId="0" fontId="39" fillId="8" borderId="6" xfId="0" applyFont="1" applyFill="1" applyBorder="1" applyAlignment="1">
      <alignment horizontal="left" vertical="center"/>
    </xf>
    <xf numFmtId="0" fontId="39" fillId="0" borderId="6" xfId="0" applyFont="1" applyBorder="1" applyAlignment="1">
      <alignment horizontal="left" vertical="center" wrapText="1"/>
    </xf>
    <xf numFmtId="0" fontId="39" fillId="4" borderId="6" xfId="0" applyFont="1" applyFill="1" applyBorder="1" applyAlignment="1">
      <alignment horizontal="left" vertical="center" wrapText="1"/>
    </xf>
    <xf numFmtId="0" fontId="39" fillId="10" borderId="6" xfId="0" applyFont="1" applyFill="1" applyBorder="1" applyAlignment="1">
      <alignment horizontal="left" vertical="center" wrapText="1"/>
    </xf>
    <xf numFmtId="0" fontId="39" fillId="2" borderId="6" xfId="0" applyFont="1" applyFill="1" applyBorder="1" applyAlignment="1">
      <alignment horizontal="left" vertical="center" wrapText="1"/>
    </xf>
    <xf numFmtId="0" fontId="39" fillId="8" borderId="6" xfId="0" applyFont="1" applyFill="1" applyBorder="1" applyAlignment="1">
      <alignment horizontal="left" vertical="center" wrapText="1"/>
    </xf>
    <xf numFmtId="0" fontId="17" fillId="4" borderId="6" xfId="0" applyFont="1" applyFill="1" applyBorder="1" applyAlignment="1">
      <alignment horizontal="center" vertical="center"/>
    </xf>
    <xf numFmtId="0" fontId="40" fillId="0" borderId="0" xfId="0" pivotButton="1" applyFont="1"/>
    <xf numFmtId="0" fontId="40" fillId="0" borderId="0" xfId="0" applyFont="1" applyAlignment="1">
      <alignment horizontal="left"/>
    </xf>
    <xf numFmtId="14" fontId="40" fillId="0" borderId="0" xfId="0" applyNumberFormat="1" applyFont="1" applyAlignment="1">
      <alignment horizontal="left"/>
    </xf>
    <xf numFmtId="0" fontId="40" fillId="0" borderId="0" xfId="0" applyFont="1"/>
    <xf numFmtId="0" fontId="40" fillId="0" borderId="0" xfId="0" applyFont="1" applyAlignment="1">
      <alignment horizontal="left" wrapText="1"/>
    </xf>
    <xf numFmtId="14" fontId="40" fillId="0" borderId="0" xfId="0" applyNumberFormat="1" applyFont="1" applyAlignment="1">
      <alignment horizontal="left" wrapText="1"/>
    </xf>
    <xf numFmtId="0" fontId="40" fillId="0" borderId="0" xfId="0" applyFont="1" applyAlignment="1">
      <alignment wrapText="1"/>
    </xf>
    <xf numFmtId="0" fontId="41" fillId="5" borderId="0" xfId="0" applyFont="1" applyFill="1" applyAlignment="1">
      <alignment horizontal="center" vertical="center"/>
    </xf>
    <xf numFmtId="0" fontId="40" fillId="0" borderId="0" xfId="0" applyNumberFormat="1" applyFont="1" applyAlignment="1">
      <alignment horizontal="center" wrapText="1"/>
    </xf>
    <xf numFmtId="166" fontId="40" fillId="0" borderId="0" xfId="0" applyNumberFormat="1" applyFont="1" applyAlignment="1">
      <alignment horizontal="center" vertical="center" wrapText="1"/>
    </xf>
    <xf numFmtId="0" fontId="40" fillId="0" borderId="0" xfId="0" applyNumberFormat="1" applyFont="1" applyAlignment="1">
      <alignment horizontal="center" vertical="center" wrapText="1"/>
    </xf>
    <xf numFmtId="0" fontId="41" fillId="5" borderId="0" xfId="0" applyFont="1" applyFill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166" fontId="41" fillId="5" borderId="0" xfId="0" applyNumberFormat="1" applyFont="1" applyFill="1" applyAlignment="1">
      <alignment horizontal="center" vertical="center" wrapText="1"/>
    </xf>
    <xf numFmtId="172" fontId="40" fillId="0" borderId="0" xfId="0" applyNumberFormat="1" applyFont="1" applyAlignment="1">
      <alignment horizontal="center" wrapText="1"/>
    </xf>
    <xf numFmtId="172" fontId="41" fillId="5" borderId="0" xfId="0" applyNumberFormat="1" applyFont="1" applyFill="1" applyAlignment="1">
      <alignment horizontal="center" vertical="center" wrapText="1"/>
    </xf>
    <xf numFmtId="0" fontId="16" fillId="0" borderId="0" xfId="0" applyFont="1" applyBorder="1"/>
    <xf numFmtId="0" fontId="44" fillId="0" borderId="0" xfId="0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1" fillId="0" borderId="0" xfId="0" applyFont="1" applyBorder="1" applyAlignment="1">
      <alignment vertical="center"/>
    </xf>
    <xf numFmtId="0" fontId="46" fillId="0" borderId="6" xfId="0" applyFont="1" applyBorder="1" applyAlignment="1">
      <alignment horizontal="center" vertical="center"/>
    </xf>
    <xf numFmtId="0" fontId="46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quotePrefix="1" applyAlignment="1">
      <alignment vertical="center"/>
    </xf>
    <xf numFmtId="0" fontId="47" fillId="0" borderId="0" xfId="0" quotePrefix="1" applyFont="1" applyBorder="1" applyAlignment="1">
      <alignment vertical="center"/>
    </xf>
    <xf numFmtId="0" fontId="47" fillId="0" borderId="0" xfId="0" applyFont="1" applyBorder="1" applyAlignment="1">
      <alignment vertical="center"/>
    </xf>
    <xf numFmtId="0" fontId="47" fillId="0" borderId="0" xfId="0" quotePrefix="1" applyFont="1" applyBorder="1" applyAlignment="1">
      <alignment horizontal="left" vertical="center"/>
    </xf>
    <xf numFmtId="0" fontId="47" fillId="0" borderId="0" xfId="0" applyFont="1" applyBorder="1" applyAlignment="1">
      <alignment horizontal="right" vertical="center"/>
    </xf>
    <xf numFmtId="0" fontId="49" fillId="0" borderId="0" xfId="0" applyFont="1" applyBorder="1" applyAlignment="1">
      <alignment vertical="center"/>
    </xf>
    <xf numFmtId="0" fontId="47" fillId="0" borderId="0" xfId="0" applyFont="1" applyBorder="1" applyAlignment="1">
      <alignment horizontal="left" vertical="center"/>
    </xf>
    <xf numFmtId="178" fontId="49" fillId="0" borderId="0" xfId="0" applyNumberFormat="1" applyFont="1" applyBorder="1" applyAlignment="1">
      <alignment horizontal="right" vertical="center"/>
    </xf>
    <xf numFmtId="168" fontId="49" fillId="0" borderId="0" xfId="0" applyNumberFormat="1" applyFont="1" applyBorder="1" applyAlignment="1">
      <alignment horizontal="left" vertical="center"/>
    </xf>
    <xf numFmtId="178" fontId="49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43" fontId="15" fillId="0" borderId="0" xfId="1" applyFont="1" applyBorder="1" applyAlignment="1">
      <alignment horizontal="right" vertical="center"/>
    </xf>
    <xf numFmtId="166" fontId="49" fillId="0" borderId="0" xfId="0" applyNumberFormat="1" applyFont="1" applyBorder="1" applyAlignment="1">
      <alignment horizontal="left" vertical="center"/>
    </xf>
    <xf numFmtId="41" fontId="49" fillId="0" borderId="0" xfId="0" applyNumberFormat="1" applyFont="1" applyBorder="1" applyAlignment="1">
      <alignment horizontal="left" vertical="center"/>
    </xf>
    <xf numFmtId="0" fontId="40" fillId="0" borderId="6" xfId="11" applyFont="1" applyBorder="1"/>
    <xf numFmtId="0" fontId="51" fillId="0" borderId="0" xfId="0" applyFont="1" applyBorder="1" applyAlignment="1">
      <alignment vertical="center"/>
    </xf>
    <xf numFmtId="0" fontId="7" fillId="0" borderId="6" xfId="11" applyFont="1" applyBorder="1"/>
    <xf numFmtId="0" fontId="11" fillId="3" borderId="6" xfId="0" applyFont="1" applyFill="1" applyBorder="1"/>
    <xf numFmtId="0" fontId="41" fillId="0" borderId="0" xfId="0" applyFont="1" applyBorder="1" applyAlignment="1">
      <alignment horizontal="center" vertical="center"/>
    </xf>
    <xf numFmtId="0" fontId="52" fillId="0" borderId="0" xfId="0" applyFont="1" applyAlignment="1">
      <alignment vertical="center"/>
    </xf>
    <xf numFmtId="9" fontId="52" fillId="0" borderId="0" xfId="7" applyFont="1" applyAlignment="1">
      <alignment vertical="center"/>
    </xf>
    <xf numFmtId="0" fontId="52" fillId="0" borderId="0" xfId="0" quotePrefix="1" applyFont="1" applyAlignment="1">
      <alignment vertical="center"/>
    </xf>
    <xf numFmtId="0" fontId="37" fillId="0" borderId="0" xfId="0" applyFont="1" applyAlignment="1">
      <alignment vertical="center"/>
    </xf>
    <xf numFmtId="0" fontId="54" fillId="4" borderId="0" xfId="0" applyNumberFormat="1" applyFont="1" applyFill="1" applyBorder="1"/>
    <xf numFmtId="0" fontId="50" fillId="0" borderId="0" xfId="0" applyFont="1" applyBorder="1" applyAlignment="1">
      <alignment vertical="center"/>
    </xf>
    <xf numFmtId="0" fontId="55" fillId="4" borderId="0" xfId="0" applyNumberFormat="1" applyFont="1" applyFill="1" applyBorder="1"/>
    <xf numFmtId="0" fontId="11" fillId="4" borderId="6" xfId="0" applyFont="1" applyFill="1" applyBorder="1"/>
    <xf numFmtId="0" fontId="12" fillId="4" borderId="0" xfId="0" applyNumberFormat="1" applyFont="1" applyFill="1" applyBorder="1"/>
    <xf numFmtId="0" fontId="56" fillId="4" borderId="0" xfId="0" applyNumberFormat="1" applyFont="1" applyFill="1" applyBorder="1"/>
    <xf numFmtId="20" fontId="0" fillId="0" borderId="0" xfId="0" applyNumberFormat="1" applyAlignment="1">
      <alignment vertical="center"/>
    </xf>
    <xf numFmtId="0" fontId="57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58" fillId="4" borderId="6" xfId="0" applyFont="1" applyFill="1" applyBorder="1"/>
    <xf numFmtId="0" fontId="47" fillId="0" borderId="6" xfId="0" applyFont="1" applyBorder="1" applyAlignment="1">
      <alignment vertical="center"/>
    </xf>
    <xf numFmtId="0" fontId="47" fillId="5" borderId="6" xfId="0" applyFont="1" applyFill="1" applyBorder="1" applyAlignment="1">
      <alignment vertical="center"/>
    </xf>
    <xf numFmtId="0" fontId="47" fillId="0" borderId="0" xfId="0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0" fontId="41" fillId="0" borderId="0" xfId="0" applyFont="1" applyBorder="1" applyAlignment="1">
      <alignment horizontal="center" vertical="center"/>
    </xf>
    <xf numFmtId="0" fontId="47" fillId="0" borderId="0" xfId="0" applyFont="1" applyBorder="1" applyAlignment="1">
      <alignment horizontal="center" vertical="center"/>
    </xf>
    <xf numFmtId="0" fontId="53" fillId="4" borderId="0" xfId="0" applyNumberFormat="1" applyFont="1" applyFill="1" applyBorder="1" applyAlignment="1">
      <alignment horizontal="center"/>
    </xf>
    <xf numFmtId="0" fontId="13" fillId="0" borderId="6" xfId="0" applyFont="1" applyBorder="1" applyAlignment="1">
      <alignment vertical="center"/>
    </xf>
    <xf numFmtId="0" fontId="37" fillId="0" borderId="6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3" fillId="0" borderId="11" xfId="0" applyFont="1" applyBorder="1" applyAlignment="1">
      <alignment vertical="center"/>
    </xf>
    <xf numFmtId="0" fontId="37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4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1" xfId="0" applyFont="1" applyBorder="1"/>
    <xf numFmtId="0" fontId="40" fillId="0" borderId="1" xfId="11" applyFont="1" applyBorder="1"/>
    <xf numFmtId="0" fontId="7" fillId="0" borderId="1" xfId="11" applyFont="1" applyBorder="1"/>
    <xf numFmtId="0" fontId="11" fillId="3" borderId="1" xfId="0" applyFont="1" applyFill="1" applyBorder="1"/>
    <xf numFmtId="0" fontId="11" fillId="4" borderId="1" xfId="0" applyFont="1" applyFill="1" applyBorder="1"/>
    <xf numFmtId="0" fontId="0" fillId="0" borderId="1" xfId="0" applyFont="1" applyBorder="1" applyAlignment="1">
      <alignment vertical="center"/>
    </xf>
    <xf numFmtId="0" fontId="58" fillId="4" borderId="1" xfId="0" applyFont="1" applyFill="1" applyBorder="1"/>
    <xf numFmtId="0" fontId="57" fillId="0" borderId="1" xfId="0" applyFont="1" applyBorder="1" applyAlignment="1">
      <alignment vertical="center"/>
    </xf>
    <xf numFmtId="0" fontId="17" fillId="4" borderId="1" xfId="11" applyFont="1" applyFill="1" applyBorder="1"/>
    <xf numFmtId="9" fontId="52" fillId="0" borderId="6" xfId="7" applyFont="1" applyBorder="1" applyAlignment="1">
      <alignment vertical="center"/>
    </xf>
    <xf numFmtId="0" fontId="52" fillId="0" borderId="6" xfId="0" applyFont="1" applyBorder="1" applyAlignment="1">
      <alignment vertical="center"/>
    </xf>
    <xf numFmtId="20" fontId="0" fillId="0" borderId="6" xfId="0" applyNumberFormat="1" applyBorder="1" applyAlignment="1">
      <alignment vertical="center"/>
    </xf>
    <xf numFmtId="0" fontId="1" fillId="0" borderId="0" xfId="0" applyFont="1" applyAlignment="1">
      <alignment vertical="center"/>
    </xf>
    <xf numFmtId="0" fontId="13" fillId="16" borderId="11" xfId="0" applyFont="1" applyFill="1" applyBorder="1" applyAlignment="1">
      <alignment vertical="center"/>
    </xf>
    <xf numFmtId="0" fontId="37" fillId="16" borderId="11" xfId="0" applyFont="1" applyFill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0" fontId="6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quotePrefix="1" applyFont="1" applyBorder="1" applyAlignment="1">
      <alignment horizontal="left" vertical="center"/>
    </xf>
    <xf numFmtId="0" fontId="36" fillId="0" borderId="0" xfId="0" applyFont="1" applyBorder="1" applyAlignment="1">
      <alignment vertical="center"/>
    </xf>
    <xf numFmtId="0" fontId="36" fillId="0" borderId="0" xfId="0" applyFont="1" applyBorder="1" applyAlignment="1">
      <alignment horizontal="left" vertical="center"/>
    </xf>
    <xf numFmtId="0" fontId="60" fillId="0" borderId="0" xfId="0" quotePrefix="1" applyFont="1" applyAlignment="1">
      <alignment vertical="center"/>
    </xf>
    <xf numFmtId="178" fontId="10" fillId="0" borderId="0" xfId="0" applyNumberFormat="1" applyFont="1" applyBorder="1" applyAlignment="1">
      <alignment horizontal="right" vertical="center"/>
    </xf>
    <xf numFmtId="168" fontId="10" fillId="0" borderId="0" xfId="0" applyNumberFormat="1" applyFont="1" applyBorder="1" applyAlignment="1">
      <alignment horizontal="left" vertical="center"/>
    </xf>
    <xf numFmtId="178" fontId="10" fillId="0" borderId="0" xfId="0" applyNumberFormat="1" applyFont="1" applyBorder="1" applyAlignment="1">
      <alignment horizontal="left" vertical="center"/>
    </xf>
    <xf numFmtId="2" fontId="60" fillId="0" borderId="0" xfId="0" applyNumberFormat="1" applyFont="1" applyAlignment="1">
      <alignment vertical="center"/>
    </xf>
    <xf numFmtId="169" fontId="36" fillId="0" borderId="0" xfId="1" applyNumberFormat="1" applyFont="1" applyBorder="1" applyAlignment="1">
      <alignment horizontal="right" vertical="center"/>
    </xf>
    <xf numFmtId="0" fontId="36" fillId="0" borderId="0" xfId="0" quotePrefix="1" applyFont="1" applyBorder="1" applyAlignment="1">
      <alignment vertical="center"/>
    </xf>
    <xf numFmtId="43" fontId="36" fillId="0" borderId="0" xfId="1" applyFont="1" applyBorder="1" applyAlignment="1">
      <alignment horizontal="right" vertical="center"/>
    </xf>
    <xf numFmtId="166" fontId="10" fillId="0" borderId="0" xfId="0" applyNumberFormat="1" applyFont="1" applyBorder="1" applyAlignment="1">
      <alignment horizontal="left" vertical="center"/>
    </xf>
    <xf numFmtId="0" fontId="36" fillId="0" borderId="0" xfId="0" quotePrefix="1" applyFont="1" applyBorder="1" applyAlignment="1">
      <alignment horizontal="left" vertical="center"/>
    </xf>
    <xf numFmtId="41" fontId="10" fillId="0" borderId="0" xfId="0" applyNumberFormat="1" applyFont="1" applyBorder="1" applyAlignment="1">
      <alignment horizontal="left" vertical="center"/>
    </xf>
    <xf numFmtId="0" fontId="36" fillId="0" borderId="0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horizontal="right" vertical="center"/>
    </xf>
    <xf numFmtId="0" fontId="62" fillId="0" borderId="0" xfId="0" applyFont="1" applyAlignment="1">
      <alignment horizontal="right" vertical="center"/>
    </xf>
    <xf numFmtId="0" fontId="63" fillId="0" borderId="0" xfId="0" applyFont="1" applyBorder="1" applyAlignment="1">
      <alignment vertical="center"/>
    </xf>
    <xf numFmtId="15" fontId="20" fillId="15" borderId="6" xfId="17" applyNumberFormat="1" applyFont="1" applyFill="1" applyBorder="1" applyAlignment="1">
      <alignment horizontal="center" vertical="center"/>
    </xf>
    <xf numFmtId="15" fontId="21" fillId="7" borderId="6" xfId="17" applyNumberFormat="1" applyFont="1" applyFill="1" applyBorder="1" applyAlignment="1">
      <alignment horizontal="center" vertical="center"/>
    </xf>
    <xf numFmtId="15" fontId="21" fillId="4" borderId="6" xfId="17" applyNumberFormat="1" applyFont="1" applyFill="1" applyBorder="1" applyAlignment="1">
      <alignment horizontal="center" vertical="center"/>
    </xf>
    <xf numFmtId="15" fontId="21" fillId="15" borderId="6" xfId="17" applyNumberFormat="1" applyFont="1" applyFill="1" applyBorder="1" applyAlignment="1">
      <alignment horizontal="center" vertical="center"/>
    </xf>
    <xf numFmtId="15" fontId="20" fillId="7" borderId="6" xfId="17" applyNumberFormat="1" applyFont="1" applyFill="1" applyBorder="1" applyAlignment="1">
      <alignment horizontal="center" vertical="center"/>
    </xf>
    <xf numFmtId="15" fontId="21" fillId="0" borderId="6" xfId="17" applyNumberFormat="1" applyFont="1" applyFill="1" applyBorder="1" applyAlignment="1">
      <alignment horizontal="center" vertical="center"/>
    </xf>
    <xf numFmtId="15" fontId="20" fillId="4" borderId="6" xfId="17" applyNumberFormat="1" applyFont="1" applyFill="1" applyBorder="1" applyAlignment="1">
      <alignment horizontal="center" vertical="center"/>
    </xf>
    <xf numFmtId="15" fontId="21" fillId="17" borderId="6" xfId="17" applyNumberFormat="1" applyFont="1" applyFill="1" applyBorder="1" applyAlignment="1">
      <alignment horizontal="center" vertical="center"/>
    </xf>
    <xf numFmtId="15" fontId="21" fillId="5" borderId="6" xfId="17" applyNumberFormat="1" applyFont="1" applyFill="1" applyBorder="1" applyAlignment="1">
      <alignment horizontal="center" vertical="center"/>
    </xf>
    <xf numFmtId="15" fontId="21" fillId="4" borderId="6" xfId="17" applyNumberFormat="1" applyFont="1" applyFill="1" applyBorder="1" applyAlignment="1">
      <alignment horizontal="center" vertical="center" wrapText="1"/>
    </xf>
    <xf numFmtId="0" fontId="53" fillId="4" borderId="0" xfId="0" applyNumberFormat="1" applyFont="1" applyFill="1" applyBorder="1" applyAlignment="1">
      <alignment horizontal="center"/>
    </xf>
    <xf numFmtId="0" fontId="47" fillId="0" borderId="0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left" vertical="center"/>
    </xf>
    <xf numFmtId="0" fontId="36" fillId="0" borderId="0" xfId="0" quotePrefix="1" applyFont="1" applyBorder="1" applyAlignment="1">
      <alignment horizontal="left" vertical="center"/>
    </xf>
    <xf numFmtId="0" fontId="27" fillId="7" borderId="4" xfId="2" applyFont="1" applyFill="1" applyBorder="1" applyAlignment="1" applyProtection="1">
      <alignment horizontal="center" vertical="center" wrapText="1"/>
    </xf>
    <xf numFmtId="0" fontId="23" fillId="7" borderId="6" xfId="2" applyFont="1" applyFill="1" applyBorder="1" applyAlignment="1" applyProtection="1">
      <alignment horizontal="center" vertical="center" wrapText="1"/>
    </xf>
    <xf numFmtId="0" fontId="23" fillId="15" borderId="4" xfId="2" applyFont="1" applyFill="1" applyBorder="1" applyAlignment="1" applyProtection="1">
      <alignment horizontal="center" vertical="center" wrapText="1"/>
    </xf>
    <xf numFmtId="0" fontId="25" fillId="15" borderId="4" xfId="0" applyFont="1" applyFill="1" applyBorder="1" applyAlignment="1">
      <alignment horizontal="center" vertical="center"/>
    </xf>
    <xf numFmtId="0" fontId="16" fillId="18" borderId="6" xfId="0" applyFont="1" applyFill="1" applyBorder="1" applyAlignment="1">
      <alignment horizontal="left" vertical="center"/>
    </xf>
    <xf numFmtId="0" fontId="16" fillId="0" borderId="2" xfId="11" applyFont="1" applyBorder="1"/>
    <xf numFmtId="0" fontId="39" fillId="18" borderId="6" xfId="0" applyFont="1" applyFill="1" applyBorder="1" applyAlignment="1">
      <alignment horizontal="left" vertical="center"/>
    </xf>
    <xf numFmtId="0" fontId="39" fillId="18" borderId="6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center" vertical="center"/>
    </xf>
    <xf numFmtId="43" fontId="16" fillId="0" borderId="0" xfId="17" applyFont="1"/>
    <xf numFmtId="0" fontId="16" fillId="14" borderId="6" xfId="0" applyFont="1" applyFill="1" applyBorder="1" applyAlignment="1">
      <alignment horizontal="left" vertical="center"/>
    </xf>
    <xf numFmtId="0" fontId="39" fillId="14" borderId="6" xfId="0" applyFont="1" applyFill="1" applyBorder="1" applyAlignment="1">
      <alignment horizontal="left" vertical="center"/>
    </xf>
    <xf numFmtId="0" fontId="39" fillId="14" borderId="6" xfId="0" applyFont="1" applyFill="1" applyBorder="1" applyAlignment="1">
      <alignment horizontal="left" vertical="center" wrapText="1"/>
    </xf>
    <xf numFmtId="0" fontId="16" fillId="12" borderId="6" xfId="0" applyFont="1" applyFill="1" applyBorder="1" applyAlignment="1">
      <alignment horizontal="left" vertical="center"/>
    </xf>
    <xf numFmtId="0" fontId="39" fillId="12" borderId="6" xfId="0" applyFont="1" applyFill="1" applyBorder="1" applyAlignment="1">
      <alignment horizontal="left" vertical="center"/>
    </xf>
    <xf numFmtId="0" fontId="39" fillId="12" borderId="6" xfId="0" applyFont="1" applyFill="1" applyBorder="1" applyAlignment="1">
      <alignment horizontal="left" vertical="center" wrapText="1"/>
    </xf>
    <xf numFmtId="0" fontId="16" fillId="14" borderId="6" xfId="0" applyFont="1" applyFill="1" applyBorder="1" applyAlignment="1">
      <alignment horizontal="left"/>
    </xf>
    <xf numFmtId="0" fontId="39" fillId="14" borderId="6" xfId="0" applyFont="1" applyFill="1" applyBorder="1" applyAlignment="1">
      <alignment vertical="center"/>
    </xf>
    <xf numFmtId="0" fontId="39" fillId="14" borderId="6" xfId="0" applyFont="1" applyFill="1" applyBorder="1" applyAlignment="1">
      <alignment vertical="center" wrapText="1"/>
    </xf>
    <xf numFmtId="0" fontId="16" fillId="5" borderId="6" xfId="0" applyFont="1" applyFill="1" applyBorder="1" applyAlignment="1">
      <alignment horizontal="left"/>
    </xf>
    <xf numFmtId="0" fontId="39" fillId="5" borderId="6" xfId="0" applyFont="1" applyFill="1" applyBorder="1" applyAlignment="1">
      <alignment horizontal="left" vertical="center"/>
    </xf>
    <xf numFmtId="0" fontId="39" fillId="5" borderId="6" xfId="0" applyFont="1" applyFill="1" applyBorder="1" applyAlignment="1">
      <alignment horizontal="left" vertical="center" wrapText="1"/>
    </xf>
    <xf numFmtId="0" fontId="16" fillId="5" borderId="6" xfId="0" applyFont="1" applyFill="1" applyBorder="1" applyAlignment="1">
      <alignment horizontal="left" vertical="center"/>
    </xf>
    <xf numFmtId="0" fontId="16" fillId="7" borderId="6" xfId="0" applyFont="1" applyFill="1" applyBorder="1" applyAlignment="1">
      <alignment horizontal="left"/>
    </xf>
    <xf numFmtId="0" fontId="39" fillId="7" borderId="6" xfId="0" applyFont="1" applyFill="1" applyBorder="1" applyAlignment="1">
      <alignment horizontal="left" vertical="center"/>
    </xf>
    <xf numFmtId="0" fontId="39" fillId="7" borderId="6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/>
    </xf>
    <xf numFmtId="0" fontId="13" fillId="7" borderId="6" xfId="0" applyFont="1" applyFill="1" applyBorder="1" applyAlignment="1">
      <alignment horizontal="left"/>
    </xf>
    <xf numFmtId="0" fontId="39" fillId="4" borderId="6" xfId="0" applyFont="1" applyFill="1" applyBorder="1" applyAlignment="1">
      <alignment vertical="center"/>
    </xf>
    <xf numFmtId="0" fontId="39" fillId="4" borderId="6" xfId="0" applyFont="1" applyFill="1" applyBorder="1" applyAlignment="1">
      <alignment vertical="center" wrapText="1"/>
    </xf>
    <xf numFmtId="0" fontId="64" fillId="4" borderId="0" xfId="0" applyFont="1" applyFill="1" applyAlignment="1">
      <alignment horizontal="center" vertical="center"/>
    </xf>
    <xf numFmtId="177" fontId="65" fillId="4" borderId="0" xfId="0" applyNumberFormat="1" applyFont="1" applyFill="1" applyAlignment="1">
      <alignment horizontal="center"/>
    </xf>
    <xf numFmtId="177" fontId="64" fillId="4" borderId="0" xfId="0" applyNumberFormat="1" applyFont="1" applyFill="1" applyAlignment="1">
      <alignment horizontal="left" vertical="center"/>
    </xf>
    <xf numFmtId="0" fontId="64" fillId="4" borderId="0" xfId="0" applyFont="1" applyFill="1"/>
    <xf numFmtId="0" fontId="65" fillId="4" borderId="0" xfId="0" applyFont="1" applyFill="1" applyAlignment="1">
      <alignment horizontal="center"/>
    </xf>
    <xf numFmtId="166" fontId="64" fillId="5" borderId="0" xfId="0" applyNumberFormat="1" applyFont="1" applyFill="1" applyAlignment="1">
      <alignment horizontal="center"/>
    </xf>
    <xf numFmtId="166" fontId="64" fillId="4" borderId="0" xfId="0" applyNumberFormat="1" applyFont="1" applyFill="1" applyAlignment="1">
      <alignment horizontal="center"/>
    </xf>
    <xf numFmtId="166" fontId="64" fillId="7" borderId="0" xfId="0" applyNumberFormat="1" applyFont="1" applyFill="1" applyAlignment="1">
      <alignment horizontal="center"/>
    </xf>
    <xf numFmtId="166" fontId="64" fillId="9" borderId="0" xfId="0" applyNumberFormat="1" applyFont="1" applyFill="1" applyAlignment="1">
      <alignment horizontal="center"/>
    </xf>
    <xf numFmtId="167" fontId="65" fillId="8" borderId="0" xfId="0" applyNumberFormat="1" applyFont="1" applyFill="1" applyAlignment="1">
      <alignment horizontal="center" wrapText="1"/>
    </xf>
    <xf numFmtId="0" fontId="64" fillId="0" borderId="0" xfId="0" applyNumberFormat="1" applyFont="1" applyFill="1" applyAlignment="1">
      <alignment horizontal="center"/>
    </xf>
    <xf numFmtId="0" fontId="64" fillId="4" borderId="0" xfId="0" applyNumberFormat="1" applyFont="1" applyFill="1" applyAlignment="1">
      <alignment horizontal="center"/>
    </xf>
    <xf numFmtId="0" fontId="65" fillId="4" borderId="0" xfId="0" applyNumberFormat="1" applyFont="1" applyFill="1" applyAlignment="1">
      <alignment horizontal="center"/>
    </xf>
    <xf numFmtId="14" fontId="64" fillId="0" borderId="0" xfId="0" applyNumberFormat="1" applyFont="1"/>
    <xf numFmtId="0" fontId="25" fillId="2" borderId="6" xfId="0" applyFont="1" applyFill="1" applyBorder="1" applyAlignment="1">
      <alignment horizontal="center" vertical="center" wrapText="1"/>
    </xf>
    <xf numFmtId="0" fontId="23" fillId="15" borderId="12" xfId="2" applyFont="1" applyFill="1" applyBorder="1" applyAlignment="1" applyProtection="1">
      <alignment horizontal="center" vertical="center" wrapText="1"/>
    </xf>
    <xf numFmtId="0" fontId="23" fillId="15" borderId="2" xfId="2" applyFont="1" applyFill="1" applyBorder="1" applyAlignment="1" applyProtection="1">
      <alignment horizontal="center" vertical="center" wrapText="1"/>
    </xf>
    <xf numFmtId="0" fontId="23" fillId="15" borderId="4" xfId="2" applyFont="1" applyFill="1" applyBorder="1" applyAlignment="1" applyProtection="1">
      <alignment horizontal="center" vertical="center" wrapText="1"/>
    </xf>
    <xf numFmtId="0" fontId="23" fillId="7" borderId="6" xfId="2" applyFont="1" applyFill="1" applyBorder="1" applyAlignment="1" applyProtection="1">
      <alignment horizontal="center" vertical="center" wrapText="1"/>
    </xf>
    <xf numFmtId="15" fontId="30" fillId="4" borderId="6" xfId="17" applyNumberFormat="1" applyFont="1" applyFill="1" applyBorder="1" applyAlignment="1">
      <alignment horizontal="center" vertical="center"/>
    </xf>
    <xf numFmtId="0" fontId="30" fillId="4" borderId="6" xfId="0" applyFont="1" applyFill="1" applyBorder="1" applyAlignment="1">
      <alignment horizontal="center" vertical="center"/>
    </xf>
    <xf numFmtId="0" fontId="27" fillId="7" borderId="12" xfId="2" applyFont="1" applyFill="1" applyBorder="1" applyAlignment="1" applyProtection="1">
      <alignment horizontal="center" vertical="center" wrapText="1"/>
    </xf>
    <xf numFmtId="0" fontId="27" fillId="7" borderId="2" xfId="2" applyFont="1" applyFill="1" applyBorder="1" applyAlignment="1" applyProtection="1">
      <alignment horizontal="center" vertical="center" wrapText="1"/>
    </xf>
    <xf numFmtId="0" fontId="27" fillId="7" borderId="4" xfId="2" applyFont="1" applyFill="1" applyBorder="1" applyAlignment="1" applyProtection="1">
      <alignment horizontal="center" vertical="center" wrapText="1"/>
    </xf>
    <xf numFmtId="0" fontId="25" fillId="7" borderId="12" xfId="0" applyFont="1" applyFill="1" applyBorder="1" applyAlignment="1">
      <alignment horizontal="center" vertical="center" wrapText="1"/>
    </xf>
    <xf numFmtId="0" fontId="25" fillId="7" borderId="4" xfId="0" applyFont="1" applyFill="1" applyBorder="1" applyAlignment="1">
      <alignment horizontal="center" vertical="center" wrapText="1"/>
    </xf>
    <xf numFmtId="0" fontId="27" fillId="15" borderId="6" xfId="2" applyFont="1" applyFill="1" applyBorder="1" applyAlignment="1" applyProtection="1">
      <alignment horizontal="center" wrapText="1"/>
    </xf>
    <xf numFmtId="0" fontId="27" fillId="7" borderId="6" xfId="2" applyFont="1" applyFill="1" applyBorder="1" applyAlignment="1" applyProtection="1">
      <alignment horizontal="center" vertical="center" wrapText="1"/>
    </xf>
    <xf numFmtId="0" fontId="27" fillId="7" borderId="20" xfId="2" applyFont="1" applyFill="1" applyBorder="1" applyAlignment="1" applyProtection="1">
      <alignment horizontal="center" vertical="center" wrapText="1"/>
    </xf>
    <xf numFmtId="0" fontId="27" fillId="7" borderId="0" xfId="2" applyFont="1" applyFill="1" applyBorder="1" applyAlignment="1" applyProtection="1">
      <alignment horizontal="center" vertical="center" wrapText="1"/>
    </xf>
    <xf numFmtId="0" fontId="27" fillId="7" borderId="22" xfId="2" applyFont="1" applyFill="1" applyBorder="1" applyAlignment="1" applyProtection="1">
      <alignment horizontal="center" vertical="center" wrapText="1"/>
    </xf>
    <xf numFmtId="0" fontId="25" fillId="15" borderId="2" xfId="0" applyFont="1" applyFill="1" applyBorder="1" applyAlignment="1">
      <alignment horizontal="center" vertical="center"/>
    </xf>
    <xf numFmtId="0" fontId="25" fillId="15" borderId="4" xfId="0" applyFont="1" applyFill="1" applyBorder="1" applyAlignment="1">
      <alignment horizontal="center" vertical="center"/>
    </xf>
    <xf numFmtId="0" fontId="25" fillId="7" borderId="12" xfId="0" applyFont="1" applyFill="1" applyBorder="1" applyAlignment="1">
      <alignment horizontal="center" vertical="center"/>
    </xf>
    <xf numFmtId="0" fontId="25" fillId="7" borderId="2" xfId="0" applyFont="1" applyFill="1" applyBorder="1" applyAlignment="1">
      <alignment horizontal="center" vertical="center"/>
    </xf>
    <xf numFmtId="0" fontId="25" fillId="7" borderId="4" xfId="0" applyFont="1" applyFill="1" applyBorder="1" applyAlignment="1">
      <alignment horizontal="center" vertical="center"/>
    </xf>
    <xf numFmtId="14" fontId="20" fillId="0" borderId="11" xfId="0" applyNumberFormat="1" applyFont="1" applyFill="1" applyBorder="1" applyAlignment="1">
      <alignment horizontal="center" vertical="center" wrapText="1"/>
    </xf>
    <xf numFmtId="14" fontId="20" fillId="0" borderId="3" xfId="0" applyNumberFormat="1" applyFont="1" applyFill="1" applyBorder="1" applyAlignment="1">
      <alignment horizontal="center" vertical="center" wrapText="1"/>
    </xf>
    <xf numFmtId="14" fontId="20" fillId="0" borderId="1" xfId="0" applyNumberFormat="1" applyFont="1" applyFill="1" applyBorder="1" applyAlignment="1">
      <alignment horizontal="center" vertical="center" wrapText="1"/>
    </xf>
    <xf numFmtId="14" fontId="19" fillId="0" borderId="0" xfId="0" applyNumberFormat="1" applyFont="1" applyFill="1" applyBorder="1" applyAlignment="1">
      <alignment horizontal="center" vertical="center" wrapText="1"/>
    </xf>
    <xf numFmtId="3" fontId="23" fillId="16" borderId="11" xfId="0" applyNumberFormat="1" applyFont="1" applyFill="1" applyBorder="1" applyAlignment="1">
      <alignment horizontal="center" vertical="center"/>
    </xf>
    <xf numFmtId="3" fontId="23" fillId="16" borderId="20" xfId="0" applyNumberFormat="1" applyFont="1" applyFill="1" applyBorder="1" applyAlignment="1">
      <alignment horizontal="center" vertical="center"/>
    </xf>
    <xf numFmtId="3" fontId="23" fillId="16" borderId="17" xfId="0" applyNumberFormat="1" applyFont="1" applyFill="1" applyBorder="1" applyAlignment="1">
      <alignment horizontal="center" vertical="center"/>
    </xf>
    <xf numFmtId="15" fontId="20" fillId="16" borderId="6" xfId="17" applyNumberFormat="1" applyFont="1" applyFill="1" applyBorder="1" applyAlignment="1">
      <alignment horizontal="center" vertical="center"/>
    </xf>
    <xf numFmtId="0" fontId="23" fillId="2" borderId="13" xfId="2" applyFont="1" applyFill="1" applyBorder="1" applyAlignment="1" applyProtection="1">
      <alignment horizontal="center" vertical="center" wrapText="1"/>
    </xf>
    <xf numFmtId="0" fontId="23" fillId="2" borderId="21" xfId="2" applyFont="1" applyFill="1" applyBorder="1" applyAlignment="1" applyProtection="1">
      <alignment horizontal="center" vertical="center" wrapText="1"/>
    </xf>
    <xf numFmtId="0" fontId="23" fillId="2" borderId="2" xfId="2" applyFont="1" applyFill="1" applyBorder="1" applyAlignment="1" applyProtection="1">
      <alignment horizontal="center" vertical="center" wrapText="1"/>
    </xf>
    <xf numFmtId="0" fontId="23" fillId="2" borderId="4" xfId="2" applyFont="1" applyFill="1" applyBorder="1" applyAlignment="1" applyProtection="1">
      <alignment horizontal="center" vertical="center" wrapText="1"/>
    </xf>
    <xf numFmtId="0" fontId="23" fillId="7" borderId="12" xfId="2" applyFont="1" applyFill="1" applyBorder="1" applyAlignment="1" applyProtection="1">
      <alignment horizontal="center" vertical="center" wrapText="1"/>
    </xf>
    <xf numFmtId="0" fontId="23" fillId="7" borderId="2" xfId="2" applyFont="1" applyFill="1" applyBorder="1" applyAlignment="1" applyProtection="1">
      <alignment horizontal="center" vertical="center" wrapText="1"/>
    </xf>
    <xf numFmtId="0" fontId="23" fillId="7" borderId="4" xfId="2" applyFont="1" applyFill="1" applyBorder="1" applyAlignment="1" applyProtection="1">
      <alignment horizontal="center" vertical="center" wrapText="1"/>
    </xf>
    <xf numFmtId="0" fontId="4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14" fontId="61" fillId="0" borderId="0" xfId="0" applyNumberFormat="1" applyFont="1" applyBorder="1" applyAlignment="1">
      <alignment horizontal="center" vertical="center"/>
    </xf>
    <xf numFmtId="0" fontId="36" fillId="0" borderId="0" xfId="0" applyFont="1" applyBorder="1" applyAlignment="1">
      <alignment horizontal="left" vertical="center"/>
    </xf>
    <xf numFmtId="0" fontId="61" fillId="0" borderId="0" xfId="0" applyFont="1" applyBorder="1" applyAlignment="1">
      <alignment horizontal="center" vertical="center" wrapText="1"/>
    </xf>
    <xf numFmtId="0" fontId="36" fillId="0" borderId="0" xfId="0" quotePrefix="1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6" fillId="0" borderId="0" xfId="0" quotePrefix="1" applyFont="1" applyBorder="1" applyAlignment="1">
      <alignment horizontal="left" vertical="center"/>
    </xf>
    <xf numFmtId="169" fontId="36" fillId="0" borderId="0" xfId="1" applyNumberFormat="1" applyFont="1" applyBorder="1" applyAlignment="1">
      <alignment horizontal="center" vertical="center"/>
    </xf>
    <xf numFmtId="0" fontId="63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/>
    </xf>
    <xf numFmtId="0" fontId="53" fillId="4" borderId="0" xfId="0" applyNumberFormat="1" applyFont="1" applyFill="1" applyBorder="1" applyAlignment="1">
      <alignment horizontal="center"/>
    </xf>
    <xf numFmtId="43" fontId="36" fillId="0" borderId="0" xfId="1" applyFont="1" applyBorder="1" applyAlignment="1">
      <alignment horizontal="left" vertical="center"/>
    </xf>
    <xf numFmtId="0" fontId="4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14" fontId="48" fillId="0" borderId="0" xfId="0" applyNumberFormat="1" applyFont="1" applyBorder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47" fillId="0" borderId="0" xfId="0" applyFont="1" applyBorder="1" applyAlignment="1">
      <alignment horizontal="left" vertical="center"/>
    </xf>
    <xf numFmtId="0" fontId="48" fillId="0" borderId="0" xfId="0" applyFont="1" applyBorder="1" applyAlignment="1">
      <alignment horizontal="left" vertical="center" wrapText="1"/>
    </xf>
    <xf numFmtId="0" fontId="41" fillId="0" borderId="0" xfId="0" quotePrefix="1" applyFont="1" applyBorder="1" applyAlignment="1">
      <alignment horizontal="left" vertical="center" wrapText="1"/>
    </xf>
    <xf numFmtId="0" fontId="41" fillId="0" borderId="0" xfId="0" applyFont="1" applyBorder="1" applyAlignment="1">
      <alignment horizontal="left" vertical="center" wrapText="1"/>
    </xf>
    <xf numFmtId="43" fontId="15" fillId="0" borderId="0" xfId="1" applyFont="1" applyBorder="1" applyAlignment="1">
      <alignment horizontal="left" vertical="center"/>
    </xf>
    <xf numFmtId="0" fontId="50" fillId="0" borderId="0" xfId="0" applyFont="1" applyBorder="1" applyAlignment="1">
      <alignment horizontal="center" vertical="center"/>
    </xf>
    <xf numFmtId="43" fontId="13" fillId="0" borderId="2" xfId="1" applyFont="1" applyBorder="1" applyAlignment="1">
      <alignment horizontal="center" wrapText="1"/>
    </xf>
    <xf numFmtId="0" fontId="13" fillId="9" borderId="6" xfId="0" applyFont="1" applyFill="1" applyBorder="1" applyAlignment="1">
      <alignment horizontal="center"/>
    </xf>
    <xf numFmtId="0" fontId="13" fillId="6" borderId="6" xfId="0" applyFont="1" applyFill="1" applyBorder="1" applyAlignment="1">
      <alignment horizontal="center"/>
    </xf>
    <xf numFmtId="169" fontId="36" fillId="0" borderId="0" xfId="1" applyNumberFormat="1" applyFont="1" applyBorder="1" applyAlignment="1">
      <alignment horizontal="left" vertical="center"/>
    </xf>
    <xf numFmtId="0" fontId="36" fillId="0" borderId="0" xfId="0" quotePrefix="1" applyFont="1" applyBorder="1" applyAlignment="1">
      <alignment horizontal="center" vertical="center"/>
    </xf>
  </cellXfs>
  <cellStyles count="18">
    <cellStyle name="Comma" xfId="1" builtinId="3"/>
    <cellStyle name="Comma [0]" xfId="15" builtinId="6"/>
    <cellStyle name="Comma [0] 2" xfId="13"/>
    <cellStyle name="Comma 2" xfId="8"/>
    <cellStyle name="Comma 2 3 2" xfId="6"/>
    <cellStyle name="Comma 2 6" xfId="5"/>
    <cellStyle name="Comma 3" xfId="12"/>
    <cellStyle name="Comma 3 2" xfId="17"/>
    <cellStyle name="Comma 6" xfId="4"/>
    <cellStyle name="Currency" xfId="16" builtinId="4"/>
    <cellStyle name="Normal" xfId="0" builtinId="0"/>
    <cellStyle name="Normal 2" xfId="2"/>
    <cellStyle name="Normal 2 2" xfId="9"/>
    <cellStyle name="Normal 2 5" xfId="3"/>
    <cellStyle name="Normal 3" xfId="11"/>
    <cellStyle name="Normal 4" xfId="10"/>
    <cellStyle name="Percent" xfId="7" builtinId="5"/>
    <cellStyle name="Percent 2" xfId="14"/>
  </cellStyles>
  <dxfs count="321"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name val="Arial"/>
        <scheme val="none"/>
      </font>
    </dxf>
    <dxf>
      <numFmt numFmtId="175" formatCode="_(* #,##0.00_);_(* \(#,##0.00\);_(* &quot;-&quot;_);_(@_)"/>
    </dxf>
    <dxf>
      <numFmt numFmtId="172" formatCode="[$-1000000]h:mm;@"/>
    </dxf>
    <dxf>
      <numFmt numFmtId="172" formatCode="[$-1000000]h:mm;@"/>
    </dxf>
    <dxf>
      <numFmt numFmtId="172" formatCode="[$-1000000]h:mm;@"/>
    </dxf>
    <dxf>
      <numFmt numFmtId="172" formatCode="[$-1000000]h:mm;@"/>
    </dxf>
    <dxf>
      <numFmt numFmtId="168" formatCode="[h]:mm:ss;@"/>
    </dxf>
    <dxf>
      <numFmt numFmtId="168" formatCode="[h]:mm:ss;@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numFmt numFmtId="14" formatCode="0.00%"/>
    </dxf>
    <dxf>
      <font>
        <name val="Arial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font>
        <b/>
      </font>
      <fill>
        <patternFill patternType="solid">
          <fgColor indexed="64"/>
          <bgColor rgb="FFFFFF00"/>
        </patternFill>
      </fill>
      <alignment horizontal="center" vertical="center" wrapText="1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72" formatCode="[$-1000000]h:mm;@"/>
    </dxf>
    <dxf>
      <numFmt numFmtId="172" formatCode="[$-1000000]h:mm;@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Arial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6" formatCode="h:mm;@"/>
    </dxf>
    <dxf>
      <numFmt numFmtId="166" formatCode="h:mm;@"/>
    </dxf>
    <dxf>
      <font>
        <b/>
      </font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7" formatCode="[h]:mm"/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6" formatCode="h:mm;@"/>
      <fill>
        <patternFill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6" formatCode="h:mm;@"/>
      <fill>
        <patternFill patternType="solid">
          <fgColor indexed="64"/>
          <bgColor theme="7" tint="0.59999389629810485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rgb="FFFF33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h:mm;@"/>
      <fill>
        <patternFill patternType="solid">
          <fgColor indexed="64"/>
          <bgColor theme="5" tint="0.59999389629810485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h:mm;@"/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6" formatCode="h:mm;@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6" formatCode="h:mm;@"/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77" formatCode="m/d/yy"/>
      <fill>
        <patternFill patternType="solid">
          <fgColor indexed="64"/>
          <bgColor theme="0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7" formatCode="m/d/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7" formatCode="m/d/yy"/>
      <fill>
        <patternFill patternType="solid">
          <fgColor indexed="64"/>
          <bgColor theme="0"/>
        </patternFill>
      </fill>
      <alignment horizont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7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5" formatCode="_(* #,##0.00_);_(* \(#,##0.00\);_(* &quot;-&quot;_);_(@_)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5" formatCode="_(* #,##0.00_);_(* \(#,##0.00\);_(* &quot;-&quot;_);_(@_)"/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theme="6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5" formatCode="_(* #,##0.00_);_(* \(#,##0.00\);_(* &quot;-&quot;_);_(@_)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5" formatCode="_(* #,##0.00_);_(* \(#,##0.00\);_(* &quot;-&quot;_);_(@_)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5" formatCode="_(* #,##0.00_);_(* \(#,##0.00\);_(* &quot;-&quot;_);_(@_)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5" formatCode="_(* #,##0.00_);_(* \(#,##0.00\);_(* &quot;-&quot;_);_(@_)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5" formatCode="_(* #,##0.00_);_(* \(#,##0.00\);_(* &quot;-&quot;_);_(@_)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3" formatCode="[$-1010000]d/m/yyyy;@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vertical="bottom"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rial" charset="0"/>
                <a:ea typeface="Arial" charset="0"/>
                <a:cs typeface="Arial" charset="0"/>
              </a:rPr>
              <a:t>ĐỒ THỊ THỜI GIAN HOẠT ĐỘNG XE XÚC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'DANH GIA XE XUC'!$B$4</c:f>
              <c:strCache>
                <c:ptCount val="1"/>
                <c:pt idx="0">
                  <c:v> Thời gian BTTQ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'DANH GIA XE XUC'!$A$5:$A$8</c:f>
              <c:numCache>
                <c:formatCode>General</c:formatCode>
                <c:ptCount val="4"/>
              </c:numCache>
            </c:numRef>
          </c:cat>
          <c:val>
            <c:numRef>
              <c:f>'DANH GIA XE XUC'!$B$5:$B$8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D2E6-48D3-83B1-0360DA7AFE39}"/>
            </c:ext>
          </c:extLst>
        </c:ser>
        <c:ser>
          <c:idx val="1"/>
          <c:order val="1"/>
          <c:tx>
            <c:strRef>
              <c:f>'DANH GIA XE XUC'!$C$4</c:f>
              <c:strCache>
                <c:ptCount val="1"/>
                <c:pt idx="0">
                  <c:v> Thời gian xe hư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'DANH GIA XE XUC'!$A$5:$A$8</c:f>
              <c:numCache>
                <c:formatCode>General</c:formatCode>
                <c:ptCount val="4"/>
              </c:numCache>
            </c:numRef>
          </c:cat>
          <c:val>
            <c:numRef>
              <c:f>'DANH GIA XE XUC'!$C$5:$C$8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D2E6-48D3-83B1-0360DA7AFE39}"/>
            </c:ext>
          </c:extLst>
        </c:ser>
        <c:ser>
          <c:idx val="2"/>
          <c:order val="2"/>
          <c:tx>
            <c:strRef>
              <c:f>'DANH GIA XE XUC'!$D$4</c:f>
              <c:strCache>
                <c:ptCount val="1"/>
                <c:pt idx="0">
                  <c:v> Thời gian làm việc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'DANH GIA XE XUC'!$A$5:$A$8</c:f>
              <c:numCache>
                <c:formatCode>General</c:formatCode>
                <c:ptCount val="4"/>
              </c:numCache>
            </c:numRef>
          </c:cat>
          <c:val>
            <c:numRef>
              <c:f>'DANH GIA XE XUC'!$D$5:$D$8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D2E6-48D3-83B1-0360DA7AF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9470592"/>
        <c:axId val="650991232"/>
        <c:axId val="0"/>
      </c:bar3DChart>
      <c:catAx>
        <c:axId val="59947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650991232"/>
        <c:crosses val="autoZero"/>
        <c:auto val="1"/>
        <c:lblAlgn val="ctr"/>
        <c:lblOffset val="100"/>
        <c:noMultiLvlLbl val="0"/>
      </c:catAx>
      <c:valAx>
        <c:axId val="65099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47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 b="1">
                <a:latin typeface="Arial" charset="0"/>
                <a:ea typeface="Arial" charset="0"/>
                <a:cs typeface="Arial" charset="0"/>
              </a:rPr>
              <a:t>ĐỒ THỊ ĐÁNH GIÁ XE XÚC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3.85356454720617E-3"/>
                  <c:y val="-3.18725099601593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15F-4742-80E9-0B438062E7D4}"/>
                </c:ext>
              </c:extLst>
            </c:dLbl>
            <c:dLbl>
              <c:idx val="3"/>
              <c:layout>
                <c:manualLayout>
                  <c:x val="1.9267822736030799E-2"/>
                  <c:y val="-5.17928286852590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5F-4742-80E9-0B438062E7D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'DANH GIA XE XUC'!$G$5:$G$8</c:f>
              <c:strCache>
                <c:ptCount val="4"/>
                <c:pt idx="0">
                  <c:v>Xúc lật (1) - Hitachi đỏ</c:v>
                </c:pt>
                <c:pt idx="1">
                  <c:v>Xúc lật (2) - Kawasaki</c:v>
                </c:pt>
                <c:pt idx="2">
                  <c:v>Xúc lật (3) - Hitachi đen</c:v>
                </c:pt>
                <c:pt idx="3">
                  <c:v>Xúc lật (4) - Komatsu</c:v>
                </c:pt>
              </c:strCache>
            </c:strRef>
          </c:cat>
          <c:val>
            <c:numRef>
              <c:f>'DANH GIA XE XUC'!$H$5:$H$8</c:f>
              <c:numCache>
                <c:formatCode>_(* #,##0.0_);_(* \(#,##0.0\);_(* "-"??_);_(@_)</c:formatCode>
                <c:ptCount val="4"/>
                <c:pt idx="0">
                  <c:v>0</c:v>
                </c:pt>
                <c:pt idx="1">
                  <c:v>6.6119191320983681</c:v>
                </c:pt>
                <c:pt idx="2">
                  <c:v>0</c:v>
                </c:pt>
                <c:pt idx="3">
                  <c:v>8.454545454545455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5F-4742-80E9-0B438062E7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99473664"/>
        <c:axId val="41664512"/>
        <c:axId val="0"/>
      </c:bar3DChart>
      <c:catAx>
        <c:axId val="59947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41664512"/>
        <c:crosses val="autoZero"/>
        <c:auto val="1"/>
        <c:lblAlgn val="ctr"/>
        <c:lblOffset val="100"/>
        <c:noMultiLvlLbl val="0"/>
      </c:catAx>
      <c:valAx>
        <c:axId val="416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47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2" name="Picture 1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3" name="Picture 2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4" name="Picture 3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5" name="Picture 4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6" name="Picture 5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7" name="Picture 6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0</xdr:row>
      <xdr:rowOff>171450</xdr:rowOff>
    </xdr:from>
    <xdr:to>
      <xdr:col>0</xdr:col>
      <xdr:colOff>981075</xdr:colOff>
      <xdr:row>0</xdr:row>
      <xdr:rowOff>752475</xdr:rowOff>
    </xdr:to>
    <xdr:pic>
      <xdr:nvPicPr>
        <xdr:cNvPr id="8" name="Picture 7" descr="logo sg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71450"/>
          <a:ext cx="6286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304804</xdr:colOff>
      <xdr:row>0</xdr:row>
      <xdr:rowOff>0</xdr:rowOff>
    </xdr:from>
    <xdr:to>
      <xdr:col>2</xdr:col>
      <xdr:colOff>409575</xdr:colOff>
      <xdr:row>4</xdr:row>
      <xdr:rowOff>0</xdr:rowOff>
    </xdr:to>
    <xdr:pic>
      <xdr:nvPicPr>
        <xdr:cNvPr id="2" name="Picture 1" descr="Description: Description: Description: Description: logo tribat 1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4" y="0"/>
          <a:ext cx="187642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114303</xdr:colOff>
      <xdr:row>0</xdr:row>
      <xdr:rowOff>1</xdr:rowOff>
    </xdr:from>
    <xdr:to>
      <xdr:col>2</xdr:col>
      <xdr:colOff>847602</xdr:colOff>
      <xdr:row>2</xdr:row>
      <xdr:rowOff>142876</xdr:rowOff>
    </xdr:to>
    <xdr:pic>
      <xdr:nvPicPr>
        <xdr:cNvPr id="2" name="Picture 1" descr="Description: Description: Description: Description: logo tribat 1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3" y="1"/>
          <a:ext cx="2095374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6</xdr:col>
      <xdr:colOff>939800</xdr:colOff>
      <xdr:row>28</xdr:row>
      <xdr:rowOff>182984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1498600</xdr:colOff>
      <xdr:row>11</xdr:row>
      <xdr:rowOff>190500</xdr:rowOff>
    </xdr:from>
    <xdr:to>
      <xdr:col>13</xdr:col>
      <xdr:colOff>584200</xdr:colOff>
      <xdr:row>28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304804</xdr:colOff>
      <xdr:row>0</xdr:row>
      <xdr:rowOff>0</xdr:rowOff>
    </xdr:from>
    <xdr:to>
      <xdr:col>2</xdr:col>
      <xdr:colOff>409575</xdr:colOff>
      <xdr:row>4</xdr:row>
      <xdr:rowOff>0</xdr:rowOff>
    </xdr:to>
    <xdr:pic>
      <xdr:nvPicPr>
        <xdr:cNvPr id="2" name="Picture 1" descr="Description: Description: Description: Description: logo tribat 1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4" y="0"/>
          <a:ext cx="187642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&#7916;I%20BC%20H&#192;NG%20NG&#192;Y/BCXLB%20201902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ân Sự"/>
      <sheetName val="MA SO"/>
      <sheetName val="DATA VAN HANH"/>
      <sheetName val="BC XCG"/>
      <sheetName val="BC NHAN SU"/>
      <sheetName val="BC PHOI TRON"/>
      <sheetName val="DATA PHOI TRON"/>
      <sheetName val="DATA N-X-T"/>
      <sheetName val="DANH GIA XE XUC"/>
      <sheetName val="Data DL XCG"/>
      <sheetName val="XCG"/>
      <sheetName val="BC N-X-T"/>
      <sheetName val="BCXLB 20190228"/>
    </sheetNames>
    <sheetDataSet>
      <sheetData sheetId="0"/>
      <sheetData sheetId="1">
        <row r="2">
          <cell r="B2" t="str">
            <v>Mã CĐ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uxe" refreshedDate="43469.455493171299" createdVersion="4" refreshedVersion="4" minRefreshableVersion="3" recordCount="96">
  <cacheSource type="worksheet">
    <worksheetSource name="Table146"/>
  </cacheSource>
  <cacheFields count="10">
    <cacheField name="Tháng" numFmtId="0">
      <sharedItems containsSemiMixedTypes="0" containsString="0" containsNumber="1" containsInteger="1" minValue="1" maxValue="1" count="1">
        <n v="1"/>
      </sharedItems>
    </cacheField>
    <cacheField name="Ngày" numFmtId="173">
      <sharedItems containsSemiMixedTypes="0" containsNonDate="0" containsDate="1" containsString="0" minDate="2019-01-01T00:00:00" maxDate="2019-01-03T00:00:00" count="2">
        <d v="2019-01-01T00:00:00"/>
        <d v="2019-01-02T00:00:00"/>
      </sharedItems>
    </cacheField>
    <cacheField name="Công đoạn" numFmtId="0">
      <sharedItems count="8">
        <s v="XLB bùn Bình Hưng"/>
        <s v="XLB bùn hữu cơ cao (1)"/>
        <s v="XLB bùn hữu cơ cao (2)"/>
        <s v="XLB bùn hữu cơ thấp"/>
        <s v="XLB bùn duy tu"/>
        <s v="XLB bùn kênh rạch TTCN"/>
        <s v="XLB bùn kênh rạch TN"/>
        <s v="Xay trái dừa"/>
      </sharedItems>
    </cacheField>
    <cacheField name="Lot" numFmtId="0">
      <sharedItems containsNonDate="0" containsString="0" containsBlank="1"/>
    </cacheField>
    <cacheField name="Tên Nguyên Liệu/BTP" numFmtId="0">
      <sharedItems count="20">
        <s v="Compost A"/>
        <s v="Bùn Bình Hưng"/>
        <s v="Mụn Dừa"/>
        <s v="Vôi"/>
        <s v="Lân"/>
        <s v="Hoat chất R-T"/>
        <s v="Bùn hữu cơ cao"/>
        <s v="Vật tư tro củi trấu Thuận Hải"/>
        <s v="Compost B"/>
        <s v="Vỏ trái dừa"/>
        <s v="Compost HCT"/>
        <s v="Bùn hữu cơ thấp"/>
        <s v="Compost DT"/>
        <s v="Bùn Duy Tu"/>
        <s v="Vật tư tro có cánh"/>
        <s v="Compost KR"/>
        <s v="Bùn Kênh rạch TTCN"/>
        <s v="Bùn Kênh rạch TN"/>
        <s v="Trái dừa"/>
        <s v="Bùn Kênh rạch" u="1"/>
      </sharedItems>
    </cacheField>
    <cacheField name="ĐVT" numFmtId="0">
      <sharedItems containsBlank="1"/>
    </cacheField>
    <cacheField name="Nguyên liệu sx" numFmtId="0">
      <sharedItems containsString="0" containsBlank="1" containsNumber="1" minValue="0" maxValue="64"/>
    </cacheField>
    <cacheField name="Định mức" numFmtId="0">
      <sharedItems containsString="0" containsBlank="1" containsNumber="1" minValue="0" maxValue="1.7425742574257426"/>
    </cacheField>
    <cacheField name="% so với định mức" numFmtId="0">
      <sharedItems containsString="0" containsBlank="1" containsNumber="1" minValue="0" maxValue="1.5890094322037056"/>
    </cacheField>
    <cacheField name="Sản phẩm công đoạn sau" numFmtId="0">
      <sharedItems containsString="0" containsBlank="1" containsNumber="1" minValue="0" maxValue="193.2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luxe" refreshedDate="43469.455732407405" createdVersion="4" refreshedVersion="4" minRefreshableVersion="3" recordCount="34">
  <cacheSource type="worksheet">
    <worksheetSource name="Table3"/>
  </cacheSource>
  <cacheFields count="13">
    <cacheField name="Tháng" numFmtId="0">
      <sharedItems containsSemiMixedTypes="0" containsString="0" containsNumber="1" containsInteger="1" minValue="1" maxValue="1" count="1">
        <n v="1"/>
      </sharedItems>
    </cacheField>
    <cacheField name="Tuần" numFmtId="0">
      <sharedItems containsSemiMixedTypes="0" containsString="0" containsNumber="1" containsInteger="1" minValue="1" maxValue="1"/>
    </cacheField>
    <cacheField name="Ngày" numFmtId="173">
      <sharedItems containsSemiMixedTypes="0" containsNonDate="0" containsDate="1" containsString="0" minDate="2019-01-01T00:00:00" maxDate="2019-01-03T00:00:00" count="2">
        <d v="2019-01-01T00:00:00"/>
        <d v="2019-01-02T00:00:00"/>
      </sharedItems>
    </cacheField>
    <cacheField name="Tên NVL/BTP/TP" numFmtId="0">
      <sharedItems count="17">
        <s v="Bùn Bình Hưng"/>
        <s v="Bùn hữu cơ cao"/>
        <s v="Bùn hữu cơ thấp"/>
        <s v="Bùn Duy Tu"/>
        <s v="Bùn Duy Tu - bao"/>
        <s v="Bùn Kênh rạch TTCN"/>
        <s v="Bùn Kênh rạch TN"/>
        <s v="Compost A"/>
        <s v="Compost B"/>
        <s v="Mụn Dừa"/>
        <s v="Vôi"/>
        <s v="Lân"/>
        <s v="Hoat chất R-T"/>
        <s v="Vật tư tro củi trấu Thuận Hải"/>
        <s v="Vật tư tro có cánh"/>
        <s v="Vỏ trái dừa"/>
        <s v="NL Mụn dừa mật rỉ đường"/>
      </sharedItems>
    </cacheField>
    <cacheField name="ĐVT" numFmtId="0">
      <sharedItems/>
    </cacheField>
    <cacheField name="LOT" numFmtId="0">
      <sharedItems containsBlank="1"/>
    </cacheField>
    <cacheField name="Tồn đầu ngày" numFmtId="175">
      <sharedItems containsString="0" containsBlank="1" containsNumber="1" minValue="0" maxValue="168.8"/>
    </cacheField>
    <cacheField name="Nhập từ sản xuất" numFmtId="175">
      <sharedItems containsSemiMixedTypes="0" containsString="0" containsNumber="1" minValue="0" maxValue="201.69100000000003"/>
    </cacheField>
    <cacheField name="Nhập từ kho" numFmtId="175">
      <sharedItems containsString="0" containsBlank="1" containsNumber="1" minValue="5.2958699999999999" maxValue="122"/>
    </cacheField>
    <cacheField name="Xuất cho kho" numFmtId="175">
      <sharedItems containsNonDate="0" containsString="0" containsBlank="1"/>
    </cacheField>
    <cacheField name="Xuất cho sản xuất" numFmtId="175">
      <sharedItems containsSemiMixedTypes="0" containsString="0" containsNumber="1" minValue="0" maxValue="122"/>
    </cacheField>
    <cacheField name="Hao hụt" numFmtId="175">
      <sharedItems containsNonDate="0" containsString="0" containsBlank="1"/>
    </cacheField>
    <cacheField name="Tồn cuối ngày" numFmtId="175">
      <sharedItems containsSemiMixedTypes="0" containsString="0" containsNumber="1" minValue="0" maxValue="304.512000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3475.706676851849" createdVersion="4" refreshedVersion="5" minRefreshableVersion="3" recordCount="256">
  <cacheSource type="worksheet">
    <worksheetSource name="Table1"/>
  </cacheSource>
  <cacheFields count="25">
    <cacheField name="Tháng" numFmtId="0">
      <sharedItems containsSemiMixedTypes="0" containsString="0" containsNumber="1" containsInteger="1" minValue="1" maxValue="12" count="4">
        <n v="1"/>
        <n v="10" u="1"/>
        <n v="11" u="1"/>
        <n v="12" u="1"/>
      </sharedItems>
    </cacheField>
    <cacheField name="Ngày" numFmtId="14">
      <sharedItems containsSemiMixedTypes="0" containsNonDate="0" containsDate="1" containsString="0" minDate="2018-10-21T00:00:00" maxDate="2019-01-05T00:00:00" count="72">
        <d v="2019-01-02T00:00:00"/>
        <d v="2019-01-03T00:00:00"/>
        <d v="2019-01-04T00:00:00"/>
        <d v="2018-10-25T00:00:00" u="1"/>
        <d v="2018-12-16T00:00:00" u="1"/>
        <d v="2018-11-30T00:00:00" u="1"/>
        <d v="2018-11-04T00:00:00" u="1"/>
        <d v="2018-12-09T00:00:00" u="1"/>
        <d v="2018-11-23T00:00:00" u="1"/>
        <d v="2018-12-02T00:00:00" u="1"/>
        <d v="2018-11-16T00:00:00" u="1"/>
        <d v="2018-10-30T00:00:00" u="1"/>
        <d v="2018-12-21T00:00:00" u="1"/>
        <d v="2018-11-09T00:00:00" u="1"/>
        <d v="2018-10-23T00:00:00" u="1"/>
        <d v="2018-12-14T00:00:00" u="1"/>
        <d v="2018-11-28T00:00:00" u="1"/>
        <d v="2018-11-02T00:00:00" u="1"/>
        <d v="2018-12-07T00:00:00" u="1"/>
        <d v="2018-11-21T00:00:00" u="1"/>
        <d v="2018-12-26T00:00:00" u="1"/>
        <d v="2018-11-14T00:00:00" u="1"/>
        <d v="2018-10-28T00:00:00" u="1"/>
        <d v="2018-12-19T00:00:00" u="1"/>
        <d v="2018-11-07T00:00:00" u="1"/>
        <d v="2018-10-21T00:00:00" u="1"/>
        <d v="2018-12-12T00:00:00" u="1"/>
        <d v="2018-11-26T00:00:00" u="1"/>
        <d v="2018-12-05T00:00:00" u="1"/>
        <d v="2018-11-19T00:00:00" u="1"/>
        <d v="2018-12-24T00:00:00" u="1"/>
        <d v="2018-11-12T00:00:00" u="1"/>
        <d v="2018-10-26T00:00:00" u="1"/>
        <d v="2018-12-17T00:00:00" u="1"/>
        <d v="2018-11-05T00:00:00" u="1"/>
        <d v="2018-12-10T00:00:00" u="1"/>
        <d v="2018-11-24T00:00:00" u="1"/>
        <d v="2018-12-03T00:00:00" u="1"/>
        <d v="2018-11-17T00:00:00" u="1"/>
        <d v="2018-10-31T00:00:00" u="1"/>
        <d v="2018-12-22T00:00:00" u="1"/>
        <d v="2018-11-10T00:00:00" u="1"/>
        <d v="2018-10-24T00:00:00" u="1"/>
        <d v="2018-12-15T00:00:00" u="1"/>
        <d v="2018-11-29T00:00:00" u="1"/>
        <d v="2018-11-03T00:00:00" u="1"/>
        <d v="2018-12-08T00:00:00" u="1"/>
        <d v="2018-11-22T00:00:00" u="1"/>
        <d v="2018-12-27T00:00:00" u="1"/>
        <d v="2018-12-01T00:00:00" u="1"/>
        <d v="2018-11-15T00:00:00" u="1"/>
        <d v="2018-10-29T00:00:00" u="1"/>
        <d v="2018-12-20T00:00:00" u="1"/>
        <d v="2018-11-08T00:00:00" u="1"/>
        <d v="2018-10-22T00:00:00" u="1"/>
        <d v="2018-12-13T00:00:00" u="1"/>
        <d v="2018-11-27T00:00:00" u="1"/>
        <d v="2018-11-01T00:00:00" u="1"/>
        <d v="2019-01-01T00:00:00" u="1"/>
        <d v="2018-12-06T00:00:00" u="1"/>
        <d v="2018-11-20T00:00:00" u="1"/>
        <d v="2018-12-25T00:00:00" u="1"/>
        <d v="2018-11-13T00:00:00" u="1"/>
        <d v="2018-10-27T00:00:00" u="1"/>
        <d v="2018-12-18T00:00:00" u="1"/>
        <d v="2018-11-06T00:00:00" u="1"/>
        <d v="2018-12-11T00:00:00" u="1"/>
        <d v="2018-11-25T00:00:00" u="1"/>
        <d v="2018-12-04T00:00:00" u="1"/>
        <d v="2018-11-18T00:00:00" u="1"/>
        <d v="2018-12-23T00:00:00" u="1"/>
        <d v="2018-11-11T00:00:00" u="1"/>
      </sharedItems>
    </cacheField>
    <cacheField name="Ca" numFmtId="0">
      <sharedItems containsBlank="1" count="3">
        <s v="Ca 1"/>
        <s v="Ca 2"/>
        <m/>
      </sharedItems>
    </cacheField>
    <cacheField name="Công đoạn" numFmtId="0">
      <sharedItems containsBlank="1" count="50">
        <s v="Bùn HCC"/>
        <s v="Phụ trợ"/>
        <s v="Bùn kênh rạch TTCN"/>
        <s v="Bùn duy tu"/>
        <s v="Bùn Bentonite"/>
        <s v="Bùn HCT"/>
        <s v="SX đất sạch"/>
        <s v=""/>
        <s v="Cắt lớp" u="1"/>
        <s v="Phối trộn bằng XCG" u="1"/>
        <m u="1"/>
        <s v="VC rác" u="1"/>
        <s v="Cấp liệu sàng ĐCT" u="1"/>
        <s v="Sàng ĐS- PB" u="1"/>
        <s v="VC BTP đóng gói" u="1"/>
        <s v="Đảo trộn ủ chín" u="1"/>
        <s v="ĐG thành phẩm" u="1"/>
        <s v="VC sang ủ hiếu khí" u="1"/>
        <s v="VC vào hồ tiếp nhận" u="1"/>
        <s v="Cấp liệu máy phối trộn" u="1"/>
        <s v="Sàng ĐCT" u="1"/>
        <s v="Tách rác cấp lớn" u="1"/>
        <s v="Xe hư" u="1"/>
        <s v="VC NL đi đùn T-O" u="1"/>
        <s v="Đảo trộn phân bò" u="1"/>
        <s v="Lấy cát ra khỏi hồ" u="1"/>
        <s v="Di dời đống ủ" u="1"/>
        <s v="VC nguyên liệu đảo trộn" u="1"/>
        <s v="Công tác khác" u="1"/>
        <s v="VC bùn không qua cân" u="1"/>
        <s v="VC đất đi sàng" u="1"/>
        <s v="Đảo trộn hiếu khí" u="1"/>
        <s v="VC bùn đi cân" u="1"/>
        <s v="Cấp liệu sàng phân bò" u="1"/>
        <s v="VHM máy trái dừa" u="1"/>
        <s v="Đảo trộn đất sạch" u="1"/>
        <s v="Cấp liệu trái dừa" u="1"/>
        <s v="VC bùn HCT đi san lấp" u="1"/>
        <s v="Xổ bao" u="1"/>
        <s v="Kênh rạch tắt" u="1"/>
        <s v="VC NL đi phối trộn" u="1"/>
        <s v="Cấp liệu máy sàng ĐS - PB" u="1"/>
        <s v="Duy tu tắt" u="1"/>
        <s v="Bùn kênh rạch - TN" u="1"/>
        <s v="Sàng phân bò" u="1"/>
        <s v="VHM phối trộn" u="1"/>
        <s v="VC ra bãi ủ chín" u="1"/>
        <s v="VC ra vãi ủ chín" u="1"/>
        <s v="VHM Duy Tu" u="1"/>
        <s v="Bentonite tắt" u="1"/>
      </sharedItems>
    </cacheField>
    <cacheField name="Nọi dung công đoạn" numFmtId="0">
      <sharedItems count="41">
        <s v="BSTN - Công tác đảo trộn compost tại bãi Ủ ngoài trời bằng máy đào bánh xích."/>
        <s v="Công tác lót vỉ vào vị trí tập kết"/>
        <s v="Công tác vệ sinh tại hồ chứa bùn hồ khu D"/>
        <s v="BKR - Công tác vận chuyển bùn kênh rạch từ hồ chứa về địa điểm tập kết - dùng xe xúc"/>
        <s v="BDT – Công tác phối trộn nguyên vật liệu bùn duy tu sau tách nước bằng xe cơ giới"/>
        <s v="BDT - Công tác vận chuyển nguyên vật liệu từ kho chứa về khu vực phối trộn bằng xe ben 15 tấn"/>
        <s v="BDT – Công tác vận chuyển bùn duy tu sau phối trộn về khu Ủ compost ngoài trời - dùng cuốc 07"/>
        <s v="BDT – Công tác vận chuyển rác sau phân loại từ bùn duy tu về địa điểm tập kết - dùng cuốc 07"/>
        <s v="BEN – Công tác tăng bo bùn bentonite tại hồ chứa - dùng xe cuốc"/>
        <s v="BEN - Công tác vận chuyển bùn bentonite từ hồ chứa về khu xử lý"/>
        <s v="BEN – Công tác tăng bo bùn bentonite tại hồ chứa - dùng cần dài"/>
        <s v="BDT – Công tác tăng bo bùn duy tu tại hồ chứa bùn - dùng cần dài tăng bo ra giữa hồ"/>
        <s v="BSTN - Công tác vận chuyển nguyên vật liệu từ kho chứa về khu vực phối trộn bằng xe ben 15 tấn"/>
        <s v="BSTN - Vận hành hệ thống máy phối trộn bùn với nguyên vật liệu"/>
        <s v="BSTN – Công tác bảo trì định kỳ hệ thống cấp khí"/>
        <s v="BSTN - Phối trộn bùn với phụ liệu bằng XCG"/>
        <s v="BKR – Công tác vận chuyển bùn kênh rạch sau phối trộn về khu Ủ compost ngoài trời - dùng cuốc 07"/>
        <s v="BKR - Công tác tăng bo bùn kênh rạch tại điểm tập kết - dùng xe ủi"/>
        <s v="BKR - Công tác tăng bo bùn kênh rạch tại điểm tập kết - dùng cuốc 07"/>
        <s v="BSTN - Vận chuyển phụ liệu (R-T, vôi, …) đóng bao từ kho chứa về khu vực phối trộn bằng máy xúc lật bánh hơi."/>
        <s v="BSTN – Công tác xổ bùn bao thủ công."/>
        <s v="BSTN - Công tác bốc dở bao bùn trên xe tải bằng xe cơ giới."/>
        <s v="BSTN - Công tác vận chuyển bùn sau phối trộn bằng xe ben 15 tấn ra bãi Ủ ngoài trời - dùng cuốc 07"/>
        <s v="BSTN - Công tác tăng bo bùn sau phối trộn tại điểm tập kết - dùng cuốc 07"/>
        <s v="BKR – Công tác vận chuyển rác về địa điểm tập kết - dùng xúc lật"/>
        <s v="Công tác vận chuyển bạt"/>
        <s v="Công tác hỗ trợ vận chuyển dầu cấp cho xe cơ giới- dùng xúc lật"/>
        <s v="BSTN - Công tác vận chuyển bùn sau phối trộn bằng xe ben 15 tấn ra bãi Ủ ngoài trời - dùng xúc lật"/>
        <s v="BKR – Công tác tách rác bằng sàng bánh răng."/>
        <s v="DS - Công tác san gạt – tạo luống vật liệu tại điểm tập kết bằng xe cơ giới - dùng xe cuốc"/>
        <s v="Công tác chuẩn bị mặt bằng để chuẩn bị tiếp nhận"/>
        <s v="Công tác phụ trợ khác"/>
        <s v="Công tác vận chuyển vỉ"/>
        <s v="Công tác cuốc rác lên xe gom rác"/>
        <s v="BSTN - Công tác vận chuyển bùn sau tách nước từ hố thu bùn về địa điểm tập kết."/>
        <s v=""/>
        <s v="Dọn vệ sinh xưởng- dùng cuốc" u="1"/>
        <e v="#N/A" u="1"/>
        <s v="BDT – Công tác vận chuyển rác sau phân loại từ bùn duy tu về địa điểm tập kết - dùng xúc lật" u="1"/>
        <s v="Hỗ trợ cấp dầu- dùng xúc lật vận chuyển" u="1"/>
        <s v="BKR - Công tác vận chuyển bùn kênh rạch từ hồ chứa về địa điểm tập kết " u="1"/>
      </sharedItems>
    </cacheField>
    <cacheField name="Mã công đoạn" numFmtId="0">
      <sharedItems containsBlank="1" count="44">
        <s v="XLB.A1.15"/>
        <s v="PT.06"/>
        <s v="PT.03.02"/>
        <s v="XLB.C1.14.1"/>
        <s v="XLB.B1.10"/>
        <s v="XLB.B1.09"/>
        <s v="XLB.B1.11.2"/>
        <s v="XLB.B1.05.1"/>
        <s v="XLB.D.02.3"/>
        <s v="XLB.D.03"/>
        <s v="XLB.D.02.2"/>
        <s v="XLB.B1.02.1"/>
        <s v="XLB.A2.06"/>
        <s v="XLB.A1.08"/>
        <s v="XLB.A1.13"/>
        <s v="XLB.A1.09"/>
        <s v="XLB.C1.12.2"/>
        <s v="XLB.C1.15.3"/>
        <s v="XLB.C1.15.1"/>
        <s v="XLB.A1.07"/>
        <s v="XLB.A1.03"/>
        <s v="XLB.A1.02"/>
        <s v="XLB.A2.16.2"/>
        <s v="XLB.A1.17.1"/>
        <s v="XLB.C1.08.2"/>
        <s v="XLB.A1.16.2"/>
        <s v="PT.09"/>
        <s v="PT.11.02"/>
        <s v="XLB.A1.16.1"/>
        <s v="XLB.C1.06"/>
        <s v="DS.E.07.3.1"/>
        <s v="PT.07"/>
        <s v="XLB.A1.06"/>
        <s v="PT.12"/>
        <s v="PT.10"/>
        <s v="XLB.A2.03"/>
        <s v="PT.15"/>
        <s v="XLB.A2.09"/>
        <s v="XLB.A2.01"/>
        <s v="XLB.A2.17.1"/>
        <m/>
        <s v="PT.03.2" u="1"/>
        <s v="XLB.B1.05.2" u="1"/>
        <s v="PT.11" u="1"/>
      </sharedItems>
    </cacheField>
    <cacheField name="LOT" numFmtId="0">
      <sharedItems containsNonDate="0" containsString="0" containsBlank="1"/>
    </cacheField>
    <cacheField name="Xe cơ giới/máy" numFmtId="0">
      <sharedItems containsBlank="1" count="53">
        <s v="Cuốc 07 (3) - Hitachi EX 200-5"/>
        <s v="Cuốc 07 (6) - Sumitomo - TG"/>
        <s v="Ben 15T (6) - 51C -  51816 - TN"/>
        <s v="Cuốc 07 (1) - Komatsu PC 200"/>
        <s v="Cuốc 07 (7) - Hitachi EX 200-NN"/>
        <s v="Ben 15T (11) - 51D-  41822"/>
        <s v="Cuốc 07 (12) - Sumitomo - TN"/>
        <s v="Cuốc 07 (8) - Kobelco - CKC"/>
        <s v="Cuốc 07 (9) - CAT - CKC"/>
        <s v="Ben 15T (4) - 60C - 16400 - TN"/>
        <s v="Ben 15T (5) - 60C - 10871 - TN"/>
        <s v="Cuốc 07 (11)  - Komatsu - TN"/>
        <s v="Cuốc cần dài"/>
        <s v="Máy phối trộn"/>
        <s v="Xúc lật (4) - Komatsu"/>
        <s v="Ben 15T (9) - 57M - 1314 -TG"/>
        <s v="Ben 15T (10) - 92C - 07302 -TG"/>
        <s v="Ben 15T (7) - 57M - 3293 - TG"/>
        <s v="Cuốc 07 (10) - Gold Star- TN"/>
        <s v="Xe ủi D31 (Komatsu D31) "/>
        <s v="Cuốc 07 (5) - Kobelco 011268 - CKC"/>
        <m/>
        <s v="Cuốc 05 (1) - Hitachi EX 120-3"/>
        <s v="Ben 15T (16) - 62L- 5068- TG"/>
        <s v="Ben 15T (1) - 51D - 41413 "/>
        <s v="Cuốc 07 (4) - Hitachi EX 200-5Z"/>
        <s v="Xúc lật (2) - Kawasaki"/>
        <s v="Ben 15T (2) - 51D - 41434"/>
        <s v="Máy Sàng bánh răng"/>
        <s v="Cuốc 05 (5) - Sumitomo - S265-TN"/>
        <s v="Xúc lật (1) - Hitachi đỏ"/>
        <s v="Xúc lật (3) - Hitachi đen" u="1"/>
        <s v="Máy phối trộn bùn HCC (BH)" u="1"/>
        <s v="Máy Xay trái dừa" u="1"/>
        <s v="Máy đảo  trộn BackHus" u="1"/>
        <s v="Cuốc cần dài - CKC" u="1"/>
        <s v="Cuốc 05 (2) - Hitachi EX 120-5" u="1"/>
        <s v="Máy Sàng Đất Sạch" u="1"/>
        <s v="Máy sáng bánh răng" u="1"/>
        <s v="Máy sàng phân bò" u="1"/>
        <s v="Cuốc 07 (11)  - Kobelco - TN" u="1"/>
        <s v="Cuốc 07 (2) - Hitachi EX 200-3" u="1"/>
        <s v="Máy Duy Tu" u="1"/>
        <s v="Máy đảo trộn BackHus" u="1"/>
        <s v="Cuốc 05 (3) - Kobelco - BRSG" u="1"/>
        <s v="Cuốc 07 (8) - Kobelco - BRSG" u="1"/>
        <s v="Xúc  Carter - 01" u="1"/>
        <s v="Cuốc 03 (1) - Kobelo" u="1"/>
        <s v="Ben 5T (1) - 51C - 79320" u="1"/>
        <s v="Ben 15T (8) - 57M - 3697 - TG" u="1"/>
        <s v="Ben 15T (14) - 62C - 06623 -TG" u="1"/>
        <s v="Ben 15T (4) - 60C-16400 - TN" u="1"/>
        <s v="Xúc  Carter - 02" u="1"/>
      </sharedItems>
    </cacheField>
    <cacheField name="NVL/TP" numFmtId="0">
      <sharedItems containsBlank="1" count="4">
        <m/>
        <s v="NL Mụn dừa mật rỉ đường"/>
        <s v="Vật tư tro củi trấu Thuận Hải"/>
        <s v="Bùn hữu cơ cao"/>
      </sharedItems>
    </cacheField>
    <cacheField name="Tên công nhận" numFmtId="0">
      <sharedItems containsBlank="1" count="32">
        <s v="Châu Văn Phước"/>
        <s v="Thuê ngoài"/>
        <s v="Thạch Giàu"/>
        <s v="Nguyễn Văn Tuấn"/>
        <s v="Chung Văn Hiệp"/>
        <s v="Cao Văn Lượm"/>
        <s v="Phan Văn Bạn "/>
        <s v="Lương Minh Tâm"/>
        <s v="Nguyễn Văn Đức"/>
        <s v="Hà Hoàng Hùng"/>
        <s v="Nguyễn Thành Vân"/>
        <s v="Nguyễn Minh Tuấn "/>
        <s v="Nguyễn Trọng Minh"/>
        <s v="Nguyễn Thanh Vạn"/>
        <s v="Nguyễn Bình Luận"/>
        <s v="Nguyễn Thế Lực"/>
        <s v="Trần Thanh Hậu"/>
        <s v="Triệu Bô Na "/>
        <s v="Châu Thành Nhân"/>
        <s v="Lê Tấn Phát"/>
        <s v="Trần Văn Nguyện"/>
        <s v="Châu Văn Tâm"/>
        <s v="Lê Văn Triệu"/>
        <s v="Ngô Hoàng Phong"/>
        <s v="Triệu Quốc Minh"/>
        <s v="Phan Lâm Thương"/>
        <s v="Hà Thanh Truyền"/>
        <s v="Lê Minh Trọng"/>
        <m/>
        <s v="Bạn" u="1"/>
        <s v="Văn Phước" u="1"/>
        <s v="Nguyễn Văn Lượng" u="1"/>
      </sharedItems>
    </cacheField>
    <cacheField name="Ca Làm Việc" numFmtId="0">
      <sharedItems containsBlank="1"/>
    </cacheField>
    <cacheField name="Thời gian bắt đâu" numFmtId="166">
      <sharedItems containsNonDate="0" containsDate="1" containsString="0" containsBlank="1" minDate="1899-12-30T06:00:00" maxDate="1899-12-30T20:10:00"/>
    </cacheField>
    <cacheField name="Thời gian kết thúc" numFmtId="166">
      <sharedItems containsNonDate="0" containsDate="1" containsString="0" containsBlank="1" minDate="1899-12-30T07:30:00" maxDate="1899-12-30T22:00:00"/>
    </cacheField>
    <cacheField name="Thời gian BTTQ" numFmtId="166">
      <sharedItems containsNonDate="0" containsDate="1" containsString="0" containsBlank="1" minDate="1899-12-30T00:10:00" maxDate="1899-12-30T00:15:00"/>
    </cacheField>
    <cacheField name="Thời gian xe hư" numFmtId="166">
      <sharedItems containsNonDate="0" containsDate="1" containsString="0" containsBlank="1" minDate="1899-12-30T00:20:00" maxDate="1899-12-30T01:15:00"/>
    </cacheField>
    <cacheField name="Thời gian nghỉ" numFmtId="166">
      <sharedItems containsNonDate="0" containsString="0" containsBlank="1"/>
    </cacheField>
    <cacheField name="Thời gian CV khác" numFmtId="166">
      <sharedItems containsNonDate="0" containsString="0" containsBlank="1"/>
    </cacheField>
    <cacheField name="Thời gian làm việc" numFmtId="167">
      <sharedItems containsSemiMixedTypes="0" containsNonDate="0" containsDate="1" containsString="0" minDate="1899-12-30T00:00:00" maxDate="1899-12-30T05:00:00"/>
    </cacheField>
    <cacheField name="Số lượng thực hiện" numFmtId="0">
      <sharedItems containsString="0" containsBlank="1" containsNumber="1" containsInteger="1" minValue="1" maxValue="38"/>
    </cacheField>
    <cacheField name="Dầu" numFmtId="0">
      <sharedItems containsString="0" containsBlank="1" containsNumber="1" containsInteger="1" minValue="85" maxValue="200"/>
    </cacheField>
    <cacheField name="Nhớt 10" numFmtId="0">
      <sharedItems containsString="0" containsBlank="1" containsNumber="1" containsInteger="1" minValue="200" maxValue="200"/>
    </cacheField>
    <cacheField name="Nhớt 50" numFmtId="0">
      <sharedItems containsString="0" containsBlank="1" containsNumber="1" containsInteger="1" minValue="28" maxValue="28"/>
    </cacheField>
    <cacheField name="Nhớt 90" numFmtId="0">
      <sharedItems containsNonDate="0" containsString="0" containsBlank="1"/>
    </cacheField>
    <cacheField name="Nhớt 140" numFmtId="0">
      <sharedItems containsNonDate="0" containsString="0" containsBlank="1"/>
    </cacheField>
    <cacheField name="Nguyên nhân" numFmtId="0">
      <sharedItems containsBlank="1" count="2">
        <m/>
        <s v="thế ben 1314-T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x v="0"/>
    <m/>
    <x v="0"/>
    <s v="m3"/>
    <m/>
    <n v="1"/>
    <m/>
    <n v="0"/>
  </r>
  <r>
    <x v="0"/>
    <x v="0"/>
    <x v="0"/>
    <m/>
    <x v="1"/>
    <s v="Tấn"/>
    <m/>
    <n v="0.24752475247524752"/>
    <n v="0"/>
    <m/>
  </r>
  <r>
    <x v="0"/>
    <x v="0"/>
    <x v="0"/>
    <m/>
    <x v="2"/>
    <s v="m3"/>
    <m/>
    <n v="0.49504950495049505"/>
    <n v="0"/>
    <m/>
  </r>
  <r>
    <x v="0"/>
    <x v="0"/>
    <x v="0"/>
    <m/>
    <x v="0"/>
    <s v="m3"/>
    <m/>
    <n v="0.24752475247524752"/>
    <m/>
    <m/>
  </r>
  <r>
    <x v="0"/>
    <x v="0"/>
    <x v="0"/>
    <m/>
    <x v="3"/>
    <s v="Tấn"/>
    <m/>
    <n v="1.9801980198019802E-3"/>
    <n v="0"/>
    <m/>
  </r>
  <r>
    <x v="0"/>
    <x v="0"/>
    <x v="0"/>
    <m/>
    <x v="4"/>
    <s v="Tấn"/>
    <m/>
    <n v="1.9801980198019802E-3"/>
    <n v="0"/>
    <m/>
  </r>
  <r>
    <x v="0"/>
    <x v="0"/>
    <x v="0"/>
    <m/>
    <x v="5"/>
    <s v="Tấn"/>
    <m/>
    <n v="5.9405940594059407E-3"/>
    <n v="0"/>
    <m/>
  </r>
  <r>
    <x v="0"/>
    <x v="0"/>
    <x v="1"/>
    <m/>
    <x v="0"/>
    <s v="m3"/>
    <m/>
    <n v="1"/>
    <m/>
    <n v="102.997"/>
  </r>
  <r>
    <x v="0"/>
    <x v="0"/>
    <x v="1"/>
    <m/>
    <x v="6"/>
    <s v="Tấn"/>
    <n v="34.47"/>
    <n v="0.24752475247524752"/>
    <n v="1.3520665650455839"/>
    <m/>
  </r>
  <r>
    <x v="0"/>
    <x v="0"/>
    <x v="1"/>
    <m/>
    <x v="2"/>
    <s v="m3"/>
    <n v="34"/>
    <n v="0.49504950495049505"/>
    <n v="0.66681553831664997"/>
    <m/>
  </r>
  <r>
    <x v="0"/>
    <x v="0"/>
    <x v="1"/>
    <m/>
    <x v="0"/>
    <s v="m3"/>
    <m/>
    <n v="0.24752475247524752"/>
    <n v="0"/>
    <m/>
  </r>
  <r>
    <x v="0"/>
    <x v="0"/>
    <x v="1"/>
    <m/>
    <x v="7"/>
    <s v="m3"/>
    <n v="34"/>
    <n v="0"/>
    <m/>
    <m/>
  </r>
  <r>
    <x v="0"/>
    <x v="0"/>
    <x v="1"/>
    <m/>
    <x v="3"/>
    <s v="m3"/>
    <n v="0.17599999999999999"/>
    <n v="1.9801980198019802E-3"/>
    <n v="0.86293775546860574"/>
    <m/>
  </r>
  <r>
    <x v="0"/>
    <x v="0"/>
    <x v="1"/>
    <m/>
    <x v="4"/>
    <s v="Tấn"/>
    <n v="0.17599999999999999"/>
    <n v="1.9801980198019802E-3"/>
    <n v="0.86293775546860574"/>
    <m/>
  </r>
  <r>
    <x v="0"/>
    <x v="0"/>
    <x v="1"/>
    <m/>
    <x v="5"/>
    <s v="Tấn"/>
    <n v="0.17499999999999999"/>
    <n v="5.9405940594059407E-3"/>
    <n v="0.28601156667993566"/>
    <m/>
  </r>
  <r>
    <x v="0"/>
    <x v="0"/>
    <x v="2"/>
    <m/>
    <x v="8"/>
    <s v="m3"/>
    <m/>
    <n v="0.99999999999999989"/>
    <m/>
    <n v="0"/>
  </r>
  <r>
    <x v="0"/>
    <x v="0"/>
    <x v="2"/>
    <m/>
    <x v="6"/>
    <s v="Tấn"/>
    <m/>
    <n v="0.33057851239669422"/>
    <n v="0"/>
    <m/>
  </r>
  <r>
    <x v="0"/>
    <x v="0"/>
    <x v="2"/>
    <m/>
    <x v="2"/>
    <s v="m3"/>
    <m/>
    <n v="0"/>
    <n v="0"/>
    <m/>
  </r>
  <r>
    <x v="0"/>
    <x v="0"/>
    <x v="2"/>
    <m/>
    <x v="7"/>
    <s v="m3"/>
    <m/>
    <n v="0.33057851239669422"/>
    <n v="0"/>
    <m/>
  </r>
  <r>
    <x v="0"/>
    <x v="0"/>
    <x v="2"/>
    <m/>
    <x v="9"/>
    <s v="m3"/>
    <m/>
    <n v="0.33057851239669422"/>
    <n v="0"/>
    <m/>
  </r>
  <r>
    <x v="0"/>
    <x v="0"/>
    <x v="2"/>
    <m/>
    <x v="3"/>
    <s v="Tấn"/>
    <m/>
    <n v="1.652892561983471E-3"/>
    <n v="0"/>
    <m/>
  </r>
  <r>
    <x v="0"/>
    <x v="0"/>
    <x v="2"/>
    <m/>
    <x v="4"/>
    <s v="Tấn"/>
    <m/>
    <n v="1.652892561983471E-3"/>
    <n v="0"/>
    <m/>
  </r>
  <r>
    <x v="0"/>
    <x v="0"/>
    <x v="2"/>
    <m/>
    <x v="5"/>
    <s v="Tấn"/>
    <m/>
    <n v="4.9586776859504135E-3"/>
    <n v="0"/>
    <m/>
  </r>
  <r>
    <x v="0"/>
    <x v="0"/>
    <x v="3"/>
    <m/>
    <x v="10"/>
    <m/>
    <m/>
    <n v="1"/>
    <m/>
    <n v="0"/>
  </r>
  <r>
    <x v="0"/>
    <x v="0"/>
    <x v="3"/>
    <m/>
    <x v="11"/>
    <s v="Tấn"/>
    <m/>
    <n v="0.62305295950155759"/>
    <n v="0"/>
    <m/>
  </r>
  <r>
    <x v="0"/>
    <x v="0"/>
    <x v="3"/>
    <m/>
    <x v="2"/>
    <s v="m3"/>
    <m/>
    <n v="0.12461059190031153"/>
    <n v="0"/>
    <m/>
  </r>
  <r>
    <x v="0"/>
    <x v="0"/>
    <x v="3"/>
    <m/>
    <x v="7"/>
    <s v="m3"/>
    <m/>
    <n v="0.24922118380062305"/>
    <n v="0"/>
    <m/>
  </r>
  <r>
    <x v="0"/>
    <x v="0"/>
    <x v="3"/>
    <m/>
    <x v="5"/>
    <s v="Tấn"/>
    <m/>
    <n v="3.1152647975077881E-3"/>
    <n v="0"/>
    <m/>
  </r>
  <r>
    <x v="0"/>
    <x v="0"/>
    <x v="4"/>
    <m/>
    <x v="12"/>
    <m/>
    <m/>
    <n v="0.99999999999999989"/>
    <m/>
    <n v="0"/>
  </r>
  <r>
    <x v="0"/>
    <x v="0"/>
    <x v="4"/>
    <m/>
    <x v="13"/>
    <s v="Tấn"/>
    <m/>
    <n v="0.33003300330033003"/>
    <n v="0"/>
    <m/>
  </r>
  <r>
    <x v="0"/>
    <x v="0"/>
    <x v="4"/>
    <m/>
    <x v="2"/>
    <s v="m3"/>
    <m/>
    <n v="0.33003300330033003"/>
    <n v="0"/>
    <m/>
  </r>
  <r>
    <x v="0"/>
    <x v="0"/>
    <x v="4"/>
    <m/>
    <x v="7"/>
    <s v="m3"/>
    <m/>
    <n v="0.33003300330033003"/>
    <n v="0"/>
    <m/>
  </r>
  <r>
    <x v="0"/>
    <x v="0"/>
    <x v="4"/>
    <m/>
    <x v="14"/>
    <s v="m3"/>
    <m/>
    <n v="0"/>
    <n v="0"/>
    <m/>
  </r>
  <r>
    <x v="0"/>
    <x v="0"/>
    <x v="4"/>
    <m/>
    <x v="3"/>
    <s v="Tấn"/>
    <m/>
    <n v="1.6501650165016502E-3"/>
    <n v="0"/>
    <m/>
  </r>
  <r>
    <x v="0"/>
    <x v="0"/>
    <x v="4"/>
    <m/>
    <x v="4"/>
    <s v="Tấn"/>
    <m/>
    <n v="1.6501650165016502E-3"/>
    <n v="0"/>
    <m/>
  </r>
  <r>
    <x v="0"/>
    <x v="0"/>
    <x v="4"/>
    <m/>
    <x v="5"/>
    <s v="Tấn"/>
    <m/>
    <n v="6.6006600660066007E-3"/>
    <n v="0"/>
    <m/>
  </r>
  <r>
    <x v="0"/>
    <x v="0"/>
    <x v="5"/>
    <m/>
    <x v="15"/>
    <m/>
    <m/>
    <n v="1"/>
    <m/>
    <n v="0"/>
  </r>
  <r>
    <x v="0"/>
    <x v="0"/>
    <x v="5"/>
    <m/>
    <x v="16"/>
    <s v="Tấn"/>
    <m/>
    <n v="0.76923076923076927"/>
    <n v="0"/>
    <m/>
  </r>
  <r>
    <x v="0"/>
    <x v="0"/>
    <x v="5"/>
    <m/>
    <x v="14"/>
    <s v="m3"/>
    <m/>
    <n v="0"/>
    <n v="0"/>
    <m/>
  </r>
  <r>
    <x v="0"/>
    <x v="0"/>
    <x v="5"/>
    <m/>
    <x v="2"/>
    <s v="m3"/>
    <m/>
    <n v="7.6923076923076927E-2"/>
    <n v="0"/>
    <m/>
  </r>
  <r>
    <x v="0"/>
    <x v="0"/>
    <x v="5"/>
    <m/>
    <x v="7"/>
    <s v="m3"/>
    <m/>
    <n v="0.15384615384615385"/>
    <n v="0"/>
    <m/>
  </r>
  <r>
    <x v="0"/>
    <x v="0"/>
    <x v="6"/>
    <m/>
    <x v="15"/>
    <m/>
    <m/>
    <n v="1"/>
    <m/>
    <n v="0"/>
  </r>
  <r>
    <x v="0"/>
    <x v="0"/>
    <x v="6"/>
    <m/>
    <x v="17"/>
    <s v="Tấn"/>
    <m/>
    <n v="0.76923076923076927"/>
    <n v="0"/>
    <m/>
  </r>
  <r>
    <x v="0"/>
    <x v="0"/>
    <x v="6"/>
    <m/>
    <x v="14"/>
    <s v="m3"/>
    <m/>
    <n v="0"/>
    <n v="0"/>
    <m/>
  </r>
  <r>
    <x v="0"/>
    <x v="0"/>
    <x v="6"/>
    <m/>
    <x v="2"/>
    <s v="m3"/>
    <m/>
    <n v="7.6923076923076927E-2"/>
    <n v="0"/>
    <m/>
  </r>
  <r>
    <x v="0"/>
    <x v="0"/>
    <x v="6"/>
    <m/>
    <x v="7"/>
    <s v="m3"/>
    <m/>
    <n v="0.15384615384615385"/>
    <n v="0"/>
    <m/>
  </r>
  <r>
    <x v="0"/>
    <x v="0"/>
    <x v="7"/>
    <m/>
    <x v="18"/>
    <m/>
    <m/>
    <n v="1.7425742574257426"/>
    <m/>
    <n v="0"/>
  </r>
  <r>
    <x v="0"/>
    <x v="0"/>
    <x v="7"/>
    <m/>
    <x v="9"/>
    <s v="Tấn"/>
    <m/>
    <m/>
    <n v="0"/>
    <m/>
  </r>
  <r>
    <x v="0"/>
    <x v="1"/>
    <x v="0"/>
    <m/>
    <x v="0"/>
    <s v="m3"/>
    <m/>
    <n v="1"/>
    <m/>
    <n v="26.823000000000004"/>
  </r>
  <r>
    <x v="0"/>
    <x v="1"/>
    <x v="0"/>
    <m/>
    <x v="1"/>
    <s v="Tấn"/>
    <n v="10.55"/>
    <n v="0.24752475247524752"/>
    <n v="1.5890094322037056"/>
    <m/>
  </r>
  <r>
    <x v="0"/>
    <x v="1"/>
    <x v="0"/>
    <m/>
    <x v="2"/>
    <s v="m3"/>
    <n v="16"/>
    <n v="0.49504950495049505"/>
    <n v="1.2049360623345635"/>
    <m/>
  </r>
  <r>
    <x v="0"/>
    <x v="1"/>
    <x v="0"/>
    <m/>
    <x v="0"/>
    <s v="m3"/>
    <m/>
    <n v="0.24752475247524752"/>
    <n v="0"/>
    <m/>
  </r>
  <r>
    <x v="0"/>
    <x v="1"/>
    <x v="0"/>
    <m/>
    <x v="3"/>
    <s v="Tấn"/>
    <n v="5.8999999999999997E-2"/>
    <n v="1.9801980198019802E-3"/>
    <n v="1.1108004324646754"/>
    <m/>
  </r>
  <r>
    <x v="0"/>
    <x v="1"/>
    <x v="0"/>
    <m/>
    <x v="4"/>
    <s v="Tấn"/>
    <n v="0.05"/>
    <n v="1.9801980198019802E-3"/>
    <n v="0.94135629869887771"/>
    <m/>
  </r>
  <r>
    <x v="0"/>
    <x v="1"/>
    <x v="0"/>
    <m/>
    <x v="5"/>
    <s v="Tấn"/>
    <n v="0.16400000000000001"/>
    <n v="5.9405940594059407E-3"/>
    <n v="1.0292162199107731"/>
    <m/>
  </r>
  <r>
    <x v="0"/>
    <x v="1"/>
    <x v="1"/>
    <m/>
    <x v="0"/>
    <s v="m3"/>
    <m/>
    <n v="1"/>
    <m/>
    <n v="174.86800000000002"/>
  </r>
  <r>
    <x v="0"/>
    <x v="1"/>
    <x v="1"/>
    <m/>
    <x v="6"/>
    <s v="Tấn"/>
    <n v="57.41"/>
    <n v="0.2479338842975207"/>
    <n v="1.3241626064612542"/>
    <m/>
  </r>
  <r>
    <x v="0"/>
    <x v="1"/>
    <x v="1"/>
    <m/>
    <x v="2"/>
    <s v="m3"/>
    <n v="58"/>
    <n v="0.49586776859504139"/>
    <n v="0.66888548314538188"/>
    <m/>
  </r>
  <r>
    <x v="0"/>
    <x v="1"/>
    <x v="1"/>
    <m/>
    <x v="7"/>
    <s v="m3"/>
    <n v="58"/>
    <n v="0.2479338842975207"/>
    <n v="1.3377709662907638"/>
    <m/>
  </r>
  <r>
    <x v="0"/>
    <x v="1"/>
    <x v="1"/>
    <m/>
    <x v="14"/>
    <s v="m3"/>
    <m/>
    <n v="0"/>
    <n v="0"/>
    <m/>
  </r>
  <r>
    <x v="0"/>
    <x v="1"/>
    <x v="1"/>
    <m/>
    <x v="3"/>
    <s v="Tấn"/>
    <n v="0.29299999999999998"/>
    <n v="1.652892561983471E-3"/>
    <n v="1.0137074822151564"/>
    <m/>
  </r>
  <r>
    <x v="0"/>
    <x v="1"/>
    <x v="1"/>
    <m/>
    <x v="4"/>
    <s v="Tấn"/>
    <n v="0.3"/>
    <n v="1.652892561983471E-3"/>
    <n v="1.0379257497083514"/>
    <m/>
  </r>
  <r>
    <x v="0"/>
    <x v="1"/>
    <x v="1"/>
    <m/>
    <x v="5"/>
    <s v="Tấn"/>
    <n v="0.86499999999999999"/>
    <n v="4.9586776859504135E-3"/>
    <n v="0.99756197055302642"/>
    <m/>
  </r>
  <r>
    <x v="0"/>
    <x v="1"/>
    <x v="2"/>
    <m/>
    <x v="8"/>
    <s v="m3"/>
    <m/>
    <n v="0.99999999999999989"/>
    <m/>
    <n v="193.279"/>
  </r>
  <r>
    <x v="0"/>
    <x v="1"/>
    <x v="2"/>
    <m/>
    <x v="6"/>
    <s v="Tấn"/>
    <n v="63.65"/>
    <n v="0.33057851239669422"/>
    <n v="0.99618297900961816"/>
    <m/>
  </r>
  <r>
    <x v="0"/>
    <x v="1"/>
    <x v="2"/>
    <m/>
    <x v="2"/>
    <s v="m3"/>
    <m/>
    <n v="0"/>
    <n v="0"/>
    <m/>
  </r>
  <r>
    <x v="0"/>
    <x v="1"/>
    <x v="2"/>
    <m/>
    <x v="7"/>
    <s v="m3"/>
    <n v="64"/>
    <n v="0.33057851239669422"/>
    <n v="1.0016608115729075"/>
    <m/>
  </r>
  <r>
    <x v="0"/>
    <x v="1"/>
    <x v="2"/>
    <m/>
    <x v="9"/>
    <s v="m3"/>
    <n v="64"/>
    <n v="0.33057851239669422"/>
    <n v="1.0016608115729075"/>
    <m/>
  </r>
  <r>
    <x v="0"/>
    <x v="1"/>
    <x v="2"/>
    <m/>
    <x v="3"/>
    <s v="Tấn"/>
    <n v="0.32300000000000001"/>
    <n v="1.652892561983471E-3"/>
    <n v="1.0110513816814035"/>
    <m/>
  </r>
  <r>
    <x v="0"/>
    <x v="1"/>
    <x v="2"/>
    <m/>
    <x v="4"/>
    <s v="Tấn"/>
    <n v="0.32500000000000001"/>
    <n v="1.652892561983471E-3"/>
    <n v="1.0173117617537342"/>
    <m/>
  </r>
  <r>
    <x v="0"/>
    <x v="1"/>
    <x v="2"/>
    <m/>
    <x v="5"/>
    <s v="Tấn"/>
    <n v="0.98099999999999998"/>
    <n v="4.9586776859504135E-3"/>
    <n v="1.0235721418260648"/>
    <m/>
  </r>
  <r>
    <x v="0"/>
    <x v="1"/>
    <x v="3"/>
    <m/>
    <x v="10"/>
    <m/>
    <n v="0"/>
    <n v="1"/>
    <m/>
    <n v="0"/>
  </r>
  <r>
    <x v="0"/>
    <x v="1"/>
    <x v="3"/>
    <m/>
    <x v="11"/>
    <s v="Tấn"/>
    <m/>
    <n v="0.62305295950155759"/>
    <n v="0"/>
    <m/>
  </r>
  <r>
    <x v="0"/>
    <x v="1"/>
    <x v="3"/>
    <m/>
    <x v="2"/>
    <s v="m3"/>
    <m/>
    <n v="0.12461059190031153"/>
    <n v="0"/>
    <m/>
  </r>
  <r>
    <x v="0"/>
    <x v="1"/>
    <x v="3"/>
    <m/>
    <x v="7"/>
    <s v="m3"/>
    <m/>
    <n v="0.24922118380062305"/>
    <n v="0"/>
    <m/>
  </r>
  <r>
    <x v="0"/>
    <x v="1"/>
    <x v="3"/>
    <m/>
    <x v="5"/>
    <s v="Tấn"/>
    <m/>
    <n v="3.1152647975077881E-3"/>
    <n v="0"/>
    <m/>
  </r>
  <r>
    <x v="0"/>
    <x v="1"/>
    <x v="4"/>
    <m/>
    <x v="12"/>
    <m/>
    <n v="0"/>
    <n v="0.99999999999999989"/>
    <m/>
    <n v="0"/>
  </r>
  <r>
    <x v="0"/>
    <x v="1"/>
    <x v="4"/>
    <m/>
    <x v="13"/>
    <s v="Tấn"/>
    <m/>
    <n v="0.33003300330033003"/>
    <n v="0"/>
    <m/>
  </r>
  <r>
    <x v="0"/>
    <x v="1"/>
    <x v="4"/>
    <m/>
    <x v="2"/>
    <s v="m3"/>
    <m/>
    <n v="0.33003300330033003"/>
    <n v="0"/>
    <m/>
  </r>
  <r>
    <x v="0"/>
    <x v="1"/>
    <x v="4"/>
    <m/>
    <x v="7"/>
    <s v="m3"/>
    <m/>
    <n v="0.33003300330033003"/>
    <n v="0"/>
    <m/>
  </r>
  <r>
    <x v="0"/>
    <x v="1"/>
    <x v="4"/>
    <m/>
    <x v="14"/>
    <s v="m3"/>
    <m/>
    <n v="0"/>
    <n v="0"/>
    <m/>
  </r>
  <r>
    <x v="0"/>
    <x v="1"/>
    <x v="4"/>
    <m/>
    <x v="3"/>
    <s v="Tấn"/>
    <m/>
    <n v="1.6501650165016502E-3"/>
    <n v="0"/>
    <m/>
  </r>
  <r>
    <x v="0"/>
    <x v="1"/>
    <x v="4"/>
    <m/>
    <x v="4"/>
    <s v="Tấn"/>
    <m/>
    <n v="1.6501650165016502E-3"/>
    <n v="0"/>
    <m/>
  </r>
  <r>
    <x v="0"/>
    <x v="1"/>
    <x v="4"/>
    <m/>
    <x v="5"/>
    <s v="Tấn"/>
    <m/>
    <n v="6.6006600660066007E-3"/>
    <n v="0"/>
    <m/>
  </r>
  <r>
    <x v="0"/>
    <x v="1"/>
    <x v="5"/>
    <m/>
    <x v="15"/>
    <m/>
    <n v="0"/>
    <n v="1"/>
    <m/>
    <n v="0"/>
  </r>
  <r>
    <x v="0"/>
    <x v="1"/>
    <x v="5"/>
    <m/>
    <x v="16"/>
    <s v="Tấn"/>
    <m/>
    <n v="0.76923076923076927"/>
    <n v="0"/>
    <m/>
  </r>
  <r>
    <x v="0"/>
    <x v="1"/>
    <x v="5"/>
    <m/>
    <x v="14"/>
    <s v="m3"/>
    <m/>
    <n v="0"/>
    <n v="0"/>
    <m/>
  </r>
  <r>
    <x v="0"/>
    <x v="1"/>
    <x v="5"/>
    <m/>
    <x v="2"/>
    <s v="m3"/>
    <m/>
    <n v="7.6923076923076927E-2"/>
    <n v="0"/>
    <m/>
  </r>
  <r>
    <x v="0"/>
    <x v="1"/>
    <x v="5"/>
    <m/>
    <x v="7"/>
    <s v="m3"/>
    <m/>
    <n v="0.15384615384615385"/>
    <n v="0"/>
    <m/>
  </r>
  <r>
    <x v="0"/>
    <x v="1"/>
    <x v="6"/>
    <m/>
    <x v="15"/>
    <m/>
    <n v="0"/>
    <n v="1"/>
    <m/>
    <n v="0"/>
  </r>
  <r>
    <x v="0"/>
    <x v="1"/>
    <x v="6"/>
    <m/>
    <x v="17"/>
    <s v="Tấn"/>
    <m/>
    <n v="0.76923076923076927"/>
    <n v="0"/>
    <m/>
  </r>
  <r>
    <x v="0"/>
    <x v="1"/>
    <x v="6"/>
    <m/>
    <x v="14"/>
    <s v="m3"/>
    <m/>
    <n v="0"/>
    <n v="0"/>
    <m/>
  </r>
  <r>
    <x v="0"/>
    <x v="1"/>
    <x v="6"/>
    <m/>
    <x v="2"/>
    <s v="m3"/>
    <m/>
    <n v="7.6923076923076927E-2"/>
    <n v="0"/>
    <m/>
  </r>
  <r>
    <x v="0"/>
    <x v="1"/>
    <x v="6"/>
    <m/>
    <x v="7"/>
    <s v="m3"/>
    <m/>
    <n v="0.15384615384615385"/>
    <n v="0"/>
    <m/>
  </r>
  <r>
    <x v="0"/>
    <x v="1"/>
    <x v="7"/>
    <m/>
    <x v="18"/>
    <m/>
    <m/>
    <n v="0"/>
    <m/>
    <n v="0"/>
  </r>
  <r>
    <x v="0"/>
    <x v="1"/>
    <x v="7"/>
    <m/>
    <x v="9"/>
    <s v="Tấn"/>
    <m/>
    <m/>
    <n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">
  <r>
    <x v="0"/>
    <n v="1"/>
    <x v="0"/>
    <x v="0"/>
    <s v="Tấn"/>
    <m/>
    <m/>
    <n v="0"/>
    <m/>
    <m/>
    <n v="0"/>
    <m/>
    <n v="0"/>
  </r>
  <r>
    <x v="0"/>
    <n v="1"/>
    <x v="0"/>
    <x v="1"/>
    <s v="Tấn"/>
    <m/>
    <m/>
    <n v="0"/>
    <n v="34.47"/>
    <m/>
    <n v="34.47"/>
    <m/>
    <n v="0"/>
  </r>
  <r>
    <x v="0"/>
    <n v="1"/>
    <x v="0"/>
    <x v="2"/>
    <s v="Tấn"/>
    <m/>
    <m/>
    <n v="0"/>
    <m/>
    <m/>
    <n v="0"/>
    <m/>
    <n v="0"/>
  </r>
  <r>
    <x v="0"/>
    <n v="1"/>
    <x v="0"/>
    <x v="3"/>
    <s v="Tấn"/>
    <m/>
    <m/>
    <n v="0"/>
    <m/>
    <m/>
    <n v="0"/>
    <m/>
    <n v="0"/>
  </r>
  <r>
    <x v="0"/>
    <n v="1"/>
    <x v="0"/>
    <x v="4"/>
    <s v="Tấn"/>
    <m/>
    <m/>
    <n v="0"/>
    <m/>
    <m/>
    <n v="0"/>
    <m/>
    <n v="0"/>
  </r>
  <r>
    <x v="0"/>
    <n v="1"/>
    <x v="0"/>
    <x v="5"/>
    <s v="Tấn"/>
    <m/>
    <m/>
    <n v="0"/>
    <m/>
    <m/>
    <n v="0"/>
    <m/>
    <n v="0"/>
  </r>
  <r>
    <x v="0"/>
    <n v="1"/>
    <x v="0"/>
    <x v="6"/>
    <s v="Tấn"/>
    <m/>
    <m/>
    <n v="0"/>
    <m/>
    <m/>
    <n v="0"/>
    <m/>
    <n v="0"/>
  </r>
  <r>
    <x v="0"/>
    <n v="1"/>
    <x v="0"/>
    <x v="7"/>
    <s v="m3"/>
    <s v="W01"/>
    <m/>
    <n v="102.997"/>
    <m/>
    <m/>
    <n v="0"/>
    <m/>
    <n v="102.997"/>
  </r>
  <r>
    <x v="0"/>
    <n v="1"/>
    <x v="0"/>
    <x v="8"/>
    <s v="m3"/>
    <m/>
    <m/>
    <n v="0"/>
    <m/>
    <m/>
    <n v="0"/>
    <m/>
    <n v="0"/>
  </r>
  <r>
    <x v="0"/>
    <n v="1"/>
    <x v="0"/>
    <x v="9"/>
    <s v="m3"/>
    <m/>
    <n v="168.8"/>
    <n v="0"/>
    <m/>
    <m/>
    <n v="34"/>
    <m/>
    <n v="134.80000000000001"/>
  </r>
  <r>
    <x v="0"/>
    <n v="1"/>
    <x v="0"/>
    <x v="10"/>
    <s v="Tấn"/>
    <m/>
    <n v="0.17604"/>
    <n v="0"/>
    <m/>
    <m/>
    <n v="0.17599999999999999"/>
    <m/>
    <n v="4.0000000000012248E-5"/>
  </r>
  <r>
    <x v="0"/>
    <n v="1"/>
    <x v="0"/>
    <x v="11"/>
    <s v="Tấn"/>
    <m/>
    <n v="0.27500000000000002"/>
    <n v="0"/>
    <m/>
    <m/>
    <n v="0.17599999999999999"/>
    <m/>
    <n v="9.9000000000000032E-2"/>
  </r>
  <r>
    <x v="0"/>
    <n v="1"/>
    <x v="0"/>
    <x v="12"/>
    <s v="Tấn"/>
    <m/>
    <n v="15.74738"/>
    <n v="0"/>
    <m/>
    <m/>
    <n v="0.17499999999999999"/>
    <m/>
    <n v="15.572379999999999"/>
  </r>
  <r>
    <x v="0"/>
    <n v="1"/>
    <x v="0"/>
    <x v="13"/>
    <s v="m3"/>
    <m/>
    <m/>
    <n v="0"/>
    <n v="34"/>
    <m/>
    <n v="34"/>
    <m/>
    <n v="0"/>
  </r>
  <r>
    <x v="0"/>
    <n v="1"/>
    <x v="0"/>
    <x v="14"/>
    <s v="m3"/>
    <m/>
    <m/>
    <n v="0"/>
    <m/>
    <m/>
    <n v="0"/>
    <m/>
    <n v="0"/>
  </r>
  <r>
    <x v="0"/>
    <n v="1"/>
    <x v="0"/>
    <x v="15"/>
    <s v="m3"/>
    <m/>
    <n v="64"/>
    <n v="0"/>
    <m/>
    <m/>
    <n v="0"/>
    <m/>
    <n v="64"/>
  </r>
  <r>
    <x v="0"/>
    <n v="1"/>
    <x v="0"/>
    <x v="16"/>
    <s v="m3"/>
    <m/>
    <m/>
    <n v="0"/>
    <m/>
    <m/>
    <n v="0"/>
    <m/>
    <n v="0"/>
  </r>
  <r>
    <x v="0"/>
    <n v="1"/>
    <x v="1"/>
    <x v="0"/>
    <s v="Tấn"/>
    <m/>
    <n v="0"/>
    <n v="0"/>
    <n v="10.55"/>
    <m/>
    <n v="10.55"/>
    <m/>
    <n v="0"/>
  </r>
  <r>
    <x v="0"/>
    <n v="1"/>
    <x v="1"/>
    <x v="1"/>
    <s v="Tấn"/>
    <m/>
    <n v="0"/>
    <n v="0"/>
    <n v="121.06"/>
    <m/>
    <n v="121.06"/>
    <m/>
    <n v="0"/>
  </r>
  <r>
    <x v="0"/>
    <n v="1"/>
    <x v="1"/>
    <x v="2"/>
    <s v="Tấn"/>
    <m/>
    <n v="0"/>
    <n v="0"/>
    <m/>
    <m/>
    <n v="0"/>
    <m/>
    <n v="0"/>
  </r>
  <r>
    <x v="0"/>
    <n v="1"/>
    <x v="1"/>
    <x v="3"/>
    <s v="Tấn"/>
    <m/>
    <n v="0"/>
    <n v="0"/>
    <m/>
    <m/>
    <n v="0"/>
    <m/>
    <n v="0"/>
  </r>
  <r>
    <x v="0"/>
    <n v="1"/>
    <x v="1"/>
    <x v="4"/>
    <s v="Tấn"/>
    <m/>
    <n v="0"/>
    <n v="0"/>
    <m/>
    <m/>
    <n v="0"/>
    <m/>
    <n v="0"/>
  </r>
  <r>
    <x v="0"/>
    <n v="1"/>
    <x v="1"/>
    <x v="5"/>
    <s v="Tấn"/>
    <m/>
    <n v="0"/>
    <n v="0"/>
    <m/>
    <m/>
    <n v="0"/>
    <m/>
    <n v="0"/>
  </r>
  <r>
    <x v="0"/>
    <n v="1"/>
    <x v="1"/>
    <x v="6"/>
    <s v="Tấn"/>
    <m/>
    <n v="0"/>
    <n v="0"/>
    <m/>
    <m/>
    <n v="0"/>
    <m/>
    <n v="0"/>
  </r>
  <r>
    <x v="0"/>
    <n v="1"/>
    <x v="1"/>
    <x v="7"/>
    <s v="m3"/>
    <s v="W01"/>
    <n v="102.821"/>
    <n v="201.69100000000003"/>
    <m/>
    <m/>
    <n v="0"/>
    <m/>
    <n v="304.51200000000006"/>
  </r>
  <r>
    <x v="0"/>
    <n v="1"/>
    <x v="1"/>
    <x v="8"/>
    <s v="m3"/>
    <s v="W01"/>
    <n v="0"/>
    <n v="193.279"/>
    <m/>
    <m/>
    <n v="0"/>
    <m/>
    <n v="193.279"/>
  </r>
  <r>
    <x v="0"/>
    <n v="1"/>
    <x v="1"/>
    <x v="9"/>
    <s v="m3"/>
    <m/>
    <n v="134.80000000000001"/>
    <n v="0"/>
    <m/>
    <m/>
    <n v="74"/>
    <m/>
    <n v="60.800000000000011"/>
  </r>
  <r>
    <x v="0"/>
    <n v="1"/>
    <x v="1"/>
    <x v="10"/>
    <s v="Tấn"/>
    <m/>
    <n v="0"/>
    <n v="0"/>
    <n v="5.2958699999999999"/>
    <m/>
    <n v="0.67500000000000004"/>
    <m/>
    <n v="4.62087"/>
  </r>
  <r>
    <x v="0"/>
    <n v="1"/>
    <x v="1"/>
    <x v="11"/>
    <s v="Tấn"/>
    <m/>
    <n v="9.9000000000000032E-2"/>
    <n v="0"/>
    <n v="5.4"/>
    <m/>
    <n v="0.67500000000000004"/>
    <m/>
    <n v="4.8240000000000007"/>
  </r>
  <r>
    <x v="0"/>
    <n v="1"/>
    <x v="1"/>
    <x v="12"/>
    <s v="Tấn"/>
    <m/>
    <n v="15.572379999999999"/>
    <n v="0"/>
    <m/>
    <m/>
    <n v="2.0099999999999998"/>
    <m/>
    <n v="13.562379999999999"/>
  </r>
  <r>
    <x v="0"/>
    <n v="1"/>
    <x v="1"/>
    <x v="13"/>
    <s v="m3"/>
    <m/>
    <n v="0"/>
    <n v="0"/>
    <n v="122"/>
    <m/>
    <n v="122"/>
    <m/>
    <n v="0"/>
  </r>
  <r>
    <x v="0"/>
    <n v="1"/>
    <x v="1"/>
    <x v="14"/>
    <s v="m3"/>
    <m/>
    <n v="0"/>
    <n v="0"/>
    <m/>
    <m/>
    <n v="0"/>
    <m/>
    <n v="0"/>
  </r>
  <r>
    <x v="0"/>
    <n v="1"/>
    <x v="1"/>
    <x v="15"/>
    <s v="m3"/>
    <m/>
    <n v="64"/>
    <n v="0"/>
    <m/>
    <m/>
    <n v="64"/>
    <m/>
    <n v="0"/>
  </r>
  <r>
    <x v="0"/>
    <n v="1"/>
    <x v="1"/>
    <x v="16"/>
    <s v="m3"/>
    <m/>
    <n v="0"/>
    <n v="0"/>
    <m/>
    <m/>
    <n v="0"/>
    <m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56">
  <r>
    <x v="0"/>
    <x v="0"/>
    <x v="0"/>
    <x v="0"/>
    <x v="0"/>
    <x v="0"/>
    <m/>
    <x v="0"/>
    <x v="0"/>
    <x v="0"/>
    <s v="S"/>
    <d v="1899-12-30T07:30:00"/>
    <d v="1899-12-30T11:30:00"/>
    <d v="1899-12-30T00:15:00"/>
    <m/>
    <m/>
    <m/>
    <d v="1899-12-30T03:45:00"/>
    <m/>
    <m/>
    <m/>
    <m/>
    <m/>
    <m/>
    <x v="0"/>
  </r>
  <r>
    <x v="0"/>
    <x v="0"/>
    <x v="0"/>
    <x v="1"/>
    <x v="1"/>
    <x v="1"/>
    <m/>
    <x v="0"/>
    <x v="0"/>
    <x v="0"/>
    <s v="C"/>
    <d v="1899-12-30T12:30:00"/>
    <d v="1899-12-30T15:55:00"/>
    <m/>
    <m/>
    <m/>
    <m/>
    <d v="1899-12-30T03:25:00"/>
    <m/>
    <m/>
    <m/>
    <m/>
    <m/>
    <m/>
    <x v="0"/>
  </r>
  <r>
    <x v="0"/>
    <x v="0"/>
    <x v="0"/>
    <x v="1"/>
    <x v="2"/>
    <x v="2"/>
    <m/>
    <x v="0"/>
    <x v="0"/>
    <x v="0"/>
    <s v="C"/>
    <d v="1899-12-30T15:55:00"/>
    <d v="1899-12-30T16:30:00"/>
    <m/>
    <m/>
    <m/>
    <m/>
    <d v="1899-12-30T00:35:00"/>
    <m/>
    <m/>
    <m/>
    <m/>
    <m/>
    <m/>
    <x v="0"/>
  </r>
  <r>
    <x v="0"/>
    <x v="0"/>
    <x v="0"/>
    <x v="2"/>
    <x v="3"/>
    <x v="3"/>
    <m/>
    <x v="1"/>
    <x v="0"/>
    <x v="1"/>
    <s v="S"/>
    <d v="1899-12-30T07:30:00"/>
    <d v="1899-12-30T07:40:00"/>
    <m/>
    <m/>
    <m/>
    <m/>
    <d v="1899-12-30T00:10:00"/>
    <n v="1"/>
    <m/>
    <m/>
    <m/>
    <m/>
    <m/>
    <x v="0"/>
  </r>
  <r>
    <x v="0"/>
    <x v="0"/>
    <x v="0"/>
    <x v="2"/>
    <x v="3"/>
    <x v="3"/>
    <m/>
    <x v="2"/>
    <x v="0"/>
    <x v="1"/>
    <s v="S"/>
    <d v="1899-12-30T07:30:00"/>
    <d v="1899-12-30T07:50:00"/>
    <m/>
    <m/>
    <m/>
    <m/>
    <d v="1899-12-30T00:20:00"/>
    <n v="1"/>
    <m/>
    <m/>
    <m/>
    <m/>
    <m/>
    <x v="0"/>
  </r>
  <r>
    <x v="0"/>
    <x v="0"/>
    <x v="0"/>
    <x v="3"/>
    <x v="4"/>
    <x v="4"/>
    <m/>
    <x v="3"/>
    <x v="0"/>
    <x v="2"/>
    <s v="S"/>
    <d v="1899-12-30T07:30:00"/>
    <d v="1899-12-30T09:00:00"/>
    <d v="1899-12-30T00:15:00"/>
    <m/>
    <m/>
    <m/>
    <d v="1899-12-30T01:15:00"/>
    <m/>
    <m/>
    <m/>
    <m/>
    <m/>
    <m/>
    <x v="0"/>
  </r>
  <r>
    <x v="0"/>
    <x v="0"/>
    <x v="0"/>
    <x v="3"/>
    <x v="5"/>
    <x v="5"/>
    <m/>
    <x v="4"/>
    <x v="1"/>
    <x v="1"/>
    <s v="S"/>
    <d v="1899-12-30T07:30:00"/>
    <d v="1899-12-30T09:00:00"/>
    <m/>
    <m/>
    <m/>
    <m/>
    <d v="1899-12-30T01:30:00"/>
    <n v="6"/>
    <m/>
    <m/>
    <m/>
    <m/>
    <m/>
    <x v="0"/>
  </r>
  <r>
    <x v="0"/>
    <x v="0"/>
    <x v="0"/>
    <x v="3"/>
    <x v="5"/>
    <x v="5"/>
    <m/>
    <x v="5"/>
    <x v="1"/>
    <x v="3"/>
    <s v="S"/>
    <d v="1899-12-30T07:20:00"/>
    <d v="1899-12-30T09:00:00"/>
    <d v="1899-12-30T00:10:00"/>
    <m/>
    <m/>
    <m/>
    <d v="1899-12-30T01:30:00"/>
    <n v="3"/>
    <m/>
    <m/>
    <m/>
    <m/>
    <m/>
    <x v="0"/>
  </r>
  <r>
    <x v="0"/>
    <x v="0"/>
    <x v="0"/>
    <x v="3"/>
    <x v="5"/>
    <x v="5"/>
    <m/>
    <x v="2"/>
    <x v="1"/>
    <x v="1"/>
    <s v="S"/>
    <d v="1899-12-30T07:50:00"/>
    <d v="1899-12-30T09:00:00"/>
    <m/>
    <m/>
    <m/>
    <m/>
    <d v="1899-12-30T01:10:00"/>
    <n v="3"/>
    <m/>
    <m/>
    <m/>
    <m/>
    <m/>
    <x v="0"/>
  </r>
  <r>
    <x v="0"/>
    <x v="0"/>
    <x v="0"/>
    <x v="3"/>
    <x v="6"/>
    <x v="6"/>
    <m/>
    <x v="3"/>
    <x v="0"/>
    <x v="2"/>
    <s v="S"/>
    <d v="1899-12-30T09:00:00"/>
    <d v="1899-12-30T11:10:00"/>
    <m/>
    <m/>
    <m/>
    <m/>
    <d v="1899-12-30T02:10:00"/>
    <n v="11"/>
    <m/>
    <m/>
    <m/>
    <m/>
    <m/>
    <x v="0"/>
  </r>
  <r>
    <x v="0"/>
    <x v="0"/>
    <x v="0"/>
    <x v="3"/>
    <x v="6"/>
    <x v="6"/>
    <m/>
    <x v="2"/>
    <x v="0"/>
    <x v="1"/>
    <s v="S"/>
    <d v="1899-12-30T09:00:00"/>
    <d v="1899-12-30T11:10:00"/>
    <m/>
    <m/>
    <m/>
    <m/>
    <d v="1899-12-30T02:10:00"/>
    <n v="5"/>
    <m/>
    <m/>
    <m/>
    <m/>
    <m/>
    <x v="0"/>
  </r>
  <r>
    <x v="0"/>
    <x v="0"/>
    <x v="0"/>
    <x v="3"/>
    <x v="6"/>
    <x v="6"/>
    <m/>
    <x v="5"/>
    <x v="0"/>
    <x v="3"/>
    <s v="S"/>
    <d v="1899-12-30T09:00:00"/>
    <d v="1899-12-30T11:10:00"/>
    <m/>
    <m/>
    <m/>
    <m/>
    <d v="1899-12-30T02:10:00"/>
    <n v="6"/>
    <m/>
    <m/>
    <m/>
    <m/>
    <m/>
    <x v="0"/>
  </r>
  <r>
    <x v="0"/>
    <x v="0"/>
    <x v="0"/>
    <x v="3"/>
    <x v="6"/>
    <x v="6"/>
    <m/>
    <x v="4"/>
    <x v="0"/>
    <x v="1"/>
    <s v="S"/>
    <d v="1899-12-30T09:00:00"/>
    <d v="1899-12-30T11:30:00"/>
    <m/>
    <m/>
    <m/>
    <m/>
    <d v="1899-12-30T02:30:00"/>
    <n v="11"/>
    <m/>
    <m/>
    <m/>
    <m/>
    <m/>
    <x v="0"/>
  </r>
  <r>
    <x v="0"/>
    <x v="0"/>
    <x v="0"/>
    <x v="3"/>
    <x v="7"/>
    <x v="7"/>
    <m/>
    <x v="3"/>
    <x v="0"/>
    <x v="2"/>
    <s v="S"/>
    <d v="1899-12-30T11:10:00"/>
    <d v="1899-12-30T11:30:00"/>
    <m/>
    <m/>
    <m/>
    <m/>
    <d v="1899-12-30T00:20:00"/>
    <n v="2"/>
    <m/>
    <m/>
    <m/>
    <m/>
    <m/>
    <x v="0"/>
  </r>
  <r>
    <x v="0"/>
    <x v="0"/>
    <x v="0"/>
    <x v="3"/>
    <x v="7"/>
    <x v="7"/>
    <m/>
    <x v="2"/>
    <x v="0"/>
    <x v="1"/>
    <s v="S"/>
    <d v="1899-12-30T11:10:00"/>
    <d v="1899-12-30T11:30:00"/>
    <m/>
    <m/>
    <m/>
    <m/>
    <d v="1899-12-30T00:20:00"/>
    <n v="1"/>
    <m/>
    <m/>
    <m/>
    <m/>
    <m/>
    <x v="0"/>
  </r>
  <r>
    <x v="0"/>
    <x v="0"/>
    <x v="0"/>
    <x v="3"/>
    <x v="7"/>
    <x v="7"/>
    <m/>
    <x v="5"/>
    <x v="0"/>
    <x v="3"/>
    <s v="S"/>
    <d v="1899-12-30T11:10:00"/>
    <d v="1899-12-30T11:30:00"/>
    <m/>
    <m/>
    <m/>
    <m/>
    <d v="1899-12-30T00:20:00"/>
    <n v="1"/>
    <m/>
    <m/>
    <m/>
    <m/>
    <m/>
    <x v="0"/>
  </r>
  <r>
    <x v="0"/>
    <x v="0"/>
    <x v="0"/>
    <x v="3"/>
    <x v="7"/>
    <x v="7"/>
    <m/>
    <x v="3"/>
    <x v="0"/>
    <x v="2"/>
    <s v="C"/>
    <d v="1899-12-30T12:30:00"/>
    <d v="1899-12-30T15:45:00"/>
    <m/>
    <m/>
    <m/>
    <m/>
    <d v="1899-12-30T03:15:00"/>
    <n v="18"/>
    <m/>
    <m/>
    <m/>
    <m/>
    <m/>
    <x v="0"/>
  </r>
  <r>
    <x v="0"/>
    <x v="0"/>
    <x v="0"/>
    <x v="3"/>
    <x v="7"/>
    <x v="7"/>
    <m/>
    <x v="2"/>
    <x v="0"/>
    <x v="1"/>
    <s v="C"/>
    <d v="1899-12-30T12:30:00"/>
    <d v="1899-12-30T15:50:00"/>
    <m/>
    <m/>
    <m/>
    <m/>
    <d v="1899-12-30T03:20:00"/>
    <n v="9"/>
    <m/>
    <m/>
    <m/>
    <m/>
    <m/>
    <x v="0"/>
  </r>
  <r>
    <x v="0"/>
    <x v="0"/>
    <x v="0"/>
    <x v="3"/>
    <x v="7"/>
    <x v="7"/>
    <m/>
    <x v="5"/>
    <x v="0"/>
    <x v="3"/>
    <s v="C"/>
    <d v="1899-12-30T12:30:00"/>
    <d v="1899-12-30T15:45:00"/>
    <m/>
    <m/>
    <m/>
    <m/>
    <d v="1899-12-30T03:15:00"/>
    <n v="9"/>
    <m/>
    <m/>
    <m/>
    <m/>
    <m/>
    <x v="0"/>
  </r>
  <r>
    <x v="0"/>
    <x v="0"/>
    <x v="0"/>
    <x v="4"/>
    <x v="8"/>
    <x v="8"/>
    <m/>
    <x v="6"/>
    <x v="0"/>
    <x v="1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4"/>
    <x v="8"/>
    <x v="8"/>
    <m/>
    <x v="6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0"/>
    <x v="0"/>
    <x v="4"/>
    <x v="9"/>
    <x v="9"/>
    <m/>
    <x v="7"/>
    <x v="0"/>
    <x v="1"/>
    <s v="S"/>
    <d v="1899-12-30T07:30:00"/>
    <d v="1899-12-30T08:20:00"/>
    <m/>
    <m/>
    <m/>
    <m/>
    <d v="1899-12-30T00:50:00"/>
    <n v="2"/>
    <m/>
    <m/>
    <m/>
    <m/>
    <m/>
    <x v="0"/>
  </r>
  <r>
    <x v="0"/>
    <x v="0"/>
    <x v="0"/>
    <x v="4"/>
    <x v="9"/>
    <x v="9"/>
    <m/>
    <x v="8"/>
    <x v="0"/>
    <x v="1"/>
    <s v="S"/>
    <d v="1899-12-30T07:30:00"/>
    <d v="1899-12-30T11:30:00"/>
    <m/>
    <m/>
    <m/>
    <m/>
    <d v="1899-12-30T04:00:00"/>
    <n v="26"/>
    <m/>
    <m/>
    <m/>
    <m/>
    <m/>
    <x v="0"/>
  </r>
  <r>
    <x v="0"/>
    <x v="0"/>
    <x v="0"/>
    <x v="4"/>
    <x v="9"/>
    <x v="9"/>
    <m/>
    <x v="8"/>
    <x v="0"/>
    <x v="1"/>
    <s v="C"/>
    <d v="1899-12-30T12:30:00"/>
    <d v="1899-12-30T16:30:00"/>
    <m/>
    <m/>
    <m/>
    <m/>
    <d v="1899-12-30T04:00:00"/>
    <n v="27"/>
    <m/>
    <m/>
    <m/>
    <m/>
    <m/>
    <x v="0"/>
  </r>
  <r>
    <x v="0"/>
    <x v="0"/>
    <x v="0"/>
    <x v="4"/>
    <x v="9"/>
    <x v="9"/>
    <m/>
    <x v="9"/>
    <x v="0"/>
    <x v="1"/>
    <s v="S"/>
    <d v="1899-12-30T07:30:00"/>
    <d v="1899-12-30T11:30:00"/>
    <m/>
    <m/>
    <m/>
    <m/>
    <d v="1899-12-30T04:00:00"/>
    <n v="14"/>
    <m/>
    <m/>
    <m/>
    <m/>
    <m/>
    <x v="0"/>
  </r>
  <r>
    <x v="0"/>
    <x v="0"/>
    <x v="0"/>
    <x v="4"/>
    <x v="9"/>
    <x v="9"/>
    <m/>
    <x v="9"/>
    <x v="0"/>
    <x v="1"/>
    <s v="C"/>
    <d v="1899-12-30T12:30:00"/>
    <d v="1899-12-30T16:30:00"/>
    <m/>
    <m/>
    <m/>
    <m/>
    <d v="1899-12-30T04:00:00"/>
    <n v="13"/>
    <m/>
    <m/>
    <m/>
    <m/>
    <m/>
    <x v="0"/>
  </r>
  <r>
    <x v="0"/>
    <x v="0"/>
    <x v="0"/>
    <x v="4"/>
    <x v="9"/>
    <x v="9"/>
    <m/>
    <x v="10"/>
    <x v="0"/>
    <x v="1"/>
    <s v="S"/>
    <d v="1899-12-30T07:30:00"/>
    <d v="1899-12-30T11:30:00"/>
    <m/>
    <m/>
    <m/>
    <m/>
    <d v="1899-12-30T04:00:00"/>
    <n v="14"/>
    <m/>
    <m/>
    <m/>
    <m/>
    <m/>
    <x v="0"/>
  </r>
  <r>
    <x v="0"/>
    <x v="0"/>
    <x v="0"/>
    <x v="4"/>
    <x v="9"/>
    <x v="9"/>
    <m/>
    <x v="10"/>
    <x v="0"/>
    <x v="1"/>
    <s v="C"/>
    <d v="1899-12-30T12:30:00"/>
    <d v="1899-12-30T16:30:00"/>
    <m/>
    <m/>
    <m/>
    <m/>
    <d v="1899-12-30T04:00:00"/>
    <n v="14"/>
    <m/>
    <m/>
    <m/>
    <m/>
    <m/>
    <x v="0"/>
  </r>
  <r>
    <x v="0"/>
    <x v="0"/>
    <x v="0"/>
    <x v="4"/>
    <x v="9"/>
    <x v="9"/>
    <m/>
    <x v="11"/>
    <x v="0"/>
    <x v="1"/>
    <s v="S"/>
    <d v="1899-12-30T07:30:00"/>
    <d v="1899-12-30T11:30:00"/>
    <m/>
    <m/>
    <m/>
    <m/>
    <d v="1899-12-30T04:00:00"/>
    <n v="28"/>
    <m/>
    <m/>
    <m/>
    <m/>
    <m/>
    <x v="0"/>
  </r>
  <r>
    <x v="0"/>
    <x v="0"/>
    <x v="0"/>
    <x v="4"/>
    <x v="9"/>
    <x v="9"/>
    <m/>
    <x v="11"/>
    <x v="0"/>
    <x v="1"/>
    <s v="C"/>
    <d v="1899-12-30T12:30:00"/>
    <d v="1899-12-30T16:25:00"/>
    <m/>
    <m/>
    <m/>
    <m/>
    <d v="1899-12-30T03:55:00"/>
    <n v="27"/>
    <m/>
    <m/>
    <m/>
    <m/>
    <m/>
    <x v="0"/>
  </r>
  <r>
    <x v="0"/>
    <x v="0"/>
    <x v="0"/>
    <x v="4"/>
    <x v="10"/>
    <x v="10"/>
    <m/>
    <x v="12"/>
    <x v="0"/>
    <x v="4"/>
    <s v="S"/>
    <d v="1899-12-30T07:25:00"/>
    <d v="1899-12-30T08:50:00"/>
    <d v="1899-12-30T00:10:00"/>
    <m/>
    <m/>
    <m/>
    <d v="1899-12-30T01:15:00"/>
    <m/>
    <m/>
    <m/>
    <m/>
    <m/>
    <m/>
    <x v="0"/>
  </r>
  <r>
    <x v="0"/>
    <x v="0"/>
    <x v="0"/>
    <x v="3"/>
    <x v="11"/>
    <x v="11"/>
    <m/>
    <x v="12"/>
    <x v="0"/>
    <x v="4"/>
    <s v="S"/>
    <d v="1899-12-30T08:50:00"/>
    <d v="1899-12-30T11:15:00"/>
    <m/>
    <m/>
    <m/>
    <m/>
    <d v="1899-12-30T02:25:00"/>
    <m/>
    <m/>
    <m/>
    <m/>
    <m/>
    <m/>
    <x v="0"/>
  </r>
  <r>
    <x v="0"/>
    <x v="0"/>
    <x v="0"/>
    <x v="3"/>
    <x v="11"/>
    <x v="11"/>
    <m/>
    <x v="12"/>
    <x v="0"/>
    <x v="4"/>
    <s v="C"/>
    <d v="1899-12-30T12:30:00"/>
    <d v="1899-12-30T14:00:00"/>
    <m/>
    <m/>
    <m/>
    <m/>
    <d v="1899-12-30T01:30:00"/>
    <m/>
    <m/>
    <m/>
    <m/>
    <m/>
    <m/>
    <x v="0"/>
  </r>
  <r>
    <x v="0"/>
    <x v="0"/>
    <x v="0"/>
    <x v="3"/>
    <x v="11"/>
    <x v="11"/>
    <m/>
    <x v="12"/>
    <x v="0"/>
    <x v="4"/>
    <s v="C"/>
    <d v="1899-12-30T15:00:00"/>
    <d v="1899-12-30T16:15:00"/>
    <m/>
    <m/>
    <m/>
    <m/>
    <d v="1899-12-30T01:15:00"/>
    <m/>
    <m/>
    <m/>
    <m/>
    <m/>
    <m/>
    <x v="0"/>
  </r>
  <r>
    <x v="0"/>
    <x v="0"/>
    <x v="0"/>
    <x v="5"/>
    <x v="12"/>
    <x v="12"/>
    <m/>
    <x v="3"/>
    <x v="2"/>
    <x v="2"/>
    <s v="C"/>
    <d v="1899-12-30T15:45:00"/>
    <d v="1899-12-30T16:30:00"/>
    <m/>
    <m/>
    <m/>
    <m/>
    <d v="1899-12-30T00:45:00"/>
    <n v="6"/>
    <m/>
    <m/>
    <m/>
    <m/>
    <m/>
    <x v="0"/>
  </r>
  <r>
    <x v="0"/>
    <x v="0"/>
    <x v="0"/>
    <x v="5"/>
    <x v="12"/>
    <x v="12"/>
    <m/>
    <x v="2"/>
    <x v="2"/>
    <x v="1"/>
    <s v="C"/>
    <d v="1899-12-30T15:50:00"/>
    <d v="1899-12-30T16:30:00"/>
    <m/>
    <m/>
    <m/>
    <m/>
    <d v="1899-12-30T00:40:00"/>
    <n v="3"/>
    <m/>
    <m/>
    <m/>
    <m/>
    <m/>
    <x v="0"/>
  </r>
  <r>
    <x v="0"/>
    <x v="0"/>
    <x v="0"/>
    <x v="5"/>
    <x v="12"/>
    <x v="12"/>
    <m/>
    <x v="5"/>
    <x v="2"/>
    <x v="3"/>
    <s v="C"/>
    <d v="1899-12-30T15:45:00"/>
    <d v="1899-12-30T16:30:00"/>
    <m/>
    <m/>
    <m/>
    <m/>
    <d v="1899-12-30T00:45:00"/>
    <n v="3"/>
    <m/>
    <m/>
    <m/>
    <m/>
    <m/>
    <x v="0"/>
  </r>
  <r>
    <x v="0"/>
    <x v="0"/>
    <x v="0"/>
    <x v="0"/>
    <x v="13"/>
    <x v="13"/>
    <m/>
    <x v="13"/>
    <x v="3"/>
    <x v="5"/>
    <s v="S"/>
    <d v="1899-12-30T06:00:00"/>
    <d v="1899-12-30T11:00:00"/>
    <d v="1899-12-30T00:10:00"/>
    <m/>
    <m/>
    <m/>
    <d v="1899-12-30T04:50:00"/>
    <m/>
    <m/>
    <m/>
    <m/>
    <m/>
    <m/>
    <x v="0"/>
  </r>
  <r>
    <x v="0"/>
    <x v="0"/>
    <x v="0"/>
    <x v="0"/>
    <x v="13"/>
    <x v="13"/>
    <m/>
    <x v="13"/>
    <x v="3"/>
    <x v="5"/>
    <s v="C"/>
    <d v="1899-12-30T12:00:00"/>
    <d v="1899-12-30T14:00:00"/>
    <m/>
    <m/>
    <m/>
    <m/>
    <d v="1899-12-30T02:00:00"/>
    <m/>
    <m/>
    <m/>
    <m/>
    <m/>
    <m/>
    <x v="0"/>
  </r>
  <r>
    <x v="0"/>
    <x v="0"/>
    <x v="0"/>
    <x v="0"/>
    <x v="13"/>
    <x v="13"/>
    <m/>
    <x v="14"/>
    <x v="3"/>
    <x v="6"/>
    <s v="S"/>
    <d v="1899-12-30T06:00:00"/>
    <d v="1899-12-30T09:00:00"/>
    <d v="1899-12-30T00:10:00"/>
    <m/>
    <m/>
    <m/>
    <d v="1899-12-30T02:50:00"/>
    <m/>
    <m/>
    <m/>
    <m/>
    <m/>
    <m/>
    <x v="0"/>
  </r>
  <r>
    <x v="0"/>
    <x v="0"/>
    <x v="0"/>
    <x v="0"/>
    <x v="13"/>
    <x v="13"/>
    <m/>
    <x v="14"/>
    <x v="3"/>
    <x v="6"/>
    <s v="S"/>
    <d v="1899-12-30T10:00:00"/>
    <d v="1899-12-30T11:00:00"/>
    <m/>
    <m/>
    <m/>
    <m/>
    <d v="1899-12-30T01:00:00"/>
    <m/>
    <m/>
    <m/>
    <m/>
    <m/>
    <m/>
    <x v="0"/>
  </r>
  <r>
    <x v="0"/>
    <x v="0"/>
    <x v="0"/>
    <x v="0"/>
    <x v="13"/>
    <x v="13"/>
    <m/>
    <x v="14"/>
    <x v="3"/>
    <x v="6"/>
    <s v="C"/>
    <d v="1899-12-30T11:30:00"/>
    <d v="1899-12-30T14:00:00"/>
    <m/>
    <m/>
    <m/>
    <m/>
    <d v="1899-12-30T02:30:00"/>
    <m/>
    <m/>
    <m/>
    <m/>
    <m/>
    <m/>
    <x v="0"/>
  </r>
  <r>
    <x v="0"/>
    <x v="0"/>
    <x v="1"/>
    <x v="0"/>
    <x v="14"/>
    <x v="14"/>
    <m/>
    <x v="14"/>
    <x v="3"/>
    <x v="7"/>
    <s v="C"/>
    <d v="1899-12-30T14:00:00"/>
    <d v="1899-12-30T16:00:00"/>
    <m/>
    <m/>
    <m/>
    <m/>
    <d v="1899-12-30T02:00:00"/>
    <m/>
    <m/>
    <m/>
    <m/>
    <m/>
    <m/>
    <x v="0"/>
  </r>
  <r>
    <x v="0"/>
    <x v="0"/>
    <x v="1"/>
    <x v="0"/>
    <x v="14"/>
    <x v="14"/>
    <m/>
    <x v="14"/>
    <x v="3"/>
    <x v="7"/>
    <s v="T"/>
    <d v="1899-12-30T16:30:00"/>
    <d v="1899-12-30T17:00:00"/>
    <m/>
    <m/>
    <m/>
    <m/>
    <d v="1899-12-30T00:30:00"/>
    <m/>
    <m/>
    <m/>
    <m/>
    <m/>
    <m/>
    <x v="0"/>
  </r>
  <r>
    <x v="0"/>
    <x v="0"/>
    <x v="1"/>
    <x v="0"/>
    <x v="15"/>
    <x v="15"/>
    <m/>
    <x v="14"/>
    <x v="3"/>
    <x v="7"/>
    <s v="T"/>
    <d v="1899-12-30T17:00:00"/>
    <d v="1899-12-30T18:00:00"/>
    <m/>
    <m/>
    <m/>
    <m/>
    <d v="1899-12-30T01:00:00"/>
    <m/>
    <m/>
    <m/>
    <m/>
    <m/>
    <m/>
    <x v="0"/>
  </r>
  <r>
    <x v="0"/>
    <x v="0"/>
    <x v="1"/>
    <x v="0"/>
    <x v="13"/>
    <x v="13"/>
    <m/>
    <x v="14"/>
    <x v="3"/>
    <x v="7"/>
    <s v="T"/>
    <d v="1899-12-30T18:00:00"/>
    <d v="1899-12-30T22:00:00"/>
    <m/>
    <m/>
    <m/>
    <m/>
    <d v="1899-12-30T04:00:00"/>
    <m/>
    <m/>
    <m/>
    <m/>
    <m/>
    <m/>
    <x v="0"/>
  </r>
  <r>
    <x v="0"/>
    <x v="0"/>
    <x v="1"/>
    <x v="0"/>
    <x v="13"/>
    <x v="13"/>
    <m/>
    <x v="13"/>
    <x v="3"/>
    <x v="8"/>
    <s v="T"/>
    <d v="1899-12-30T18:00:00"/>
    <d v="1899-12-30T22:00:00"/>
    <m/>
    <m/>
    <m/>
    <m/>
    <d v="1899-12-30T04:00:00"/>
    <m/>
    <m/>
    <m/>
    <m/>
    <m/>
    <m/>
    <x v="0"/>
  </r>
  <r>
    <x v="0"/>
    <x v="0"/>
    <x v="0"/>
    <x v="2"/>
    <x v="16"/>
    <x v="16"/>
    <m/>
    <x v="1"/>
    <x v="0"/>
    <x v="1"/>
    <s v="S"/>
    <d v="1899-12-30T07:30:00"/>
    <d v="1899-12-30T11:30:00"/>
    <m/>
    <m/>
    <m/>
    <m/>
    <d v="1899-12-30T04:00:00"/>
    <n v="20"/>
    <m/>
    <m/>
    <m/>
    <m/>
    <m/>
    <x v="0"/>
  </r>
  <r>
    <x v="0"/>
    <x v="0"/>
    <x v="0"/>
    <x v="2"/>
    <x v="16"/>
    <x v="16"/>
    <m/>
    <x v="15"/>
    <x v="0"/>
    <x v="1"/>
    <s v="S"/>
    <d v="1899-12-30T07:30:00"/>
    <d v="1899-12-30T11:30:00"/>
    <m/>
    <m/>
    <m/>
    <m/>
    <d v="1899-12-30T04:00:00"/>
    <n v="5"/>
    <m/>
    <m/>
    <m/>
    <m/>
    <m/>
    <x v="0"/>
  </r>
  <r>
    <x v="0"/>
    <x v="0"/>
    <x v="0"/>
    <x v="2"/>
    <x v="16"/>
    <x v="16"/>
    <m/>
    <x v="16"/>
    <x v="0"/>
    <x v="1"/>
    <s v="S"/>
    <d v="1899-12-30T07:30:00"/>
    <d v="1899-12-30T11:30:00"/>
    <m/>
    <m/>
    <m/>
    <m/>
    <d v="1899-12-30T04:00:00"/>
    <n v="8"/>
    <m/>
    <m/>
    <m/>
    <m/>
    <m/>
    <x v="0"/>
  </r>
  <r>
    <x v="0"/>
    <x v="0"/>
    <x v="0"/>
    <x v="2"/>
    <x v="16"/>
    <x v="16"/>
    <m/>
    <x v="17"/>
    <x v="0"/>
    <x v="1"/>
    <s v="S"/>
    <d v="1899-12-30T07:30:00"/>
    <d v="1899-12-30T11:30:00"/>
    <m/>
    <m/>
    <m/>
    <m/>
    <d v="1899-12-30T04:00:00"/>
    <n v="7"/>
    <m/>
    <m/>
    <m/>
    <m/>
    <m/>
    <x v="0"/>
  </r>
  <r>
    <x v="0"/>
    <x v="0"/>
    <x v="0"/>
    <x v="2"/>
    <x v="16"/>
    <x v="16"/>
    <m/>
    <x v="18"/>
    <x v="0"/>
    <x v="1"/>
    <s v="S"/>
    <d v="1899-12-30T07:30:00"/>
    <d v="1899-12-30T11:30:00"/>
    <m/>
    <m/>
    <m/>
    <m/>
    <d v="1899-12-30T04:00:00"/>
    <n v="20"/>
    <m/>
    <m/>
    <m/>
    <m/>
    <m/>
    <x v="0"/>
  </r>
  <r>
    <x v="0"/>
    <x v="0"/>
    <x v="0"/>
    <x v="2"/>
    <x v="17"/>
    <x v="17"/>
    <m/>
    <x v="19"/>
    <x v="0"/>
    <x v="9"/>
    <s v="S"/>
    <d v="1899-12-30T07:30:00"/>
    <d v="1899-12-30T11:25:00"/>
    <d v="1899-12-30T00:10:00"/>
    <m/>
    <m/>
    <m/>
    <d v="1899-12-30T03:45:00"/>
    <m/>
    <m/>
    <m/>
    <m/>
    <m/>
    <m/>
    <x v="0"/>
  </r>
  <r>
    <x v="0"/>
    <x v="0"/>
    <x v="0"/>
    <x v="2"/>
    <x v="18"/>
    <x v="18"/>
    <m/>
    <x v="20"/>
    <x v="0"/>
    <x v="1"/>
    <s v="S"/>
    <d v="1899-12-30T09:30:00"/>
    <d v="1899-12-30T11:30:00"/>
    <m/>
    <m/>
    <m/>
    <m/>
    <d v="1899-12-30T02:00:00"/>
    <m/>
    <m/>
    <m/>
    <m/>
    <m/>
    <m/>
    <x v="0"/>
  </r>
  <r>
    <x v="0"/>
    <x v="0"/>
    <x v="0"/>
    <x v="0"/>
    <x v="19"/>
    <x v="19"/>
    <m/>
    <x v="21"/>
    <x v="0"/>
    <x v="10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1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2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3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4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19"/>
    <x v="19"/>
    <m/>
    <x v="21"/>
    <x v="0"/>
    <x v="15"/>
    <s v="S"/>
    <d v="1899-12-30T09:00:00"/>
    <d v="1899-12-30T10:00:00"/>
    <m/>
    <m/>
    <m/>
    <m/>
    <d v="1899-12-30T01:00:00"/>
    <m/>
    <m/>
    <m/>
    <m/>
    <m/>
    <m/>
    <x v="0"/>
  </r>
  <r>
    <x v="0"/>
    <x v="0"/>
    <x v="0"/>
    <x v="0"/>
    <x v="20"/>
    <x v="20"/>
    <m/>
    <x v="22"/>
    <x v="0"/>
    <x v="16"/>
    <s v="S"/>
    <d v="1899-12-30T07:20:00"/>
    <d v="1899-12-30T11:30:00"/>
    <d v="1899-12-30T00:10:00"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0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1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2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3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4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1"/>
    <x v="0"/>
    <x v="15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0"/>
    <x v="20"/>
    <x v="20"/>
    <m/>
    <x v="22"/>
    <x v="0"/>
    <x v="16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0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1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2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3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4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5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7"/>
    <s v="C"/>
    <d v="1899-12-30T12:30:00"/>
    <d v="1899-12-30T13:30:00"/>
    <m/>
    <m/>
    <m/>
    <m/>
    <d v="1899-12-30T01:00:00"/>
    <m/>
    <m/>
    <m/>
    <m/>
    <m/>
    <m/>
    <x v="0"/>
  </r>
  <r>
    <x v="0"/>
    <x v="0"/>
    <x v="0"/>
    <x v="0"/>
    <x v="15"/>
    <x v="15"/>
    <m/>
    <x v="22"/>
    <x v="0"/>
    <x v="16"/>
    <s v="C"/>
    <d v="1899-12-30T13:30:00"/>
    <d v="1899-12-30T15:30:00"/>
    <m/>
    <m/>
    <m/>
    <m/>
    <d v="1899-12-30T02:00:00"/>
    <m/>
    <m/>
    <m/>
    <m/>
    <m/>
    <m/>
    <x v="0"/>
  </r>
  <r>
    <x v="0"/>
    <x v="0"/>
    <x v="0"/>
    <x v="0"/>
    <x v="20"/>
    <x v="20"/>
    <m/>
    <x v="22"/>
    <x v="0"/>
    <x v="16"/>
    <s v="C"/>
    <d v="1899-12-30T15:30:00"/>
    <d v="1899-12-30T16:15:00"/>
    <m/>
    <m/>
    <m/>
    <m/>
    <d v="1899-12-30T00:45:00"/>
    <m/>
    <m/>
    <m/>
    <m/>
    <m/>
    <m/>
    <x v="0"/>
  </r>
  <r>
    <x v="0"/>
    <x v="0"/>
    <x v="0"/>
    <x v="0"/>
    <x v="20"/>
    <x v="20"/>
    <m/>
    <x v="21"/>
    <x v="0"/>
    <x v="10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1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2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3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4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5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0"/>
    <x v="20"/>
    <m/>
    <x v="21"/>
    <x v="0"/>
    <x v="17"/>
    <s v="C"/>
    <d v="1899-12-30T15:30:00"/>
    <d v="1899-12-30T16:30:00"/>
    <m/>
    <m/>
    <m/>
    <m/>
    <d v="1899-12-30T01:00:00"/>
    <m/>
    <m/>
    <m/>
    <m/>
    <m/>
    <m/>
    <x v="0"/>
  </r>
  <r>
    <x v="0"/>
    <x v="0"/>
    <x v="0"/>
    <x v="0"/>
    <x v="21"/>
    <x v="21"/>
    <m/>
    <x v="22"/>
    <x v="0"/>
    <x v="16"/>
    <s v="C"/>
    <d v="1899-12-30T16:15:00"/>
    <d v="1899-12-30T16:30:00"/>
    <m/>
    <m/>
    <m/>
    <m/>
    <d v="1899-12-30T00:15:00"/>
    <m/>
    <m/>
    <m/>
    <m/>
    <m/>
    <m/>
    <x v="0"/>
  </r>
  <r>
    <x v="0"/>
    <x v="0"/>
    <x v="0"/>
    <x v="2"/>
    <x v="16"/>
    <x v="16"/>
    <m/>
    <x v="1"/>
    <x v="0"/>
    <x v="1"/>
    <s v="C"/>
    <d v="1899-12-30T12:30:00"/>
    <d v="1899-12-30T16:30:00"/>
    <m/>
    <m/>
    <m/>
    <m/>
    <d v="1899-12-30T04:00:00"/>
    <n v="32"/>
    <m/>
    <m/>
    <m/>
    <m/>
    <m/>
    <x v="0"/>
  </r>
  <r>
    <x v="0"/>
    <x v="0"/>
    <x v="0"/>
    <x v="2"/>
    <x v="16"/>
    <x v="16"/>
    <m/>
    <x v="15"/>
    <x v="0"/>
    <x v="1"/>
    <s v="C"/>
    <d v="1899-12-30T12:30:00"/>
    <d v="1899-12-30T13:50:00"/>
    <m/>
    <m/>
    <m/>
    <m/>
    <d v="1899-12-30T01:20:00"/>
    <n v="4"/>
    <m/>
    <m/>
    <m/>
    <m/>
    <m/>
    <x v="0"/>
  </r>
  <r>
    <x v="0"/>
    <x v="0"/>
    <x v="0"/>
    <x v="2"/>
    <x v="16"/>
    <x v="16"/>
    <m/>
    <x v="23"/>
    <x v="0"/>
    <x v="1"/>
    <s v="C"/>
    <d v="1899-12-30T13:50:00"/>
    <d v="1899-12-30T16:30:00"/>
    <m/>
    <m/>
    <m/>
    <m/>
    <d v="1899-12-30T02:40:00"/>
    <n v="8"/>
    <m/>
    <m/>
    <m/>
    <m/>
    <m/>
    <x v="1"/>
  </r>
  <r>
    <x v="0"/>
    <x v="0"/>
    <x v="0"/>
    <x v="2"/>
    <x v="16"/>
    <x v="16"/>
    <m/>
    <x v="16"/>
    <x v="0"/>
    <x v="1"/>
    <s v="C"/>
    <d v="1899-12-30T12:30:00"/>
    <d v="1899-12-30T16:25:00"/>
    <m/>
    <m/>
    <m/>
    <m/>
    <d v="1899-12-30T03:55:00"/>
    <n v="10"/>
    <m/>
    <m/>
    <m/>
    <m/>
    <m/>
    <x v="0"/>
  </r>
  <r>
    <x v="0"/>
    <x v="0"/>
    <x v="0"/>
    <x v="2"/>
    <x v="16"/>
    <x v="16"/>
    <m/>
    <x v="17"/>
    <x v="0"/>
    <x v="1"/>
    <s v="C"/>
    <d v="1899-12-30T12:30:00"/>
    <d v="1899-12-30T16:30:00"/>
    <m/>
    <m/>
    <m/>
    <m/>
    <d v="1899-12-30T04:00:00"/>
    <n v="10"/>
    <m/>
    <m/>
    <m/>
    <m/>
    <m/>
    <x v="0"/>
  </r>
  <r>
    <x v="0"/>
    <x v="0"/>
    <x v="0"/>
    <x v="2"/>
    <x v="16"/>
    <x v="16"/>
    <m/>
    <x v="18"/>
    <x v="0"/>
    <x v="1"/>
    <s v="C"/>
    <d v="1899-12-30T12:30:00"/>
    <d v="1899-12-30T16:30:00"/>
    <m/>
    <m/>
    <m/>
    <m/>
    <d v="1899-12-30T04:00:00"/>
    <n v="32"/>
    <m/>
    <m/>
    <m/>
    <m/>
    <m/>
    <x v="0"/>
  </r>
  <r>
    <x v="0"/>
    <x v="0"/>
    <x v="0"/>
    <x v="2"/>
    <x v="17"/>
    <x v="17"/>
    <m/>
    <x v="19"/>
    <x v="0"/>
    <x v="9"/>
    <s v="C"/>
    <d v="1899-12-30T12:30:00"/>
    <d v="1899-12-30T16:20:00"/>
    <m/>
    <m/>
    <m/>
    <m/>
    <d v="1899-12-30T03:50:00"/>
    <m/>
    <m/>
    <m/>
    <m/>
    <m/>
    <m/>
    <x v="0"/>
  </r>
  <r>
    <x v="0"/>
    <x v="0"/>
    <x v="0"/>
    <x v="2"/>
    <x v="18"/>
    <x v="18"/>
    <m/>
    <x v="20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0"/>
    <x v="0"/>
    <x v="5"/>
    <x v="22"/>
    <x v="22"/>
    <m/>
    <x v="3"/>
    <x v="0"/>
    <x v="2"/>
    <s v="T"/>
    <d v="1899-12-30T17:30:00"/>
    <d v="1899-12-30T20:30:00"/>
    <m/>
    <m/>
    <m/>
    <m/>
    <d v="1899-12-30T03:00:00"/>
    <n v="32"/>
    <m/>
    <m/>
    <m/>
    <m/>
    <m/>
    <x v="0"/>
  </r>
  <r>
    <x v="0"/>
    <x v="0"/>
    <x v="0"/>
    <x v="5"/>
    <x v="22"/>
    <x v="22"/>
    <m/>
    <x v="23"/>
    <x v="0"/>
    <x v="1"/>
    <s v="T"/>
    <d v="1899-12-30T17:30:00"/>
    <d v="1899-12-30T20:30:00"/>
    <m/>
    <m/>
    <m/>
    <m/>
    <d v="1899-12-30T03:00:00"/>
    <n v="12"/>
    <m/>
    <m/>
    <m/>
    <m/>
    <m/>
    <x v="1"/>
  </r>
  <r>
    <x v="0"/>
    <x v="0"/>
    <x v="0"/>
    <x v="5"/>
    <x v="22"/>
    <x v="22"/>
    <m/>
    <x v="17"/>
    <x v="0"/>
    <x v="1"/>
    <s v="T"/>
    <d v="1899-12-30T17:30:00"/>
    <d v="1899-12-30T20:30:00"/>
    <m/>
    <m/>
    <m/>
    <m/>
    <d v="1899-12-30T03:00:00"/>
    <n v="11"/>
    <m/>
    <m/>
    <m/>
    <m/>
    <m/>
    <x v="0"/>
  </r>
  <r>
    <x v="0"/>
    <x v="0"/>
    <x v="0"/>
    <x v="5"/>
    <x v="22"/>
    <x v="22"/>
    <m/>
    <x v="16"/>
    <x v="0"/>
    <x v="1"/>
    <s v="T"/>
    <d v="1899-12-30T17:30:00"/>
    <d v="1899-12-30T20:30:00"/>
    <m/>
    <d v="1899-12-30T00:40:00"/>
    <m/>
    <m/>
    <d v="1899-12-30T02:20:00"/>
    <n v="9"/>
    <m/>
    <m/>
    <m/>
    <m/>
    <m/>
    <x v="0"/>
  </r>
  <r>
    <x v="0"/>
    <x v="0"/>
    <x v="0"/>
    <x v="5"/>
    <x v="22"/>
    <x v="22"/>
    <m/>
    <x v="0"/>
    <x v="0"/>
    <x v="0"/>
    <s v="T"/>
    <d v="1899-12-30T17:30:00"/>
    <d v="1899-12-30T20:30:00"/>
    <m/>
    <m/>
    <m/>
    <m/>
    <d v="1899-12-30T03:00:00"/>
    <n v="32"/>
    <m/>
    <m/>
    <m/>
    <m/>
    <m/>
    <x v="0"/>
  </r>
  <r>
    <x v="0"/>
    <x v="0"/>
    <x v="0"/>
    <x v="0"/>
    <x v="23"/>
    <x v="23"/>
    <m/>
    <x v="4"/>
    <x v="0"/>
    <x v="1"/>
    <s v="T"/>
    <d v="1899-12-30T17:30:00"/>
    <d v="1899-12-30T20:30:00"/>
    <m/>
    <m/>
    <m/>
    <m/>
    <d v="1899-12-30T03:00:00"/>
    <m/>
    <m/>
    <m/>
    <m/>
    <m/>
    <m/>
    <x v="0"/>
  </r>
  <r>
    <x v="0"/>
    <x v="0"/>
    <x v="0"/>
    <x v="2"/>
    <x v="24"/>
    <x v="24"/>
    <m/>
    <x v="24"/>
    <x v="0"/>
    <x v="18"/>
    <s v="S"/>
    <d v="1899-12-30T09:40:00"/>
    <d v="1899-12-30T11:30:00"/>
    <m/>
    <m/>
    <m/>
    <m/>
    <d v="1899-12-30T01:50:00"/>
    <n v="4"/>
    <m/>
    <m/>
    <m/>
    <m/>
    <m/>
    <x v="0"/>
  </r>
  <r>
    <x v="0"/>
    <x v="0"/>
    <x v="0"/>
    <x v="2"/>
    <x v="24"/>
    <x v="24"/>
    <m/>
    <x v="24"/>
    <x v="0"/>
    <x v="18"/>
    <s v="C"/>
    <d v="1899-12-30T12:30:00"/>
    <d v="1899-12-30T13:30:00"/>
    <m/>
    <m/>
    <m/>
    <m/>
    <d v="1899-12-30T01:00:00"/>
    <n v="2"/>
    <m/>
    <m/>
    <m/>
    <m/>
    <m/>
    <x v="0"/>
  </r>
  <r>
    <x v="0"/>
    <x v="0"/>
    <x v="0"/>
    <x v="0"/>
    <x v="22"/>
    <x v="25"/>
    <m/>
    <x v="24"/>
    <x v="0"/>
    <x v="18"/>
    <s v="C"/>
    <d v="1899-12-30T15:00:00"/>
    <d v="1899-12-30T16:30:00"/>
    <m/>
    <m/>
    <m/>
    <m/>
    <d v="1899-12-30T01:30:00"/>
    <n v="5"/>
    <m/>
    <m/>
    <m/>
    <m/>
    <m/>
    <x v="0"/>
  </r>
  <r>
    <x v="0"/>
    <x v="0"/>
    <x v="0"/>
    <x v="1"/>
    <x v="25"/>
    <x v="26"/>
    <m/>
    <x v="25"/>
    <x v="0"/>
    <x v="19"/>
    <s v="S"/>
    <d v="1899-12-30T09:40:00"/>
    <d v="1899-12-30T11:30:00"/>
    <m/>
    <m/>
    <m/>
    <m/>
    <d v="1899-12-30T01:50:00"/>
    <m/>
    <m/>
    <m/>
    <m/>
    <m/>
    <m/>
    <x v="0"/>
  </r>
  <r>
    <x v="0"/>
    <x v="0"/>
    <x v="0"/>
    <x v="0"/>
    <x v="22"/>
    <x v="25"/>
    <m/>
    <x v="25"/>
    <x v="0"/>
    <x v="19"/>
    <s v="C"/>
    <d v="1899-12-30T15:00:00"/>
    <d v="1899-12-30T16:30:00"/>
    <m/>
    <m/>
    <m/>
    <m/>
    <d v="1899-12-30T01:30:00"/>
    <n v="11"/>
    <m/>
    <m/>
    <m/>
    <m/>
    <m/>
    <x v="0"/>
  </r>
  <r>
    <x v="0"/>
    <x v="0"/>
    <x v="0"/>
    <x v="1"/>
    <x v="26"/>
    <x v="27"/>
    <m/>
    <x v="26"/>
    <x v="0"/>
    <x v="20"/>
    <s v="S"/>
    <d v="1899-12-30T07:30:00"/>
    <d v="1899-12-30T08:00:00"/>
    <m/>
    <m/>
    <m/>
    <m/>
    <d v="1899-12-30T00:30:00"/>
    <m/>
    <m/>
    <m/>
    <m/>
    <m/>
    <m/>
    <x v="0"/>
  </r>
  <r>
    <x v="0"/>
    <x v="0"/>
    <x v="0"/>
    <x v="2"/>
    <x v="24"/>
    <x v="24"/>
    <m/>
    <x v="26"/>
    <x v="0"/>
    <x v="20"/>
    <s v="S"/>
    <d v="1899-12-30T09:40:00"/>
    <d v="1899-12-30T11:30:00"/>
    <m/>
    <m/>
    <m/>
    <m/>
    <d v="1899-12-30T01:50:00"/>
    <n v="8"/>
    <m/>
    <m/>
    <m/>
    <m/>
    <m/>
    <x v="0"/>
  </r>
  <r>
    <x v="0"/>
    <x v="0"/>
    <x v="0"/>
    <x v="2"/>
    <x v="24"/>
    <x v="24"/>
    <m/>
    <x v="26"/>
    <x v="0"/>
    <x v="20"/>
    <s v="C"/>
    <d v="1899-12-30T12:30:00"/>
    <d v="1899-12-30T13:00:00"/>
    <m/>
    <m/>
    <m/>
    <m/>
    <d v="1899-12-30T00:30:00"/>
    <n v="3"/>
    <m/>
    <m/>
    <m/>
    <m/>
    <m/>
    <x v="0"/>
  </r>
  <r>
    <x v="0"/>
    <x v="0"/>
    <x v="0"/>
    <x v="1"/>
    <x v="26"/>
    <x v="27"/>
    <m/>
    <x v="26"/>
    <x v="0"/>
    <x v="20"/>
    <s v="C"/>
    <d v="1899-12-30T13:00:00"/>
    <d v="1899-12-30T13:30:00"/>
    <m/>
    <m/>
    <m/>
    <m/>
    <d v="1899-12-30T00:30:00"/>
    <m/>
    <m/>
    <m/>
    <m/>
    <m/>
    <m/>
    <x v="0"/>
  </r>
  <r>
    <x v="0"/>
    <x v="0"/>
    <x v="0"/>
    <x v="0"/>
    <x v="27"/>
    <x v="28"/>
    <m/>
    <x v="26"/>
    <x v="0"/>
    <x v="20"/>
    <s v="C"/>
    <d v="1899-12-30T15:00:00"/>
    <d v="1899-12-30T16:20:00"/>
    <m/>
    <m/>
    <m/>
    <m/>
    <d v="1899-12-30T01:20:00"/>
    <n v="11"/>
    <m/>
    <m/>
    <m/>
    <m/>
    <m/>
    <x v="0"/>
  </r>
  <r>
    <x v="0"/>
    <x v="0"/>
    <x v="0"/>
    <x v="2"/>
    <x v="24"/>
    <x v="24"/>
    <m/>
    <x v="27"/>
    <x v="0"/>
    <x v="21"/>
    <s v="S"/>
    <d v="1899-12-30T09:40:00"/>
    <d v="1899-12-30T11:30:00"/>
    <m/>
    <m/>
    <m/>
    <m/>
    <d v="1899-12-30T01:50:00"/>
    <n v="3"/>
    <m/>
    <m/>
    <m/>
    <m/>
    <m/>
    <x v="0"/>
  </r>
  <r>
    <x v="0"/>
    <x v="0"/>
    <x v="0"/>
    <x v="2"/>
    <x v="24"/>
    <x v="24"/>
    <m/>
    <x v="27"/>
    <x v="0"/>
    <x v="21"/>
    <s v="C"/>
    <d v="1899-12-30T12:30:00"/>
    <d v="1899-12-30T13:30:00"/>
    <m/>
    <m/>
    <m/>
    <m/>
    <d v="1899-12-30T01:00:00"/>
    <n v="2"/>
    <m/>
    <m/>
    <m/>
    <m/>
    <m/>
    <x v="0"/>
  </r>
  <r>
    <x v="0"/>
    <x v="0"/>
    <x v="0"/>
    <x v="0"/>
    <x v="22"/>
    <x v="25"/>
    <m/>
    <x v="27"/>
    <x v="0"/>
    <x v="21"/>
    <s v="C"/>
    <d v="1899-12-30T15:00:00"/>
    <d v="1899-12-30T16:20:00"/>
    <m/>
    <m/>
    <m/>
    <m/>
    <d v="1899-12-30T01:20:00"/>
    <n v="6"/>
    <m/>
    <m/>
    <m/>
    <m/>
    <m/>
    <x v="0"/>
  </r>
  <r>
    <x v="0"/>
    <x v="0"/>
    <x v="0"/>
    <x v="2"/>
    <x v="28"/>
    <x v="29"/>
    <m/>
    <x v="28"/>
    <x v="0"/>
    <x v="22"/>
    <s v="S"/>
    <d v="1899-12-30T07:20:00"/>
    <d v="1899-12-30T11:30:00"/>
    <d v="1899-12-30T00:10:00"/>
    <m/>
    <m/>
    <m/>
    <d v="1899-12-30T04:00:00"/>
    <m/>
    <m/>
    <m/>
    <m/>
    <m/>
    <m/>
    <x v="0"/>
  </r>
  <r>
    <x v="0"/>
    <x v="0"/>
    <x v="0"/>
    <x v="2"/>
    <x v="28"/>
    <x v="29"/>
    <m/>
    <x v="28"/>
    <x v="0"/>
    <x v="22"/>
    <s v="C"/>
    <d v="1899-12-30T12:30:00"/>
    <d v="1899-12-30T16:30:00"/>
    <m/>
    <m/>
    <m/>
    <m/>
    <d v="1899-12-30T04:00:00"/>
    <m/>
    <m/>
    <m/>
    <m/>
    <m/>
    <m/>
    <x v="0"/>
  </r>
  <r>
    <x v="0"/>
    <x v="0"/>
    <x v="0"/>
    <x v="2"/>
    <x v="28"/>
    <x v="29"/>
    <m/>
    <x v="29"/>
    <x v="0"/>
    <x v="1"/>
    <s v="S"/>
    <d v="1899-12-30T07:30:00"/>
    <d v="1899-12-30T11:30:00"/>
    <m/>
    <m/>
    <m/>
    <m/>
    <d v="1899-12-30T04:00:00"/>
    <m/>
    <m/>
    <m/>
    <m/>
    <m/>
    <m/>
    <x v="0"/>
  </r>
  <r>
    <x v="0"/>
    <x v="0"/>
    <x v="0"/>
    <x v="2"/>
    <x v="28"/>
    <x v="29"/>
    <m/>
    <x v="29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2"/>
    <x v="18"/>
    <x v="18"/>
    <m/>
    <x v="20"/>
    <x v="0"/>
    <x v="1"/>
    <s v="S"/>
    <d v="1899-12-30T07:30:00"/>
    <d v="1899-12-30T11:30:00"/>
    <m/>
    <m/>
    <m/>
    <m/>
    <d v="1899-12-30T04:00:00"/>
    <n v="32"/>
    <n v="200"/>
    <m/>
    <m/>
    <m/>
    <m/>
    <x v="0"/>
  </r>
  <r>
    <x v="0"/>
    <x v="1"/>
    <x v="0"/>
    <x v="2"/>
    <x v="18"/>
    <x v="18"/>
    <m/>
    <x v="20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4"/>
    <x v="10"/>
    <x v="10"/>
    <m/>
    <x v="12"/>
    <x v="0"/>
    <x v="4"/>
    <s v="S"/>
    <d v="1899-12-30T07:30:00"/>
    <d v="1899-12-30T11:30:00"/>
    <m/>
    <d v="1899-12-30T01:15:00"/>
    <m/>
    <m/>
    <d v="1899-12-30T02:45:00"/>
    <m/>
    <m/>
    <n v="200"/>
    <n v="28"/>
    <m/>
    <m/>
    <x v="0"/>
  </r>
  <r>
    <x v="0"/>
    <x v="1"/>
    <x v="0"/>
    <x v="4"/>
    <x v="10"/>
    <x v="10"/>
    <m/>
    <x v="12"/>
    <x v="0"/>
    <x v="4"/>
    <s v="C"/>
    <d v="1899-12-30T12:30:00"/>
    <d v="1899-12-30T16:20:00"/>
    <m/>
    <m/>
    <m/>
    <m/>
    <d v="1899-12-30T03:50:00"/>
    <m/>
    <m/>
    <m/>
    <m/>
    <m/>
    <m/>
    <x v="0"/>
  </r>
  <r>
    <x v="0"/>
    <x v="1"/>
    <x v="0"/>
    <x v="2"/>
    <x v="16"/>
    <x v="16"/>
    <m/>
    <x v="1"/>
    <x v="0"/>
    <x v="1"/>
    <s v="S"/>
    <d v="1899-12-30T07:30:00"/>
    <d v="1899-12-30T11:30:00"/>
    <m/>
    <m/>
    <m/>
    <m/>
    <d v="1899-12-30T04:00:00"/>
    <n v="32"/>
    <m/>
    <m/>
    <m/>
    <m/>
    <m/>
    <x v="0"/>
  </r>
  <r>
    <x v="0"/>
    <x v="1"/>
    <x v="0"/>
    <x v="2"/>
    <x v="16"/>
    <x v="16"/>
    <m/>
    <x v="1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2"/>
    <x v="16"/>
    <x v="16"/>
    <m/>
    <x v="15"/>
    <x v="0"/>
    <x v="1"/>
    <s v="S"/>
    <d v="1899-12-30T07:30:00"/>
    <d v="1899-12-30T11:30:00"/>
    <m/>
    <d v="1899-12-30T01:05:00"/>
    <m/>
    <m/>
    <d v="1899-12-30T02:55:00"/>
    <n v="8"/>
    <m/>
    <m/>
    <m/>
    <m/>
    <m/>
    <x v="0"/>
  </r>
  <r>
    <x v="0"/>
    <x v="1"/>
    <x v="0"/>
    <x v="2"/>
    <x v="16"/>
    <x v="16"/>
    <m/>
    <x v="15"/>
    <x v="0"/>
    <x v="1"/>
    <s v="C"/>
    <d v="1899-12-30T12:30:00"/>
    <d v="1899-12-30T16:40:00"/>
    <m/>
    <m/>
    <m/>
    <m/>
    <d v="1899-12-30T04:10:00"/>
    <n v="15"/>
    <m/>
    <m/>
    <m/>
    <m/>
    <m/>
    <x v="0"/>
  </r>
  <r>
    <x v="0"/>
    <x v="1"/>
    <x v="0"/>
    <x v="2"/>
    <x v="16"/>
    <x v="16"/>
    <m/>
    <x v="16"/>
    <x v="0"/>
    <x v="1"/>
    <s v="S"/>
    <d v="1899-12-30T07:30:00"/>
    <d v="1899-12-30T11:30:00"/>
    <m/>
    <m/>
    <m/>
    <m/>
    <d v="1899-12-30T04:00:00"/>
    <n v="12"/>
    <m/>
    <m/>
    <m/>
    <m/>
    <m/>
    <x v="0"/>
  </r>
  <r>
    <x v="0"/>
    <x v="1"/>
    <x v="0"/>
    <x v="2"/>
    <x v="16"/>
    <x v="16"/>
    <m/>
    <x v="16"/>
    <x v="0"/>
    <x v="1"/>
    <s v="C"/>
    <d v="1899-12-30T12:30:00"/>
    <d v="1899-12-30T16:30:00"/>
    <m/>
    <m/>
    <m/>
    <m/>
    <d v="1899-12-30T04:00:00"/>
    <n v="12"/>
    <m/>
    <m/>
    <m/>
    <m/>
    <m/>
    <x v="0"/>
  </r>
  <r>
    <x v="0"/>
    <x v="1"/>
    <x v="0"/>
    <x v="2"/>
    <x v="16"/>
    <x v="16"/>
    <m/>
    <x v="23"/>
    <x v="0"/>
    <x v="1"/>
    <s v="S"/>
    <d v="1899-12-30T07:30:00"/>
    <d v="1899-12-30T11:30:00"/>
    <m/>
    <m/>
    <m/>
    <m/>
    <d v="1899-12-30T04:00:00"/>
    <n v="12"/>
    <m/>
    <m/>
    <m/>
    <m/>
    <m/>
    <x v="0"/>
  </r>
  <r>
    <x v="0"/>
    <x v="1"/>
    <x v="0"/>
    <x v="2"/>
    <x v="16"/>
    <x v="16"/>
    <m/>
    <x v="23"/>
    <x v="0"/>
    <x v="1"/>
    <s v="C"/>
    <d v="1899-12-30T12:30:00"/>
    <d v="1899-12-30T16:30:00"/>
    <m/>
    <m/>
    <m/>
    <m/>
    <d v="1899-12-30T04:00:00"/>
    <n v="11"/>
    <m/>
    <m/>
    <m/>
    <m/>
    <m/>
    <x v="0"/>
  </r>
  <r>
    <x v="0"/>
    <x v="1"/>
    <x v="0"/>
    <x v="2"/>
    <x v="16"/>
    <x v="16"/>
    <m/>
    <x v="18"/>
    <x v="0"/>
    <x v="1"/>
    <s v="S"/>
    <d v="1899-12-30T07:30:00"/>
    <d v="1899-12-30T11:30:00"/>
    <m/>
    <m/>
    <m/>
    <m/>
    <d v="1899-12-30T04:00:00"/>
    <n v="32"/>
    <m/>
    <m/>
    <m/>
    <m/>
    <m/>
    <x v="0"/>
  </r>
  <r>
    <x v="0"/>
    <x v="1"/>
    <x v="0"/>
    <x v="2"/>
    <x v="16"/>
    <x v="16"/>
    <m/>
    <x v="18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6"/>
    <x v="29"/>
    <x v="30"/>
    <m/>
    <x v="4"/>
    <x v="0"/>
    <x v="1"/>
    <s v="S"/>
    <d v="1899-12-30T07:30:00"/>
    <d v="1899-12-30T08:30:00"/>
    <m/>
    <m/>
    <m/>
    <m/>
    <d v="1899-12-30T01:00:00"/>
    <m/>
    <m/>
    <m/>
    <m/>
    <m/>
    <m/>
    <x v="0"/>
  </r>
  <r>
    <x v="0"/>
    <x v="1"/>
    <x v="0"/>
    <x v="1"/>
    <x v="30"/>
    <x v="31"/>
    <m/>
    <x v="4"/>
    <x v="0"/>
    <x v="1"/>
    <s v="S"/>
    <d v="1899-12-30T08:30:00"/>
    <d v="1899-12-30T11:30:00"/>
    <m/>
    <m/>
    <m/>
    <m/>
    <d v="1899-12-30T03:00:00"/>
    <m/>
    <m/>
    <m/>
    <m/>
    <m/>
    <m/>
    <x v="0"/>
  </r>
  <r>
    <x v="0"/>
    <x v="1"/>
    <x v="0"/>
    <x v="1"/>
    <x v="30"/>
    <x v="31"/>
    <m/>
    <x v="4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4"/>
    <x v="9"/>
    <x v="9"/>
    <m/>
    <x v="8"/>
    <x v="0"/>
    <x v="1"/>
    <s v="S"/>
    <d v="1899-12-30T07:30:00"/>
    <d v="1899-12-30T11:30:00"/>
    <m/>
    <m/>
    <m/>
    <m/>
    <d v="1899-12-30T04:00:00"/>
    <n v="37"/>
    <m/>
    <m/>
    <m/>
    <m/>
    <m/>
    <x v="0"/>
  </r>
  <r>
    <x v="0"/>
    <x v="1"/>
    <x v="0"/>
    <x v="4"/>
    <x v="9"/>
    <x v="9"/>
    <m/>
    <x v="8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4"/>
    <x v="9"/>
    <x v="9"/>
    <m/>
    <x v="11"/>
    <x v="0"/>
    <x v="1"/>
    <s v="S"/>
    <d v="1899-12-30T07:30:00"/>
    <d v="1899-12-30T11:30:00"/>
    <m/>
    <m/>
    <m/>
    <m/>
    <d v="1899-12-30T04:00:00"/>
    <n v="37"/>
    <m/>
    <m/>
    <m/>
    <m/>
    <m/>
    <x v="0"/>
  </r>
  <r>
    <x v="0"/>
    <x v="1"/>
    <x v="0"/>
    <x v="4"/>
    <x v="9"/>
    <x v="9"/>
    <m/>
    <x v="11"/>
    <x v="0"/>
    <x v="1"/>
    <s v="C"/>
    <d v="1899-12-30T12:30:00"/>
    <d v="1899-12-30T16:30:00"/>
    <m/>
    <m/>
    <m/>
    <m/>
    <d v="1899-12-30T04:00:00"/>
    <n v="38"/>
    <m/>
    <m/>
    <m/>
    <m/>
    <m/>
    <x v="0"/>
  </r>
  <r>
    <x v="0"/>
    <x v="1"/>
    <x v="0"/>
    <x v="4"/>
    <x v="9"/>
    <x v="9"/>
    <m/>
    <x v="10"/>
    <x v="0"/>
    <x v="1"/>
    <s v="S"/>
    <d v="1899-12-30T07:30:00"/>
    <d v="1899-12-30T11:30:00"/>
    <m/>
    <m/>
    <m/>
    <m/>
    <d v="1899-12-30T04:00:00"/>
    <n v="18"/>
    <m/>
    <m/>
    <m/>
    <m/>
    <m/>
    <x v="0"/>
  </r>
  <r>
    <x v="0"/>
    <x v="1"/>
    <x v="0"/>
    <x v="4"/>
    <x v="9"/>
    <x v="9"/>
    <m/>
    <x v="10"/>
    <x v="0"/>
    <x v="1"/>
    <s v="C"/>
    <d v="1899-12-30T12:30:00"/>
    <d v="1899-12-30T16:30:00"/>
    <m/>
    <m/>
    <m/>
    <m/>
    <d v="1899-12-30T04:00:00"/>
    <n v="19"/>
    <m/>
    <m/>
    <m/>
    <m/>
    <m/>
    <x v="0"/>
  </r>
  <r>
    <x v="0"/>
    <x v="1"/>
    <x v="0"/>
    <x v="4"/>
    <x v="9"/>
    <x v="9"/>
    <m/>
    <x v="9"/>
    <x v="0"/>
    <x v="1"/>
    <s v="S"/>
    <d v="1899-12-30T07:30:00"/>
    <d v="1899-12-30T11:30:00"/>
    <m/>
    <m/>
    <m/>
    <m/>
    <d v="1899-12-30T04:00:00"/>
    <n v="19"/>
    <m/>
    <m/>
    <m/>
    <m/>
    <m/>
    <x v="0"/>
  </r>
  <r>
    <x v="0"/>
    <x v="1"/>
    <x v="0"/>
    <x v="4"/>
    <x v="9"/>
    <x v="9"/>
    <m/>
    <x v="9"/>
    <x v="0"/>
    <x v="1"/>
    <s v="C"/>
    <d v="1899-12-30T12:30:00"/>
    <d v="1899-12-30T16:30:00"/>
    <m/>
    <m/>
    <m/>
    <m/>
    <d v="1899-12-30T04:00:00"/>
    <n v="19"/>
    <m/>
    <m/>
    <m/>
    <m/>
    <m/>
    <x v="0"/>
  </r>
  <r>
    <x v="0"/>
    <x v="1"/>
    <x v="0"/>
    <x v="4"/>
    <x v="8"/>
    <x v="8"/>
    <m/>
    <x v="6"/>
    <x v="0"/>
    <x v="1"/>
    <s v="S"/>
    <d v="1899-12-30T07:30:00"/>
    <d v="1899-12-30T11:30:00"/>
    <m/>
    <m/>
    <m/>
    <m/>
    <d v="1899-12-30T04:00:00"/>
    <m/>
    <m/>
    <m/>
    <m/>
    <m/>
    <m/>
    <x v="0"/>
  </r>
  <r>
    <x v="0"/>
    <x v="1"/>
    <x v="0"/>
    <x v="4"/>
    <x v="8"/>
    <x v="8"/>
    <m/>
    <x v="6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0"/>
    <x v="12"/>
    <x v="32"/>
    <m/>
    <x v="0"/>
    <x v="0"/>
    <x v="0"/>
    <s v="C"/>
    <d v="1899-12-30T09:05:00"/>
    <d v="1899-12-30T10:55:00"/>
    <m/>
    <m/>
    <m/>
    <m/>
    <d v="1899-12-30T01:50:00"/>
    <n v="24"/>
    <m/>
    <m/>
    <m/>
    <m/>
    <m/>
    <x v="0"/>
  </r>
  <r>
    <x v="0"/>
    <x v="1"/>
    <x v="0"/>
    <x v="0"/>
    <x v="12"/>
    <x v="32"/>
    <m/>
    <x v="5"/>
    <x v="0"/>
    <x v="3"/>
    <s v="S"/>
    <d v="1899-12-30T09:05:00"/>
    <d v="1899-12-30T09:40:00"/>
    <m/>
    <m/>
    <m/>
    <m/>
    <d v="1899-12-30T00:35:00"/>
    <n v="5"/>
    <m/>
    <m/>
    <m/>
    <m/>
    <m/>
    <x v="0"/>
  </r>
  <r>
    <x v="0"/>
    <x v="1"/>
    <x v="0"/>
    <x v="0"/>
    <x v="12"/>
    <x v="32"/>
    <m/>
    <x v="5"/>
    <x v="0"/>
    <x v="3"/>
    <s v="S"/>
    <d v="1899-12-30T10:05:00"/>
    <d v="1899-12-30T11:30:00"/>
    <m/>
    <m/>
    <m/>
    <m/>
    <d v="1899-12-30T01:25:00"/>
    <n v="7"/>
    <m/>
    <m/>
    <m/>
    <m/>
    <m/>
    <x v="0"/>
  </r>
  <r>
    <x v="0"/>
    <x v="1"/>
    <x v="0"/>
    <x v="0"/>
    <x v="12"/>
    <x v="32"/>
    <m/>
    <x v="2"/>
    <x v="0"/>
    <x v="1"/>
    <s v="S"/>
    <d v="1899-12-30T09:10:00"/>
    <d v="1899-12-30T09:35:00"/>
    <m/>
    <m/>
    <m/>
    <m/>
    <d v="1899-12-30T00:25:00"/>
    <n v="5"/>
    <m/>
    <m/>
    <m/>
    <m/>
    <m/>
    <x v="0"/>
  </r>
  <r>
    <x v="0"/>
    <x v="1"/>
    <x v="0"/>
    <x v="0"/>
    <x v="12"/>
    <x v="32"/>
    <m/>
    <x v="2"/>
    <x v="0"/>
    <x v="1"/>
    <s v="S"/>
    <d v="1899-12-30T10:00:00"/>
    <d v="1899-12-30T11:30:00"/>
    <m/>
    <m/>
    <m/>
    <m/>
    <d v="1899-12-30T01:30:00"/>
    <n v="7"/>
    <m/>
    <m/>
    <m/>
    <m/>
    <m/>
    <x v="0"/>
  </r>
  <r>
    <x v="0"/>
    <x v="1"/>
    <x v="0"/>
    <x v="1"/>
    <x v="31"/>
    <x v="33"/>
    <m/>
    <x v="0"/>
    <x v="0"/>
    <x v="0"/>
    <s v="S"/>
    <d v="1899-12-30T10:55:00"/>
    <d v="1899-12-30T11:30:00"/>
    <m/>
    <m/>
    <m/>
    <m/>
    <d v="1899-12-30T00:35:00"/>
    <m/>
    <m/>
    <m/>
    <m/>
    <m/>
    <m/>
    <x v="0"/>
  </r>
  <r>
    <x v="0"/>
    <x v="1"/>
    <x v="0"/>
    <x v="1"/>
    <x v="32"/>
    <x v="34"/>
    <m/>
    <x v="0"/>
    <x v="0"/>
    <x v="0"/>
    <s v="C"/>
    <d v="1899-12-30T12:30:00"/>
    <d v="1899-12-30T13:05:00"/>
    <m/>
    <m/>
    <m/>
    <m/>
    <d v="1899-12-30T00:35:00"/>
    <m/>
    <m/>
    <m/>
    <m/>
    <m/>
    <m/>
    <x v="0"/>
  </r>
  <r>
    <x v="0"/>
    <x v="1"/>
    <x v="0"/>
    <x v="1"/>
    <x v="32"/>
    <x v="34"/>
    <m/>
    <x v="5"/>
    <x v="0"/>
    <x v="3"/>
    <s v="C"/>
    <d v="1899-12-30T12:30:00"/>
    <d v="1899-12-30T13:05:00"/>
    <m/>
    <m/>
    <m/>
    <m/>
    <d v="1899-12-30T00:35:00"/>
    <m/>
    <m/>
    <m/>
    <m/>
    <m/>
    <m/>
    <x v="0"/>
  </r>
  <r>
    <x v="0"/>
    <x v="1"/>
    <x v="0"/>
    <x v="0"/>
    <x v="13"/>
    <x v="13"/>
    <m/>
    <x v="13"/>
    <x v="0"/>
    <x v="5"/>
    <s v="S"/>
    <d v="1899-12-30T10:00:00"/>
    <d v="1899-12-30T11:00:00"/>
    <m/>
    <m/>
    <m/>
    <m/>
    <d v="1899-12-30T01:00:00"/>
    <m/>
    <m/>
    <m/>
    <m/>
    <m/>
    <m/>
    <x v="0"/>
  </r>
  <r>
    <x v="0"/>
    <x v="1"/>
    <x v="0"/>
    <x v="0"/>
    <x v="13"/>
    <x v="13"/>
    <m/>
    <x v="13"/>
    <x v="0"/>
    <x v="5"/>
    <s v="C"/>
    <d v="1899-12-30T11:30:00"/>
    <d v="1899-12-30T14:00:00"/>
    <m/>
    <m/>
    <m/>
    <m/>
    <d v="1899-12-30T02:30:00"/>
    <m/>
    <m/>
    <m/>
    <m/>
    <m/>
    <m/>
    <x v="0"/>
  </r>
  <r>
    <x v="0"/>
    <x v="1"/>
    <x v="0"/>
    <x v="0"/>
    <x v="14"/>
    <x v="14"/>
    <m/>
    <x v="14"/>
    <x v="0"/>
    <x v="6"/>
    <s v="S"/>
    <d v="1899-12-30T06:00:00"/>
    <d v="1899-12-30T07:30:00"/>
    <d v="1899-12-30T00:10:00"/>
    <m/>
    <m/>
    <m/>
    <d v="1899-12-30T01:20:00"/>
    <m/>
    <n v="85"/>
    <m/>
    <m/>
    <m/>
    <m/>
    <x v="0"/>
  </r>
  <r>
    <x v="0"/>
    <x v="1"/>
    <x v="0"/>
    <x v="0"/>
    <x v="20"/>
    <x v="20"/>
    <m/>
    <x v="14"/>
    <x v="0"/>
    <x v="6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13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23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24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15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20"/>
    <x v="20"/>
    <m/>
    <x v="21"/>
    <x v="0"/>
    <x v="14"/>
    <s v="S"/>
    <d v="1899-12-30T07:30:00"/>
    <d v="1899-12-30T10:00:00"/>
    <m/>
    <m/>
    <m/>
    <m/>
    <d v="1899-12-30T02:30:00"/>
    <m/>
    <m/>
    <m/>
    <m/>
    <m/>
    <m/>
    <x v="0"/>
  </r>
  <r>
    <x v="0"/>
    <x v="1"/>
    <x v="0"/>
    <x v="0"/>
    <x v="13"/>
    <x v="13"/>
    <m/>
    <x v="14"/>
    <x v="0"/>
    <x v="6"/>
    <s v="S"/>
    <d v="1899-12-30T10:00:00"/>
    <d v="1899-12-30T11:00:00"/>
    <m/>
    <m/>
    <m/>
    <m/>
    <d v="1899-12-30T01:00:00"/>
    <m/>
    <m/>
    <m/>
    <m/>
    <m/>
    <m/>
    <x v="0"/>
  </r>
  <r>
    <x v="0"/>
    <x v="1"/>
    <x v="0"/>
    <x v="0"/>
    <x v="13"/>
    <x v="13"/>
    <m/>
    <x v="14"/>
    <x v="0"/>
    <x v="6"/>
    <s v="C"/>
    <d v="1899-12-30T11:30:00"/>
    <d v="1899-12-30T14:00:00"/>
    <m/>
    <m/>
    <m/>
    <m/>
    <d v="1899-12-30T02:30:00"/>
    <m/>
    <m/>
    <m/>
    <m/>
    <m/>
    <m/>
    <x v="0"/>
  </r>
  <r>
    <x v="0"/>
    <x v="1"/>
    <x v="1"/>
    <x v="1"/>
    <x v="31"/>
    <x v="33"/>
    <m/>
    <x v="13"/>
    <x v="0"/>
    <x v="8"/>
    <s v="T"/>
    <d v="1899-12-30T17:00:00"/>
    <d v="1899-12-30T22:00:00"/>
    <m/>
    <m/>
    <m/>
    <m/>
    <d v="1899-12-30T05:00:00"/>
    <m/>
    <m/>
    <m/>
    <m/>
    <m/>
    <m/>
    <x v="0"/>
  </r>
  <r>
    <x v="0"/>
    <x v="1"/>
    <x v="1"/>
    <x v="0"/>
    <x v="14"/>
    <x v="14"/>
    <m/>
    <x v="14"/>
    <x v="0"/>
    <x v="7"/>
    <s v="C"/>
    <d v="1899-12-30T14:00:00"/>
    <d v="1899-12-30T16:00:00"/>
    <m/>
    <m/>
    <m/>
    <m/>
    <d v="1899-12-30T02:00:00"/>
    <m/>
    <m/>
    <m/>
    <m/>
    <m/>
    <m/>
    <x v="0"/>
  </r>
  <r>
    <x v="0"/>
    <x v="1"/>
    <x v="1"/>
    <x v="0"/>
    <x v="14"/>
    <x v="14"/>
    <m/>
    <x v="14"/>
    <x v="0"/>
    <x v="7"/>
    <s v="T"/>
    <d v="1899-12-30T16:30:00"/>
    <d v="1899-12-30T17:00:00"/>
    <m/>
    <m/>
    <m/>
    <m/>
    <d v="1899-12-30T00:30:00"/>
    <m/>
    <m/>
    <m/>
    <m/>
    <m/>
    <m/>
    <x v="0"/>
  </r>
  <r>
    <x v="0"/>
    <x v="1"/>
    <x v="1"/>
    <x v="1"/>
    <x v="31"/>
    <x v="33"/>
    <m/>
    <x v="14"/>
    <x v="0"/>
    <x v="7"/>
    <s v="T"/>
    <d v="1899-12-30T17:00:00"/>
    <d v="1899-12-30T22:00:00"/>
    <m/>
    <m/>
    <m/>
    <m/>
    <d v="1899-12-30T05:00:00"/>
    <m/>
    <m/>
    <m/>
    <m/>
    <m/>
    <m/>
    <x v="0"/>
  </r>
  <r>
    <x v="0"/>
    <x v="1"/>
    <x v="0"/>
    <x v="1"/>
    <x v="26"/>
    <x v="27"/>
    <m/>
    <x v="26"/>
    <x v="0"/>
    <x v="20"/>
    <s v="S"/>
    <d v="1899-12-30T10:30:00"/>
    <d v="1899-12-30T11:30:00"/>
    <m/>
    <m/>
    <m/>
    <m/>
    <d v="1899-12-30T01:00:00"/>
    <m/>
    <m/>
    <m/>
    <m/>
    <m/>
    <m/>
    <x v="0"/>
  </r>
  <r>
    <x v="0"/>
    <x v="1"/>
    <x v="0"/>
    <x v="1"/>
    <x v="26"/>
    <x v="27"/>
    <m/>
    <x v="26"/>
    <x v="0"/>
    <x v="20"/>
    <s v="C"/>
    <d v="1899-12-30T14:30:00"/>
    <d v="1899-12-30T15:00:00"/>
    <m/>
    <m/>
    <m/>
    <m/>
    <d v="1899-12-30T00:30:00"/>
    <m/>
    <m/>
    <m/>
    <m/>
    <m/>
    <m/>
    <x v="0"/>
  </r>
  <r>
    <x v="0"/>
    <x v="1"/>
    <x v="0"/>
    <x v="0"/>
    <x v="12"/>
    <x v="32"/>
    <m/>
    <x v="26"/>
    <x v="0"/>
    <x v="20"/>
    <s v="C"/>
    <d v="1899-12-30T15:00:00"/>
    <d v="1899-12-30T15:30:00"/>
    <m/>
    <m/>
    <m/>
    <m/>
    <d v="1899-12-30T00:30:00"/>
    <m/>
    <m/>
    <m/>
    <m/>
    <m/>
    <m/>
    <x v="0"/>
  </r>
  <r>
    <x v="0"/>
    <x v="1"/>
    <x v="0"/>
    <x v="0"/>
    <x v="12"/>
    <x v="32"/>
    <m/>
    <x v="0"/>
    <x v="0"/>
    <x v="0"/>
    <s v="C"/>
    <d v="1899-12-30T13:05:00"/>
    <d v="1899-12-30T15:20:00"/>
    <m/>
    <m/>
    <m/>
    <m/>
    <d v="1899-12-30T02:15:00"/>
    <n v="24"/>
    <n v="200"/>
    <m/>
    <m/>
    <m/>
    <m/>
    <x v="0"/>
  </r>
  <r>
    <x v="0"/>
    <x v="1"/>
    <x v="0"/>
    <x v="0"/>
    <x v="12"/>
    <x v="32"/>
    <m/>
    <x v="5"/>
    <x v="0"/>
    <x v="3"/>
    <s v="C"/>
    <d v="1899-12-30T13:05:00"/>
    <d v="1899-12-30T15:20:00"/>
    <m/>
    <m/>
    <m/>
    <m/>
    <d v="1899-12-30T02:15:00"/>
    <n v="12"/>
    <m/>
    <m/>
    <m/>
    <m/>
    <m/>
    <x v="0"/>
  </r>
  <r>
    <x v="0"/>
    <x v="1"/>
    <x v="0"/>
    <x v="0"/>
    <x v="12"/>
    <x v="32"/>
    <m/>
    <x v="2"/>
    <x v="0"/>
    <x v="1"/>
    <s v="C"/>
    <d v="1899-12-30T12:30:00"/>
    <d v="1899-12-30T15:25:00"/>
    <m/>
    <m/>
    <m/>
    <m/>
    <d v="1899-12-30T02:55:00"/>
    <n v="12"/>
    <m/>
    <m/>
    <m/>
    <m/>
    <m/>
    <x v="0"/>
  </r>
  <r>
    <x v="0"/>
    <x v="1"/>
    <x v="0"/>
    <x v="0"/>
    <x v="20"/>
    <x v="20"/>
    <m/>
    <x v="22"/>
    <x v="0"/>
    <x v="16"/>
    <s v="S"/>
    <d v="1899-12-30T07:20:00"/>
    <d v="1899-12-30T09:30:00"/>
    <d v="1899-12-30T00:10:00"/>
    <m/>
    <m/>
    <m/>
    <d v="1899-12-30T02:00:00"/>
    <m/>
    <m/>
    <m/>
    <m/>
    <m/>
    <m/>
    <x v="0"/>
  </r>
  <r>
    <x v="0"/>
    <x v="1"/>
    <x v="0"/>
    <x v="0"/>
    <x v="20"/>
    <x v="20"/>
    <m/>
    <x v="21"/>
    <x v="0"/>
    <x v="10"/>
    <s v="S"/>
    <d v="1899-12-30T07:30:00"/>
    <d v="1899-12-30T09:00:00"/>
    <m/>
    <m/>
    <m/>
    <m/>
    <d v="1899-12-30T01:30:00"/>
    <m/>
    <m/>
    <m/>
    <m/>
    <m/>
    <m/>
    <x v="0"/>
  </r>
  <r>
    <x v="0"/>
    <x v="1"/>
    <x v="0"/>
    <x v="0"/>
    <x v="20"/>
    <x v="20"/>
    <m/>
    <x v="21"/>
    <x v="0"/>
    <x v="11"/>
    <s v="S"/>
    <d v="1899-12-30T07:30:00"/>
    <d v="1899-12-30T09:00:00"/>
    <m/>
    <m/>
    <m/>
    <m/>
    <d v="1899-12-30T01:30:00"/>
    <m/>
    <m/>
    <m/>
    <m/>
    <m/>
    <m/>
    <x v="0"/>
  </r>
  <r>
    <x v="0"/>
    <x v="1"/>
    <x v="0"/>
    <x v="0"/>
    <x v="20"/>
    <x v="20"/>
    <m/>
    <x v="21"/>
    <x v="0"/>
    <x v="17"/>
    <s v="S"/>
    <d v="1899-12-30T07:30:00"/>
    <d v="1899-12-30T09:00:00"/>
    <m/>
    <m/>
    <m/>
    <m/>
    <d v="1899-12-30T01:30:00"/>
    <m/>
    <m/>
    <m/>
    <m/>
    <m/>
    <m/>
    <x v="0"/>
  </r>
  <r>
    <x v="0"/>
    <x v="1"/>
    <x v="0"/>
    <x v="0"/>
    <x v="20"/>
    <x v="20"/>
    <m/>
    <x v="21"/>
    <x v="0"/>
    <x v="25"/>
    <s v="S"/>
    <d v="1899-12-30T07:30:00"/>
    <d v="1899-12-30T09:00:00"/>
    <m/>
    <m/>
    <m/>
    <m/>
    <d v="1899-12-30T01:30:00"/>
    <m/>
    <m/>
    <m/>
    <m/>
    <m/>
    <m/>
    <x v="0"/>
  </r>
  <r>
    <x v="0"/>
    <x v="1"/>
    <x v="0"/>
    <x v="0"/>
    <x v="15"/>
    <x v="15"/>
    <m/>
    <x v="22"/>
    <x v="0"/>
    <x v="16"/>
    <s v="S"/>
    <d v="1899-12-30T09:30:00"/>
    <d v="1899-12-30T11:30:00"/>
    <m/>
    <m/>
    <m/>
    <m/>
    <d v="1899-12-30T02:00:00"/>
    <m/>
    <m/>
    <m/>
    <m/>
    <m/>
    <m/>
    <x v="0"/>
  </r>
  <r>
    <x v="0"/>
    <x v="1"/>
    <x v="0"/>
    <x v="5"/>
    <x v="20"/>
    <x v="35"/>
    <m/>
    <x v="22"/>
    <x v="0"/>
    <x v="16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5"/>
    <x v="20"/>
    <x v="35"/>
    <m/>
    <x v="21"/>
    <x v="0"/>
    <x v="10"/>
    <s v="S"/>
    <d v="1899-12-30T11:15:00"/>
    <d v="1899-12-30T11:30:00"/>
    <m/>
    <m/>
    <m/>
    <m/>
    <d v="1899-12-30T00:15:00"/>
    <m/>
    <m/>
    <m/>
    <m/>
    <m/>
    <m/>
    <x v="0"/>
  </r>
  <r>
    <x v="0"/>
    <x v="1"/>
    <x v="0"/>
    <x v="5"/>
    <x v="20"/>
    <x v="35"/>
    <m/>
    <x v="21"/>
    <x v="0"/>
    <x v="10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5"/>
    <x v="20"/>
    <x v="35"/>
    <m/>
    <x v="21"/>
    <x v="0"/>
    <x v="11"/>
    <s v="S"/>
    <d v="1899-12-30T11:15:00"/>
    <d v="1899-12-30T11:30:00"/>
    <m/>
    <m/>
    <m/>
    <m/>
    <d v="1899-12-30T00:15:00"/>
    <m/>
    <m/>
    <m/>
    <m/>
    <m/>
    <m/>
    <x v="0"/>
  </r>
  <r>
    <x v="0"/>
    <x v="1"/>
    <x v="0"/>
    <x v="5"/>
    <x v="20"/>
    <x v="35"/>
    <m/>
    <x v="21"/>
    <x v="0"/>
    <x v="11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5"/>
    <x v="20"/>
    <x v="35"/>
    <m/>
    <x v="21"/>
    <x v="0"/>
    <x v="17"/>
    <s v="S"/>
    <d v="1899-12-30T11:15:00"/>
    <d v="1899-12-30T11:30:00"/>
    <m/>
    <m/>
    <m/>
    <m/>
    <d v="1899-12-30T00:15:00"/>
    <m/>
    <m/>
    <m/>
    <m/>
    <m/>
    <m/>
    <x v="0"/>
  </r>
  <r>
    <x v="0"/>
    <x v="1"/>
    <x v="0"/>
    <x v="5"/>
    <x v="20"/>
    <x v="35"/>
    <m/>
    <x v="21"/>
    <x v="0"/>
    <x v="17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5"/>
    <x v="20"/>
    <x v="35"/>
    <m/>
    <x v="21"/>
    <x v="0"/>
    <x v="25"/>
    <s v="S"/>
    <d v="1899-12-30T11:15:00"/>
    <d v="1899-12-30T11:30:00"/>
    <m/>
    <m/>
    <m/>
    <m/>
    <d v="1899-12-30T00:15:00"/>
    <m/>
    <m/>
    <m/>
    <m/>
    <m/>
    <m/>
    <x v="0"/>
  </r>
  <r>
    <x v="0"/>
    <x v="1"/>
    <x v="0"/>
    <x v="5"/>
    <x v="20"/>
    <x v="35"/>
    <m/>
    <x v="21"/>
    <x v="0"/>
    <x v="25"/>
    <s v="C"/>
    <d v="1899-12-30T12:30:00"/>
    <d v="1899-12-30T16:30:00"/>
    <m/>
    <m/>
    <m/>
    <m/>
    <d v="1899-12-30T04:00:00"/>
    <m/>
    <m/>
    <m/>
    <m/>
    <m/>
    <m/>
    <x v="0"/>
  </r>
  <r>
    <x v="0"/>
    <x v="1"/>
    <x v="0"/>
    <x v="1"/>
    <x v="31"/>
    <x v="33"/>
    <m/>
    <x v="21"/>
    <x v="0"/>
    <x v="10"/>
    <s v="S"/>
    <d v="1899-12-30T10:15:00"/>
    <d v="1899-12-30T11:15:00"/>
    <m/>
    <m/>
    <m/>
    <m/>
    <d v="1899-12-30T01:00:00"/>
    <m/>
    <m/>
    <m/>
    <m/>
    <m/>
    <m/>
    <x v="0"/>
  </r>
  <r>
    <x v="0"/>
    <x v="1"/>
    <x v="0"/>
    <x v="1"/>
    <x v="31"/>
    <x v="33"/>
    <m/>
    <x v="21"/>
    <x v="0"/>
    <x v="11"/>
    <s v="S"/>
    <d v="1899-12-30T10:15:00"/>
    <d v="1899-12-30T11:15:00"/>
    <m/>
    <m/>
    <m/>
    <m/>
    <d v="1899-12-30T01:00:00"/>
    <m/>
    <m/>
    <m/>
    <m/>
    <m/>
    <m/>
    <x v="0"/>
  </r>
  <r>
    <x v="0"/>
    <x v="1"/>
    <x v="0"/>
    <x v="1"/>
    <x v="31"/>
    <x v="33"/>
    <m/>
    <x v="21"/>
    <x v="0"/>
    <x v="17"/>
    <s v="S"/>
    <d v="1899-12-30T10:15:00"/>
    <d v="1899-12-30T11:15:00"/>
    <m/>
    <m/>
    <m/>
    <m/>
    <d v="1899-12-30T01:00:00"/>
    <m/>
    <m/>
    <m/>
    <m/>
    <m/>
    <m/>
    <x v="0"/>
  </r>
  <r>
    <x v="0"/>
    <x v="1"/>
    <x v="0"/>
    <x v="1"/>
    <x v="31"/>
    <x v="33"/>
    <m/>
    <x v="21"/>
    <x v="0"/>
    <x v="25"/>
    <s v="S"/>
    <d v="1899-12-30T10:15:00"/>
    <d v="1899-12-30T11:15:00"/>
    <m/>
    <m/>
    <m/>
    <m/>
    <d v="1899-12-30T01:00:00"/>
    <m/>
    <m/>
    <m/>
    <m/>
    <m/>
    <m/>
    <x v="0"/>
  </r>
  <r>
    <x v="0"/>
    <x v="1"/>
    <x v="0"/>
    <x v="1"/>
    <x v="31"/>
    <x v="33"/>
    <m/>
    <x v="21"/>
    <x v="0"/>
    <x v="10"/>
    <s v="S"/>
    <d v="1899-12-30T09:05:00"/>
    <d v="1899-12-30T10:00:00"/>
    <m/>
    <m/>
    <m/>
    <m/>
    <d v="1899-12-30T00:55:00"/>
    <m/>
    <m/>
    <m/>
    <m/>
    <m/>
    <m/>
    <x v="0"/>
  </r>
  <r>
    <x v="0"/>
    <x v="1"/>
    <x v="0"/>
    <x v="1"/>
    <x v="31"/>
    <x v="33"/>
    <m/>
    <x v="21"/>
    <x v="0"/>
    <x v="11"/>
    <s v="S"/>
    <d v="1899-12-30T09:05:00"/>
    <d v="1899-12-30T10:00:00"/>
    <m/>
    <m/>
    <m/>
    <m/>
    <d v="1899-12-30T00:55:00"/>
    <m/>
    <m/>
    <m/>
    <m/>
    <m/>
    <m/>
    <x v="0"/>
  </r>
  <r>
    <x v="0"/>
    <x v="1"/>
    <x v="0"/>
    <x v="1"/>
    <x v="31"/>
    <x v="33"/>
    <m/>
    <x v="21"/>
    <x v="0"/>
    <x v="17"/>
    <s v="S"/>
    <d v="1899-12-30T09:05:00"/>
    <d v="1899-12-30T10:00:00"/>
    <m/>
    <m/>
    <m/>
    <m/>
    <d v="1899-12-30T00:55:00"/>
    <m/>
    <m/>
    <m/>
    <m/>
    <m/>
    <m/>
    <x v="0"/>
  </r>
  <r>
    <x v="0"/>
    <x v="1"/>
    <x v="0"/>
    <x v="1"/>
    <x v="31"/>
    <x v="33"/>
    <m/>
    <x v="21"/>
    <x v="0"/>
    <x v="25"/>
    <s v="S"/>
    <d v="1899-12-30T09:05:00"/>
    <d v="1899-12-30T10:00:00"/>
    <m/>
    <m/>
    <m/>
    <m/>
    <d v="1899-12-30T00:55:00"/>
    <m/>
    <m/>
    <m/>
    <m/>
    <m/>
    <m/>
    <x v="0"/>
  </r>
  <r>
    <x v="0"/>
    <x v="1"/>
    <x v="0"/>
    <x v="0"/>
    <x v="14"/>
    <x v="14"/>
    <m/>
    <x v="21"/>
    <x v="0"/>
    <x v="13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13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0"/>
    <x v="14"/>
    <x v="14"/>
    <m/>
    <x v="21"/>
    <x v="0"/>
    <x v="23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23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0"/>
    <x v="14"/>
    <x v="14"/>
    <m/>
    <x v="21"/>
    <x v="0"/>
    <x v="24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24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0"/>
    <x v="14"/>
    <x v="14"/>
    <m/>
    <x v="21"/>
    <x v="0"/>
    <x v="15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15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0"/>
    <x v="14"/>
    <x v="14"/>
    <m/>
    <x v="21"/>
    <x v="0"/>
    <x v="14"/>
    <s v="S"/>
    <d v="1899-12-30T10:10:00"/>
    <d v="1899-12-30T11:30:00"/>
    <m/>
    <m/>
    <m/>
    <m/>
    <d v="1899-12-30T01:20:00"/>
    <m/>
    <m/>
    <m/>
    <m/>
    <m/>
    <m/>
    <x v="0"/>
  </r>
  <r>
    <x v="0"/>
    <x v="1"/>
    <x v="0"/>
    <x v="0"/>
    <x v="14"/>
    <x v="14"/>
    <m/>
    <x v="21"/>
    <x v="0"/>
    <x v="14"/>
    <s v="C"/>
    <d v="1899-12-30T12:30:00"/>
    <d v="1899-12-30T15:30:00"/>
    <m/>
    <m/>
    <m/>
    <m/>
    <d v="1899-12-30T03:00:00"/>
    <m/>
    <m/>
    <m/>
    <m/>
    <m/>
    <m/>
    <x v="0"/>
  </r>
  <r>
    <x v="0"/>
    <x v="1"/>
    <x v="0"/>
    <x v="1"/>
    <x v="25"/>
    <x v="26"/>
    <m/>
    <x v="21"/>
    <x v="0"/>
    <x v="13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25"/>
    <x v="26"/>
    <m/>
    <x v="21"/>
    <x v="0"/>
    <x v="23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25"/>
    <x v="26"/>
    <m/>
    <x v="21"/>
    <x v="0"/>
    <x v="24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25"/>
    <x v="26"/>
    <m/>
    <x v="21"/>
    <x v="0"/>
    <x v="15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25"/>
    <x v="26"/>
    <m/>
    <x v="21"/>
    <x v="0"/>
    <x v="14"/>
    <s v="C"/>
    <d v="1899-12-30T15:30:00"/>
    <d v="1899-12-30T16:30:00"/>
    <m/>
    <m/>
    <m/>
    <m/>
    <d v="1899-12-30T01:00:00"/>
    <m/>
    <m/>
    <m/>
    <m/>
    <m/>
    <m/>
    <x v="0"/>
  </r>
  <r>
    <x v="0"/>
    <x v="1"/>
    <x v="0"/>
    <x v="1"/>
    <x v="31"/>
    <x v="33"/>
    <m/>
    <x v="26"/>
    <x v="0"/>
    <x v="20"/>
    <s v="S"/>
    <d v="1899-12-30T08:30:00"/>
    <d v="1899-12-30T10:30:00"/>
    <m/>
    <m/>
    <m/>
    <m/>
    <d v="1899-12-30T02:00:00"/>
    <m/>
    <m/>
    <m/>
    <m/>
    <m/>
    <m/>
    <x v="0"/>
  </r>
  <r>
    <x v="0"/>
    <x v="1"/>
    <x v="0"/>
    <x v="1"/>
    <x v="33"/>
    <x v="36"/>
    <m/>
    <x v="24"/>
    <x v="0"/>
    <x v="18"/>
    <s v="C"/>
    <d v="1899-12-30T16:00:00"/>
    <d v="1899-12-30T16:30:00"/>
    <m/>
    <m/>
    <m/>
    <m/>
    <d v="1899-12-30T00:30:00"/>
    <n v="2"/>
    <m/>
    <m/>
    <m/>
    <m/>
    <m/>
    <x v="0"/>
  </r>
  <r>
    <x v="0"/>
    <x v="2"/>
    <x v="2"/>
    <x v="4"/>
    <x v="9"/>
    <x v="9"/>
    <m/>
    <x v="11"/>
    <x v="0"/>
    <x v="1"/>
    <s v="S"/>
    <d v="1899-12-30T07:30:00"/>
    <d v="1899-12-30T11:30:00"/>
    <m/>
    <m/>
    <m/>
    <m/>
    <d v="1899-12-30T04:00:00"/>
    <n v="33"/>
    <m/>
    <m/>
    <m/>
    <m/>
    <m/>
    <x v="0"/>
  </r>
  <r>
    <x v="0"/>
    <x v="2"/>
    <x v="2"/>
    <x v="4"/>
    <x v="9"/>
    <x v="9"/>
    <m/>
    <x v="11"/>
    <x v="0"/>
    <x v="1"/>
    <s v="C"/>
    <d v="1899-12-30T12:30:00"/>
    <d v="1899-12-30T16:30:00"/>
    <m/>
    <m/>
    <m/>
    <m/>
    <d v="1899-12-30T04:00:00"/>
    <n v="33"/>
    <m/>
    <m/>
    <m/>
    <m/>
    <m/>
    <x v="0"/>
  </r>
  <r>
    <x v="0"/>
    <x v="2"/>
    <x v="2"/>
    <x v="4"/>
    <x v="9"/>
    <x v="9"/>
    <m/>
    <x v="10"/>
    <x v="0"/>
    <x v="1"/>
    <s v="S"/>
    <d v="1899-12-30T07:30:00"/>
    <d v="1899-12-30T11:30:00"/>
    <m/>
    <m/>
    <m/>
    <m/>
    <d v="1899-12-30T04:00:00"/>
    <n v="17"/>
    <m/>
    <m/>
    <m/>
    <m/>
    <m/>
    <x v="0"/>
  </r>
  <r>
    <x v="0"/>
    <x v="2"/>
    <x v="2"/>
    <x v="4"/>
    <x v="9"/>
    <x v="9"/>
    <m/>
    <x v="10"/>
    <x v="0"/>
    <x v="1"/>
    <s v="C"/>
    <d v="1899-12-30T12:30:00"/>
    <d v="1899-12-30T16:30:00"/>
    <m/>
    <m/>
    <m/>
    <m/>
    <d v="1899-12-30T04:00:00"/>
    <n v="17"/>
    <m/>
    <m/>
    <m/>
    <m/>
    <m/>
    <x v="0"/>
  </r>
  <r>
    <x v="0"/>
    <x v="2"/>
    <x v="2"/>
    <x v="4"/>
    <x v="9"/>
    <x v="9"/>
    <m/>
    <x v="9"/>
    <x v="0"/>
    <x v="1"/>
    <s v="S"/>
    <d v="1899-12-30T07:30:00"/>
    <d v="1899-12-30T11:30:00"/>
    <m/>
    <m/>
    <m/>
    <m/>
    <d v="1899-12-30T04:00:00"/>
    <n v="16"/>
    <m/>
    <m/>
    <m/>
    <m/>
    <m/>
    <x v="0"/>
  </r>
  <r>
    <x v="0"/>
    <x v="2"/>
    <x v="2"/>
    <x v="4"/>
    <x v="9"/>
    <x v="9"/>
    <m/>
    <x v="9"/>
    <x v="0"/>
    <x v="1"/>
    <s v="C"/>
    <d v="1899-12-30T12:30:00"/>
    <d v="1899-12-30T16:30:00"/>
    <m/>
    <m/>
    <m/>
    <m/>
    <d v="1899-12-30T04:00:00"/>
    <n v="16"/>
    <m/>
    <m/>
    <m/>
    <m/>
    <m/>
    <x v="0"/>
  </r>
  <r>
    <x v="0"/>
    <x v="2"/>
    <x v="2"/>
    <x v="4"/>
    <x v="9"/>
    <x v="9"/>
    <m/>
    <x v="8"/>
    <x v="0"/>
    <x v="1"/>
    <s v="S"/>
    <d v="1899-12-30T07:30:00"/>
    <d v="1899-12-30T11:30:00"/>
    <m/>
    <m/>
    <m/>
    <m/>
    <d v="1899-12-30T04:00:00"/>
    <n v="33"/>
    <m/>
    <m/>
    <m/>
    <m/>
    <m/>
    <x v="0"/>
  </r>
  <r>
    <x v="0"/>
    <x v="2"/>
    <x v="2"/>
    <x v="4"/>
    <x v="9"/>
    <x v="9"/>
    <m/>
    <x v="20"/>
    <x v="0"/>
    <x v="1"/>
    <s v="C"/>
    <d v="1899-12-30T12:30:00"/>
    <d v="1899-12-30T16:30:00"/>
    <m/>
    <m/>
    <m/>
    <m/>
    <d v="1899-12-30T04:00:00"/>
    <n v="33"/>
    <m/>
    <m/>
    <m/>
    <m/>
    <m/>
    <x v="0"/>
  </r>
  <r>
    <x v="0"/>
    <x v="2"/>
    <x v="2"/>
    <x v="4"/>
    <x v="8"/>
    <x v="8"/>
    <m/>
    <x v="6"/>
    <x v="0"/>
    <x v="1"/>
    <s v="S"/>
    <d v="1899-12-30T07:30:00"/>
    <d v="1899-12-30T11:30:00"/>
    <m/>
    <m/>
    <m/>
    <m/>
    <d v="1899-12-30T04:00:00"/>
    <n v="33"/>
    <m/>
    <m/>
    <m/>
    <m/>
    <m/>
    <x v="0"/>
  </r>
  <r>
    <x v="0"/>
    <x v="2"/>
    <x v="2"/>
    <x v="4"/>
    <x v="8"/>
    <x v="8"/>
    <m/>
    <x v="6"/>
    <x v="0"/>
    <x v="1"/>
    <s v="C"/>
    <d v="1899-12-30T12:30:00"/>
    <d v="1899-12-30T16:30:00"/>
    <m/>
    <d v="1899-12-30T00:20:00"/>
    <m/>
    <m/>
    <d v="1899-12-30T03:40:00"/>
    <n v="33"/>
    <m/>
    <m/>
    <m/>
    <m/>
    <m/>
    <x v="0"/>
  </r>
  <r>
    <x v="0"/>
    <x v="2"/>
    <x v="2"/>
    <x v="5"/>
    <x v="15"/>
    <x v="37"/>
    <m/>
    <x v="3"/>
    <x v="0"/>
    <x v="2"/>
    <s v="S"/>
    <d v="1899-12-30T07:25:00"/>
    <d v="1899-12-30T08:00:00"/>
    <d v="1899-12-30T00:15:00"/>
    <m/>
    <m/>
    <m/>
    <d v="1899-12-30T00:20:00"/>
    <m/>
    <m/>
    <m/>
    <m/>
    <m/>
    <m/>
    <x v="0"/>
  </r>
  <r>
    <x v="0"/>
    <x v="2"/>
    <x v="2"/>
    <x v="5"/>
    <x v="34"/>
    <x v="38"/>
    <m/>
    <x v="3"/>
    <x v="0"/>
    <x v="2"/>
    <s v="S"/>
    <d v="1899-12-30T08:00:00"/>
    <d v="1899-12-30T11:30:00"/>
    <m/>
    <m/>
    <m/>
    <m/>
    <d v="1899-12-30T03:30:00"/>
    <n v="21"/>
    <m/>
    <m/>
    <m/>
    <m/>
    <m/>
    <x v="0"/>
  </r>
  <r>
    <x v="0"/>
    <x v="2"/>
    <x v="2"/>
    <x v="5"/>
    <x v="34"/>
    <x v="38"/>
    <m/>
    <x v="3"/>
    <x v="0"/>
    <x v="2"/>
    <s v="C"/>
    <d v="1899-12-30T12:30:00"/>
    <d v="1899-12-30T16:20:00"/>
    <m/>
    <m/>
    <m/>
    <m/>
    <d v="1899-12-30T03:50:00"/>
    <n v="25"/>
    <m/>
    <m/>
    <m/>
    <m/>
    <m/>
    <x v="0"/>
  </r>
  <r>
    <x v="0"/>
    <x v="2"/>
    <x v="2"/>
    <x v="5"/>
    <x v="34"/>
    <x v="38"/>
    <m/>
    <x v="5"/>
    <x v="0"/>
    <x v="3"/>
    <s v="S"/>
    <d v="1899-12-30T07:20:00"/>
    <d v="1899-12-30T11:30:00"/>
    <d v="1899-12-30T00:10:00"/>
    <m/>
    <m/>
    <m/>
    <d v="1899-12-30T04:00:00"/>
    <n v="12"/>
    <m/>
    <m/>
    <m/>
    <m/>
    <m/>
    <x v="0"/>
  </r>
  <r>
    <x v="0"/>
    <x v="2"/>
    <x v="2"/>
    <x v="5"/>
    <x v="34"/>
    <x v="38"/>
    <m/>
    <x v="5"/>
    <x v="0"/>
    <x v="3"/>
    <s v="C"/>
    <d v="1899-12-30T12:30:00"/>
    <d v="1899-12-30T16:30:00"/>
    <m/>
    <m/>
    <m/>
    <m/>
    <d v="1899-12-30T04:00:00"/>
    <n v="12"/>
    <m/>
    <m/>
    <m/>
    <m/>
    <m/>
    <x v="0"/>
  </r>
  <r>
    <x v="0"/>
    <x v="2"/>
    <x v="2"/>
    <x v="1"/>
    <x v="1"/>
    <x v="1"/>
    <m/>
    <x v="2"/>
    <x v="0"/>
    <x v="1"/>
    <s v="S"/>
    <d v="1899-12-30T07:30:00"/>
    <d v="1899-12-30T08:00:00"/>
    <m/>
    <m/>
    <m/>
    <m/>
    <d v="1899-12-30T00:30:00"/>
    <n v="1"/>
    <m/>
    <m/>
    <m/>
    <m/>
    <m/>
    <x v="0"/>
  </r>
  <r>
    <x v="0"/>
    <x v="2"/>
    <x v="2"/>
    <x v="5"/>
    <x v="34"/>
    <x v="38"/>
    <m/>
    <x v="2"/>
    <x v="0"/>
    <x v="1"/>
    <s v="S"/>
    <d v="1899-12-30T08:00:00"/>
    <d v="1899-12-30T11:30:00"/>
    <m/>
    <m/>
    <m/>
    <m/>
    <d v="1899-12-30T03:30:00"/>
    <n v="9"/>
    <m/>
    <m/>
    <m/>
    <m/>
    <m/>
    <x v="0"/>
  </r>
  <r>
    <x v="0"/>
    <x v="2"/>
    <x v="2"/>
    <x v="5"/>
    <x v="34"/>
    <x v="38"/>
    <m/>
    <x v="2"/>
    <x v="0"/>
    <x v="1"/>
    <s v="C"/>
    <d v="1899-12-30T12:30:00"/>
    <d v="1899-12-30T16:30:00"/>
    <m/>
    <m/>
    <m/>
    <m/>
    <d v="1899-12-30T04:00:00"/>
    <n v="13"/>
    <m/>
    <m/>
    <m/>
    <m/>
    <m/>
    <x v="0"/>
  </r>
  <r>
    <x v="0"/>
    <x v="2"/>
    <x v="2"/>
    <x v="1"/>
    <x v="1"/>
    <x v="1"/>
    <m/>
    <x v="25"/>
    <x v="0"/>
    <x v="19"/>
    <s v="S"/>
    <d v="1899-12-30T07:20:00"/>
    <d v="1899-12-30T08:00:00"/>
    <d v="1899-12-30T00:10:00"/>
    <m/>
    <m/>
    <m/>
    <d v="1899-12-30T00:30:00"/>
    <n v="1"/>
    <m/>
    <m/>
    <m/>
    <m/>
    <m/>
    <x v="0"/>
  </r>
  <r>
    <x v="0"/>
    <x v="2"/>
    <x v="2"/>
    <x v="5"/>
    <x v="34"/>
    <x v="38"/>
    <m/>
    <x v="25"/>
    <x v="0"/>
    <x v="19"/>
    <s v="S"/>
    <d v="1899-12-30T08:00:00"/>
    <d v="1899-12-30T11:30:00"/>
    <m/>
    <m/>
    <m/>
    <m/>
    <d v="1899-12-30T03:30:00"/>
    <n v="21"/>
    <m/>
    <m/>
    <m/>
    <m/>
    <m/>
    <x v="0"/>
  </r>
  <r>
    <x v="0"/>
    <x v="2"/>
    <x v="2"/>
    <x v="5"/>
    <x v="34"/>
    <x v="38"/>
    <m/>
    <x v="25"/>
    <x v="0"/>
    <x v="19"/>
    <s v="C"/>
    <d v="1899-12-30T12:30:00"/>
    <d v="1899-12-30T16:30:00"/>
    <m/>
    <m/>
    <m/>
    <m/>
    <d v="1899-12-30T04:00:00"/>
    <n v="25"/>
    <m/>
    <m/>
    <m/>
    <m/>
    <m/>
    <x v="0"/>
  </r>
  <r>
    <x v="0"/>
    <x v="2"/>
    <x v="2"/>
    <x v="1"/>
    <x v="30"/>
    <x v="31"/>
    <m/>
    <x v="4"/>
    <x v="0"/>
    <x v="1"/>
    <s v="S"/>
    <d v="1899-12-30T07:30:00"/>
    <d v="1899-12-30T09:00:00"/>
    <m/>
    <m/>
    <m/>
    <m/>
    <d v="1899-12-30T01:30:00"/>
    <m/>
    <m/>
    <m/>
    <m/>
    <m/>
    <m/>
    <x v="0"/>
  </r>
  <r>
    <x v="0"/>
    <x v="2"/>
    <x v="2"/>
    <x v="5"/>
    <x v="23"/>
    <x v="39"/>
    <m/>
    <x v="4"/>
    <x v="0"/>
    <x v="1"/>
    <s v="S"/>
    <d v="1899-12-30T09:00:00"/>
    <d v="1899-12-30T11:30:00"/>
    <m/>
    <m/>
    <m/>
    <m/>
    <d v="1899-12-30T02:30:00"/>
    <m/>
    <m/>
    <m/>
    <m/>
    <m/>
    <m/>
    <x v="0"/>
  </r>
  <r>
    <x v="0"/>
    <x v="2"/>
    <x v="2"/>
    <x v="5"/>
    <x v="23"/>
    <x v="39"/>
    <m/>
    <x v="4"/>
    <x v="0"/>
    <x v="1"/>
    <s v="C"/>
    <d v="1899-12-30T12:30:00"/>
    <d v="1899-12-30T16:30:00"/>
    <m/>
    <m/>
    <m/>
    <m/>
    <d v="1899-12-30T04:00:00"/>
    <m/>
    <m/>
    <m/>
    <m/>
    <m/>
    <m/>
    <x v="0"/>
  </r>
  <r>
    <x v="0"/>
    <x v="2"/>
    <x v="2"/>
    <x v="4"/>
    <x v="10"/>
    <x v="10"/>
    <m/>
    <x v="12"/>
    <x v="0"/>
    <x v="4"/>
    <s v="S"/>
    <d v="1899-12-30T07:20:00"/>
    <d v="1899-12-30T09:50:00"/>
    <d v="1899-12-30T00:10:00"/>
    <m/>
    <m/>
    <m/>
    <d v="1899-12-30T02:20:00"/>
    <m/>
    <m/>
    <m/>
    <m/>
    <m/>
    <m/>
    <x v="0"/>
  </r>
  <r>
    <x v="0"/>
    <x v="2"/>
    <x v="2"/>
    <x v="3"/>
    <x v="11"/>
    <x v="11"/>
    <m/>
    <x v="12"/>
    <x v="0"/>
    <x v="4"/>
    <s v="S"/>
    <d v="1899-12-30T09:50:00"/>
    <d v="1899-12-30T11:25:00"/>
    <m/>
    <m/>
    <m/>
    <m/>
    <d v="1899-12-30T01:35:00"/>
    <m/>
    <m/>
    <m/>
    <m/>
    <m/>
    <m/>
    <x v="0"/>
  </r>
  <r>
    <x v="0"/>
    <x v="2"/>
    <x v="2"/>
    <x v="3"/>
    <x v="11"/>
    <x v="11"/>
    <m/>
    <x v="12"/>
    <x v="0"/>
    <x v="4"/>
    <s v="C"/>
    <d v="1899-12-30T12:30:00"/>
    <d v="1899-12-30T16:25:00"/>
    <m/>
    <m/>
    <m/>
    <m/>
    <d v="1899-12-30T03:55:00"/>
    <m/>
    <m/>
    <m/>
    <m/>
    <m/>
    <m/>
    <x v="0"/>
  </r>
  <r>
    <x v="0"/>
    <x v="2"/>
    <x v="2"/>
    <x v="1"/>
    <x v="31"/>
    <x v="33"/>
    <m/>
    <x v="30"/>
    <x v="0"/>
    <x v="26"/>
    <s v="S"/>
    <d v="1899-12-30T07:50:00"/>
    <d v="1899-12-30T10:25:00"/>
    <m/>
    <m/>
    <m/>
    <m/>
    <d v="1899-12-30T02:35:00"/>
    <m/>
    <m/>
    <m/>
    <m/>
    <m/>
    <m/>
    <x v="0"/>
  </r>
  <r>
    <x v="0"/>
    <x v="2"/>
    <x v="2"/>
    <x v="0"/>
    <x v="27"/>
    <x v="28"/>
    <m/>
    <x v="26"/>
    <x v="0"/>
    <x v="27"/>
    <s v="T"/>
    <d v="1899-12-30T17:30:00"/>
    <d v="1899-12-30T20:30:00"/>
    <m/>
    <m/>
    <m/>
    <m/>
    <d v="1899-12-30T03:00:00"/>
    <n v="28"/>
    <m/>
    <m/>
    <m/>
    <m/>
    <m/>
    <x v="0"/>
  </r>
  <r>
    <x v="0"/>
    <x v="2"/>
    <x v="2"/>
    <x v="0"/>
    <x v="22"/>
    <x v="25"/>
    <m/>
    <x v="25"/>
    <x v="0"/>
    <x v="19"/>
    <s v="T"/>
    <d v="1899-12-30T20:10:00"/>
    <d v="1899-12-30T20:30:00"/>
    <m/>
    <m/>
    <m/>
    <m/>
    <d v="1899-12-30T00:20:00"/>
    <m/>
    <m/>
    <m/>
    <m/>
    <m/>
    <m/>
    <x v="0"/>
  </r>
  <r>
    <x v="0"/>
    <x v="2"/>
    <x v="2"/>
    <x v="0"/>
    <x v="22"/>
    <x v="25"/>
    <m/>
    <x v="2"/>
    <x v="0"/>
    <x v="1"/>
    <s v="T"/>
    <d v="1899-12-30T17:30:00"/>
    <d v="1899-12-30T20:30:00"/>
    <m/>
    <m/>
    <m/>
    <m/>
    <d v="1899-12-30T03:00:00"/>
    <n v="14"/>
    <m/>
    <m/>
    <m/>
    <m/>
    <m/>
    <x v="0"/>
  </r>
  <r>
    <x v="0"/>
    <x v="2"/>
    <x v="2"/>
    <x v="0"/>
    <x v="22"/>
    <x v="25"/>
    <m/>
    <x v="16"/>
    <x v="0"/>
    <x v="1"/>
    <s v="T"/>
    <d v="1899-12-30T17:30:00"/>
    <d v="1899-12-30T20:35:00"/>
    <m/>
    <m/>
    <m/>
    <m/>
    <d v="1899-12-30T03:05:00"/>
    <n v="14"/>
    <m/>
    <m/>
    <m/>
    <m/>
    <m/>
    <x v="0"/>
  </r>
  <r>
    <x v="0"/>
    <x v="2"/>
    <x v="2"/>
    <x v="0"/>
    <x v="22"/>
    <x v="25"/>
    <m/>
    <x v="4"/>
    <x v="0"/>
    <x v="1"/>
    <s v="T"/>
    <d v="1899-12-30T17:30:00"/>
    <d v="1899-12-30T20:30:00"/>
    <m/>
    <m/>
    <m/>
    <m/>
    <d v="1899-12-30T03:00:00"/>
    <n v="28"/>
    <m/>
    <m/>
    <m/>
    <m/>
    <m/>
    <x v="0"/>
  </r>
  <r>
    <x v="0"/>
    <x v="2"/>
    <x v="2"/>
    <x v="1"/>
    <x v="30"/>
    <x v="31"/>
    <m/>
    <x v="20"/>
    <x v="0"/>
    <x v="1"/>
    <s v="T"/>
    <d v="1899-12-30T17:30:00"/>
    <d v="1899-12-30T20:00:00"/>
    <m/>
    <m/>
    <m/>
    <m/>
    <d v="1899-12-30T02:30:00"/>
    <m/>
    <m/>
    <m/>
    <m/>
    <m/>
    <m/>
    <x v="0"/>
  </r>
  <r>
    <x v="0"/>
    <x v="2"/>
    <x v="2"/>
    <x v="0"/>
    <x v="13"/>
    <x v="13"/>
    <m/>
    <x v="13"/>
    <x v="0"/>
    <x v="5"/>
    <m/>
    <m/>
    <m/>
    <m/>
    <m/>
    <m/>
    <m/>
    <d v="1899-12-30T00:00:00"/>
    <m/>
    <m/>
    <m/>
    <m/>
    <m/>
    <m/>
    <x v="0"/>
  </r>
  <r>
    <x v="0"/>
    <x v="2"/>
    <x v="2"/>
    <x v="0"/>
    <x v="13"/>
    <x v="13"/>
    <m/>
    <x v="13"/>
    <x v="0"/>
    <x v="5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  <r>
    <x v="0"/>
    <x v="2"/>
    <x v="2"/>
    <x v="7"/>
    <x v="35"/>
    <x v="40"/>
    <m/>
    <x v="21"/>
    <x v="0"/>
    <x v="28"/>
    <m/>
    <m/>
    <m/>
    <m/>
    <m/>
    <m/>
    <m/>
    <d v="1899-12-30T00:00:00"/>
    <m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4" indent="0" compact="0" compactData="0" multipleFieldFilters="0">
  <location ref="A5:E39" firstHeaderRow="0" firstDataRow="1" firstDataCol="3" rowPageCount="3" colPageCount="1"/>
  <pivotFields count="25">
    <pivotField axis="axisPage" compact="0" outline="0" multipleItemSelectionAllowed="1" showAll="0" defaultSubtotal="0">
      <items count="4">
        <item x="0"/>
        <item h="1" m="1" x="1"/>
        <item h="1" m="1" x="2"/>
        <item h="1"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numFmtId="14" outline="0" multipleItemSelectionAllowed="1" showAll="0" defaultSubtotal="0">
      <items count="72">
        <item m="1" x="25"/>
        <item m="1" x="54"/>
        <item m="1" x="14"/>
        <item m="1" x="42"/>
        <item m="1" x="3"/>
        <item m="1" x="32"/>
        <item m="1" x="63"/>
        <item m="1" x="22"/>
        <item m="1" x="51"/>
        <item m="1" x="11"/>
        <item m="1" x="39"/>
        <item m="1" x="57"/>
        <item m="1" x="17"/>
        <item m="1" x="45"/>
        <item m="1" x="6"/>
        <item m="1" x="34"/>
        <item m="1" x="65"/>
        <item m="1" x="24"/>
        <item m="1" x="53"/>
        <item m="1" x="13"/>
        <item m="1" x="41"/>
        <item m="1" x="71"/>
        <item m="1" x="31"/>
        <item m="1" x="62"/>
        <item m="1" x="21"/>
        <item m="1" x="50"/>
        <item m="1" x="10"/>
        <item m="1" x="38"/>
        <item m="1" x="69"/>
        <item m="1" x="29"/>
        <item m="1" x="60"/>
        <item m="1" x="19"/>
        <item m="1" x="47"/>
        <item m="1" x="8"/>
        <item m="1" x="36"/>
        <item m="1" x="67"/>
        <item m="1" x="27"/>
        <item m="1" x="56"/>
        <item m="1" x="16"/>
        <item m="1" x="44"/>
        <item m="1" x="5"/>
        <item m="1" x="49"/>
        <item m="1" x="9"/>
        <item m="1" x="37"/>
        <item m="1" x="68"/>
        <item m="1" x="28"/>
        <item m="1" x="59"/>
        <item m="1" x="18"/>
        <item m="1" x="46"/>
        <item m="1" x="7"/>
        <item m="1" x="35"/>
        <item m="1" x="66"/>
        <item m="1" x="26"/>
        <item m="1" x="55"/>
        <item m="1" x="15"/>
        <item m="1" x="43"/>
        <item m="1" x="4"/>
        <item m="1" x="33"/>
        <item m="1" x="64"/>
        <item m="1" x="23"/>
        <item m="1" x="52"/>
        <item m="1" x="12"/>
        <item m="1" x="40"/>
        <item m="1" x="70"/>
        <item m="1" x="30"/>
        <item m="1" x="61"/>
        <item m="1" x="20"/>
        <item m="1" x="48"/>
        <item m="1" x="58"/>
        <item h="1" x="0"/>
        <item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3">
        <item h="1"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0">
        <item m="1" x="49"/>
        <item x="3"/>
        <item m="1" x="43"/>
        <item m="1" x="19"/>
        <item m="1" x="41"/>
        <item m="1" x="12"/>
        <item m="1" x="33"/>
        <item m="1" x="36"/>
        <item m="1" x="8"/>
        <item m="1" x="28"/>
        <item m="1" x="35"/>
        <item m="1" x="31"/>
        <item m="1" x="24"/>
        <item m="1" x="15"/>
        <item m="1" x="16"/>
        <item m="1" x="26"/>
        <item m="1" x="42"/>
        <item m="1" x="39"/>
        <item m="1" x="25"/>
        <item m="1" x="9"/>
        <item m="1" x="20"/>
        <item m="1" x="13"/>
        <item m="1" x="44"/>
        <item m="1" x="21"/>
        <item m="1" x="14"/>
        <item m="1" x="32"/>
        <item m="1" x="37"/>
        <item m="1" x="29"/>
        <item m="1" x="30"/>
        <item m="1" x="27"/>
        <item m="1" x="23"/>
        <item m="1" x="40"/>
        <item m="1" x="46"/>
        <item m="1" x="47"/>
        <item m="1" x="11"/>
        <item m="1" x="17"/>
        <item m="1" x="18"/>
        <item m="1" x="48"/>
        <item m="1" x="34"/>
        <item m="1" x="45"/>
        <item m="1" x="22"/>
        <item m="1" x="38"/>
        <item m="1" x="10"/>
        <item x="0"/>
        <item x="1"/>
        <item x="2"/>
        <item x="5"/>
        <item x="4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1">
        <item x="2"/>
        <item x="0"/>
        <item m="1" x="40"/>
        <item x="4"/>
        <item x="5"/>
        <item x="6"/>
        <item m="1" x="38"/>
        <item x="12"/>
        <item m="1" x="37"/>
        <item x="3"/>
        <item x="7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1"/>
        <item x="24"/>
        <item m="1" x="36"/>
        <item m="1" x="39"/>
        <item x="27"/>
        <item x="28"/>
        <item x="25"/>
        <item x="26"/>
        <item x="29"/>
        <item x="30"/>
        <item x="31"/>
        <item x="32"/>
        <item x="33"/>
        <item x="34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4">
        <item sd="0" m="1" x="41"/>
        <item sd="0" x="0"/>
        <item x="3"/>
        <item sd="0" x="4"/>
        <item sd="0" x="5"/>
        <item sd="0" x="6"/>
        <item m="1" x="42"/>
        <item sd="0" x="12"/>
        <item x="40"/>
        <item sd="0" x="7"/>
        <item x="8"/>
        <item x="9"/>
        <item sd="0" x="10"/>
        <item sd="0" x="11"/>
        <item sd="0" x="13"/>
        <item sd="0" x="14"/>
        <item sd="0" x="15"/>
        <item x="16"/>
        <item sd="0" x="17"/>
        <item x="18"/>
        <item sd="0" x="19"/>
        <item sd="0" x="20"/>
        <item sd="0" x="21"/>
        <item sd="0" x="22"/>
        <item x="23"/>
        <item sd="0" x="1"/>
        <item x="24"/>
        <item x="25"/>
        <item x="26"/>
        <item m="1" x="43"/>
        <item x="28"/>
        <item x="29"/>
        <item x="2"/>
        <item x="27"/>
        <item x="30"/>
        <item x="31"/>
        <item x="32"/>
        <item x="33"/>
        <item x="34"/>
        <item x="35"/>
        <item x="36"/>
        <item x="37"/>
        <item x="38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2">
        <item h="1" x="28"/>
        <item m="1" x="30"/>
        <item x="2"/>
        <item x="3"/>
        <item x="4"/>
        <item m="1" x="31"/>
        <item m="1" x="29"/>
        <item x="7"/>
        <item x="0"/>
        <item x="5"/>
        <item x="6"/>
        <item x="8"/>
        <item x="9"/>
        <item x="10"/>
        <item x="11"/>
        <item x="12"/>
        <item x="13"/>
        <item x="14"/>
        <item x="15"/>
        <item x="16"/>
        <item x="17"/>
        <item h="1" x="1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9"/>
    <field x="5"/>
    <field x="4"/>
  </rowFields>
  <rowItems count="34">
    <i>
      <x v="3"/>
      <x v="36"/>
      <x v="7"/>
    </i>
    <i r="1">
      <x v="38"/>
      <x v="37"/>
    </i>
    <i>
      <x v="4"/>
      <x v="12"/>
    </i>
    <i>
      <x v="7"/>
      <x v="15"/>
    </i>
    <i r="1">
      <x v="37"/>
      <x v="36"/>
    </i>
    <i>
      <x v="8"/>
      <x v="36"/>
      <x v="7"/>
    </i>
    <i r="1">
      <x v="37"/>
      <x v="36"/>
    </i>
    <i r="1">
      <x v="38"/>
      <x v="37"/>
    </i>
    <i>
      <x v="9"/>
      <x v="14"/>
    </i>
    <i>
      <x v="10"/>
      <x v="14"/>
    </i>
    <i r="1">
      <x v="15"/>
    </i>
    <i r="1">
      <x v="21"/>
    </i>
    <i>
      <x v="11"/>
      <x v="37"/>
      <x v="36"/>
    </i>
    <i>
      <x v="13"/>
      <x v="21"/>
    </i>
    <i r="1">
      <x v="37"/>
      <x v="36"/>
    </i>
    <i r="1">
      <x v="39"/>
      <x v="22"/>
    </i>
    <i>
      <x v="14"/>
      <x v="21"/>
    </i>
    <i r="1">
      <x v="37"/>
      <x v="36"/>
    </i>
    <i r="1">
      <x v="39"/>
      <x v="22"/>
    </i>
    <i>
      <x v="16"/>
      <x v="15"/>
    </i>
    <i r="1">
      <x v="21"/>
    </i>
    <i r="1">
      <x v="28"/>
      <x v="32"/>
    </i>
    <i>
      <x v="17"/>
      <x v="15"/>
    </i>
    <i r="1">
      <x v="21"/>
    </i>
    <i r="1">
      <x v="28"/>
      <x v="32"/>
    </i>
    <i>
      <x v="18"/>
      <x v="15"/>
    </i>
    <i r="1">
      <x v="21"/>
    </i>
    <i r="1">
      <x v="28"/>
      <x v="32"/>
    </i>
    <i>
      <x v="19"/>
      <x v="16"/>
    </i>
    <i r="1">
      <x v="21"/>
    </i>
    <i r="1">
      <x v="39"/>
      <x v="22"/>
    </i>
    <i>
      <x v="20"/>
      <x v="21"/>
    </i>
    <i r="1">
      <x v="37"/>
      <x v="36"/>
    </i>
    <i r="1">
      <x v="39"/>
      <x v="22"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2" hier="-1"/>
  </pageFields>
  <dataFields count="2">
    <dataField name=" Thời gian làm việc" fld="17" baseField="0" baseItem="0" numFmtId="166"/>
    <dataField name=" Số lượng thực hiện" fld="18" baseField="0" baseItem="0"/>
  </dataFields>
  <formats count="166">
    <format dxfId="233">
      <pivotArea type="all" dataOnly="0" outline="0" fieldPosition="0"/>
    </format>
    <format dxfId="232">
      <pivotArea field="3" type="button" dataOnly="0" labelOnly="1" outline="0"/>
    </format>
    <format dxfId="231">
      <pivotArea field="5" type="button" dataOnly="0" labelOnly="1" outline="0" axis="axisRow" fieldPosition="1"/>
    </format>
    <format dxfId="230">
      <pivotArea field="9" type="button" dataOnly="0" labelOnly="1" outline="0" axis="axisRow" fieldPosition="0"/>
    </format>
    <format dxfId="229">
      <pivotArea field="24" type="button" dataOnly="0" labelOnly="1" outline="0"/>
    </format>
    <format dxfId="2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7">
      <pivotArea field="3" type="button" dataOnly="0" labelOnly="1" outline="0"/>
    </format>
    <format dxfId="226">
      <pivotArea field="5" type="button" dataOnly="0" labelOnly="1" outline="0" axis="axisRow" fieldPosition="1"/>
    </format>
    <format dxfId="225">
      <pivotArea field="9" type="button" dataOnly="0" labelOnly="1" outline="0" axis="axisRow" fieldPosition="0"/>
    </format>
    <format dxfId="224">
      <pivotArea field="24" type="button" dataOnly="0" labelOnly="1" outline="0"/>
    </format>
    <format dxfId="2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2">
      <pivotArea field="4" type="button" dataOnly="0" labelOnly="1" outline="0" axis="axisRow" fieldPosition="2"/>
    </format>
    <format dxfId="22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9">
      <pivotArea dataOnly="0" labelOnly="1" outline="0" fieldPosition="0">
        <references count="1">
          <reference field="0" count="0"/>
        </references>
      </pivotArea>
    </format>
    <format dxfId="218">
      <pivotArea dataOnly="0" labelOnly="1" outline="0" fieldPosition="0">
        <references count="1">
          <reference field="1" count="0"/>
        </references>
      </pivotArea>
    </format>
    <format dxfId="217">
      <pivotArea dataOnly="0" labelOnly="1" outline="0" fieldPosition="0">
        <references count="1">
          <reference field="2" count="0"/>
        </references>
      </pivotArea>
    </format>
    <format dxfId="216">
      <pivotArea dataOnly="0" labelOnly="1" outline="0" fieldPosition="0">
        <references count="2">
          <reference field="4" count="1">
            <x v="0"/>
          </reference>
          <reference field="5" count="1" selected="0">
            <x v="0"/>
          </reference>
        </references>
      </pivotArea>
    </format>
    <format dxfId="215">
      <pivotArea dataOnly="0" labelOnly="1" outline="0" fieldPosition="0">
        <references count="2">
          <reference field="4" count="1">
            <x v="1"/>
          </reference>
          <reference field="5" count="1" selected="0">
            <x v="1"/>
          </reference>
        </references>
      </pivotArea>
    </format>
    <format dxfId="214">
      <pivotArea dataOnly="0" labelOnly="1" outline="0" fieldPosition="0">
        <references count="2">
          <reference field="4" count="1">
            <x v="9"/>
          </reference>
          <reference field="5" count="1" selected="0">
            <x v="2"/>
          </reference>
        </references>
      </pivotArea>
    </format>
    <format dxfId="213">
      <pivotArea dataOnly="0" labelOnly="1" outline="0" fieldPosition="0">
        <references count="2">
          <reference field="4" count="1">
            <x v="3"/>
          </reference>
          <reference field="5" count="1" selected="0">
            <x v="3"/>
          </reference>
        </references>
      </pivotArea>
    </format>
    <format dxfId="212">
      <pivotArea dataOnly="0" labelOnly="1" outline="0" fieldPosition="0">
        <references count="2">
          <reference field="4" count="1">
            <x v="4"/>
          </reference>
          <reference field="5" count="1" selected="0">
            <x v="4"/>
          </reference>
        </references>
      </pivotArea>
    </format>
    <format dxfId="211">
      <pivotArea dataOnly="0" labelOnly="1" outline="0" fieldPosition="0">
        <references count="2">
          <reference field="4" count="1">
            <x v="5"/>
          </reference>
          <reference field="5" count="1" selected="0">
            <x v="5"/>
          </reference>
        </references>
      </pivotArea>
    </format>
    <format dxfId="210">
      <pivotArea dataOnly="0" labelOnly="1" outline="0" fieldPosition="0">
        <references count="2">
          <reference field="4" count="1">
            <x v="7"/>
          </reference>
          <reference field="5" count="1" selected="0">
            <x v="7"/>
          </reference>
        </references>
      </pivotArea>
    </format>
    <format dxfId="209">
      <pivotArea dataOnly="0" labelOnly="1" outline="0" fieldPosition="0">
        <references count="2">
          <reference field="4" count="1">
            <x v="10"/>
          </reference>
          <reference field="5" count="1" selected="0">
            <x v="9"/>
          </reference>
        </references>
      </pivotArea>
    </format>
    <format dxfId="208">
      <pivotArea dataOnly="0" labelOnly="1" outline="0" fieldPosition="0">
        <references count="2">
          <reference field="4" count="1">
            <x v="11"/>
          </reference>
          <reference field="5" count="1" selected="0">
            <x v="10"/>
          </reference>
        </references>
      </pivotArea>
    </format>
    <format dxfId="207">
      <pivotArea dataOnly="0" labelOnly="1" outline="0" fieldPosition="0">
        <references count="2">
          <reference field="4" count="1">
            <x v="12"/>
          </reference>
          <reference field="5" count="1" selected="0">
            <x v="11"/>
          </reference>
        </references>
      </pivotArea>
    </format>
    <format dxfId="206">
      <pivotArea dataOnly="0" labelOnly="1" outline="0" fieldPosition="0">
        <references count="2">
          <reference field="4" count="1">
            <x v="13"/>
          </reference>
          <reference field="5" count="1" selected="0">
            <x v="12"/>
          </reference>
        </references>
      </pivotArea>
    </format>
    <format dxfId="205">
      <pivotArea dataOnly="0" labelOnly="1" outline="0" fieldPosition="0">
        <references count="2">
          <reference field="4" count="1">
            <x v="14"/>
          </reference>
          <reference field="5" count="1" selected="0">
            <x v="13"/>
          </reference>
        </references>
      </pivotArea>
    </format>
    <format dxfId="204">
      <pivotArea dataOnly="0" labelOnly="1" outline="0" fieldPosition="0">
        <references count="2">
          <reference field="4" count="1">
            <x v="15"/>
          </reference>
          <reference field="5" count="1" selected="0">
            <x v="14"/>
          </reference>
        </references>
      </pivotArea>
    </format>
    <format dxfId="203">
      <pivotArea dataOnly="0" labelOnly="1" outline="0" fieldPosition="0">
        <references count="2">
          <reference field="4" count="1">
            <x v="16"/>
          </reference>
          <reference field="5" count="1" selected="0">
            <x v="15"/>
          </reference>
        </references>
      </pivotArea>
    </format>
    <format dxfId="202">
      <pivotArea dataOnly="0" labelOnly="1" outline="0" fieldPosition="0">
        <references count="2">
          <reference field="4" count="1">
            <x v="17"/>
          </reference>
          <reference field="5" count="1" selected="0">
            <x v="16"/>
          </reference>
        </references>
      </pivotArea>
    </format>
    <format dxfId="201">
      <pivotArea dataOnly="0" labelOnly="1" outline="0" fieldPosition="0">
        <references count="2">
          <reference field="4" count="1">
            <x v="18"/>
          </reference>
          <reference field="5" count="1" selected="0">
            <x v="17"/>
          </reference>
        </references>
      </pivotArea>
    </format>
    <format dxfId="200">
      <pivotArea dataOnly="0" labelOnly="1" outline="0" fieldPosition="0">
        <references count="2">
          <reference field="4" count="1">
            <x v="19"/>
          </reference>
          <reference field="5" count="1" selected="0">
            <x v="18"/>
          </reference>
        </references>
      </pivotArea>
    </format>
    <format dxfId="199">
      <pivotArea dataOnly="0" labelOnly="1" outline="0" fieldPosition="0">
        <references count="2">
          <reference field="4" count="1">
            <x v="20"/>
          </reference>
          <reference field="5" count="1" selected="0">
            <x v="19"/>
          </reference>
        </references>
      </pivotArea>
    </format>
    <format dxfId="198">
      <pivotArea dataOnly="0" labelOnly="1" outline="0" fieldPosition="0">
        <references count="2">
          <reference field="4" count="1">
            <x v="21"/>
          </reference>
          <reference field="5" count="1" selected="0">
            <x v="20"/>
          </reference>
        </references>
      </pivotArea>
    </format>
    <format dxfId="197">
      <pivotArea dataOnly="0" labelOnly="1" outline="0" fieldPosition="0">
        <references count="2">
          <reference field="4" count="1">
            <x v="22"/>
          </reference>
          <reference field="5" count="1" selected="0">
            <x v="21"/>
          </reference>
        </references>
      </pivotArea>
    </format>
    <format dxfId="196">
      <pivotArea dataOnly="0" labelOnly="1" outline="0" fieldPosition="0">
        <references count="2">
          <reference field="4" count="1">
            <x v="23"/>
          </reference>
          <reference field="5" count="1" selected="0">
            <x v="22"/>
          </reference>
        </references>
      </pivotArea>
    </format>
    <format dxfId="195">
      <pivotArea dataOnly="0" labelOnly="1" outline="0" fieldPosition="0">
        <references count="2">
          <reference field="4" count="1">
            <x v="24"/>
          </reference>
          <reference field="5" count="1" selected="0">
            <x v="23"/>
          </reference>
        </references>
      </pivotArea>
    </format>
    <format dxfId="194">
      <pivotArea dataOnly="0" labelOnly="1" outline="0" fieldPosition="0">
        <references count="2">
          <reference field="4" count="1">
            <x v="25"/>
          </reference>
          <reference field="5" count="1" selected="0">
            <x v="24"/>
          </reference>
        </references>
      </pivotArea>
    </format>
    <format dxfId="193">
      <pivotArea outline="0" collapsedLevelsAreSubtotals="1" fieldPosition="0"/>
    </format>
    <format dxfId="192">
      <pivotArea field="4" type="button" dataOnly="0" labelOnly="1" outline="0" axis="axisRow" fieldPosition="2"/>
    </format>
    <format dxfId="191">
      <pivotArea dataOnly="0" labelOnly="1" outline="0" fieldPosition="0">
        <references count="2">
          <reference field="5" count="1">
            <x v="3"/>
          </reference>
          <reference field="9" count="1" selected="0">
            <x v="2"/>
          </reference>
        </references>
      </pivotArea>
    </format>
    <format dxfId="190">
      <pivotArea dataOnly="0" labelOnly="1" outline="0" fieldPosition="0">
        <references count="2">
          <reference field="5" count="1">
            <x v="5"/>
          </reference>
          <reference field="9" count="1" selected="0">
            <x v="2"/>
          </reference>
        </references>
      </pivotArea>
    </format>
    <format dxfId="189">
      <pivotArea dataOnly="0" labelOnly="1" outline="0" fieldPosition="0">
        <references count="2">
          <reference field="5" count="1">
            <x v="7"/>
          </reference>
          <reference field="9" count="1" selected="0">
            <x v="2"/>
          </reference>
        </references>
      </pivotArea>
    </format>
    <format dxfId="188">
      <pivotArea dataOnly="0" labelOnly="1" outline="0" fieldPosition="0">
        <references count="2">
          <reference field="5" count="1">
            <x v="9"/>
          </reference>
          <reference field="9" count="1" selected="0">
            <x v="2"/>
          </reference>
        </references>
      </pivotArea>
    </format>
    <format dxfId="187">
      <pivotArea dataOnly="0" labelOnly="1" outline="0" fieldPosition="0">
        <references count="2">
          <reference field="5" count="1">
            <x v="23"/>
          </reference>
          <reference field="9" count="1" selected="0">
            <x v="2"/>
          </reference>
        </references>
      </pivotArea>
    </format>
    <format dxfId="186">
      <pivotArea dataOnly="0" labelOnly="1" outline="0" fieldPosition="0">
        <references count="2">
          <reference field="5" count="1">
            <x v="4"/>
          </reference>
          <reference field="9" count="1" selected="0">
            <x v="3"/>
          </reference>
        </references>
      </pivotArea>
    </format>
    <format dxfId="185">
      <pivotArea dataOnly="0" labelOnly="1" outline="0" fieldPosition="0">
        <references count="2">
          <reference field="5" count="1">
            <x v="5"/>
          </reference>
          <reference field="9" count="1" selected="0">
            <x v="3"/>
          </reference>
        </references>
      </pivotArea>
    </format>
    <format dxfId="184">
      <pivotArea dataOnly="0" labelOnly="1" outline="0" fieldPosition="0">
        <references count="2">
          <reference field="5" count="1">
            <x v="7"/>
          </reference>
          <reference field="9" count="1" selected="0">
            <x v="3"/>
          </reference>
        </references>
      </pivotArea>
    </format>
    <format dxfId="183">
      <pivotArea dataOnly="0" labelOnly="1" outline="0" fieldPosition="0">
        <references count="2">
          <reference field="5" count="1">
            <x v="9"/>
          </reference>
          <reference field="9" count="1" selected="0">
            <x v="3"/>
          </reference>
        </references>
      </pivotArea>
    </format>
    <format dxfId="182">
      <pivotArea dataOnly="0" labelOnly="1" outline="0" fieldPosition="0">
        <references count="2">
          <reference field="5" count="1">
            <x v="12"/>
          </reference>
          <reference field="9" count="1" selected="0">
            <x v="4"/>
          </reference>
        </references>
      </pivotArea>
    </format>
    <format dxfId="181">
      <pivotArea dataOnly="0" labelOnly="1" outline="0" fieldPosition="0">
        <references count="2">
          <reference field="5" count="1">
            <x v="13"/>
          </reference>
          <reference field="9" count="1" selected="0">
            <x v="4"/>
          </reference>
        </references>
      </pivotArea>
    </format>
    <format dxfId="180">
      <pivotArea dataOnly="0" labelOnly="1" outline="0" fieldPosition="0">
        <references count="2">
          <reference field="5" count="1">
            <x v="14"/>
          </reference>
          <reference field="9" count="1" selected="0">
            <x v="7"/>
          </reference>
        </references>
      </pivotArea>
    </format>
    <format dxfId="179">
      <pivotArea dataOnly="0" labelOnly="1" outline="0" fieldPosition="0">
        <references count="2">
          <reference field="5" count="1">
            <x v="15"/>
          </reference>
          <reference field="9" count="1" selected="0">
            <x v="7"/>
          </reference>
        </references>
      </pivotArea>
    </format>
    <format dxfId="178">
      <pivotArea dataOnly="0" labelOnly="1" outline="0" fieldPosition="0">
        <references count="2">
          <reference field="5" count="1">
            <x v="16"/>
          </reference>
          <reference field="9" count="1" selected="0">
            <x v="7"/>
          </reference>
        </references>
      </pivotArea>
    </format>
    <format dxfId="177">
      <pivotArea dataOnly="0" labelOnly="1" outline="0" fieldPosition="0">
        <references count="2">
          <reference field="5" count="1">
            <x v="0"/>
          </reference>
          <reference field="9" count="1" selected="0">
            <x v="8"/>
          </reference>
        </references>
      </pivotArea>
    </format>
    <format dxfId="176">
      <pivotArea dataOnly="0" labelOnly="1" outline="0" fieldPosition="0">
        <references count="2">
          <reference field="5" count="1">
            <x v="1"/>
          </reference>
          <reference field="9" count="1" selected="0">
            <x v="8"/>
          </reference>
        </references>
      </pivotArea>
    </format>
    <format dxfId="175">
      <pivotArea dataOnly="0" labelOnly="1" outline="0" fieldPosition="0">
        <references count="2">
          <reference field="5" count="1">
            <x v="23"/>
          </reference>
          <reference field="9" count="1" selected="0">
            <x v="8"/>
          </reference>
        </references>
      </pivotArea>
    </format>
    <format dxfId="174">
      <pivotArea dataOnly="0" labelOnly="1" outline="0" fieldPosition="0">
        <references count="2">
          <reference field="5" count="1">
            <x v="14"/>
          </reference>
          <reference field="9" count="1" selected="0">
            <x v="9"/>
          </reference>
        </references>
      </pivotArea>
    </format>
    <format dxfId="173">
      <pivotArea dataOnly="0" labelOnly="1" outline="0" fieldPosition="0">
        <references count="2">
          <reference field="5" count="1">
            <x v="14"/>
          </reference>
          <reference field="9" count="1" selected="0">
            <x v="10"/>
          </reference>
        </references>
      </pivotArea>
    </format>
    <format dxfId="172">
      <pivotArea dataOnly="0" labelOnly="1" outline="0" fieldPosition="0">
        <references count="2">
          <reference field="5" count="1">
            <x v="14"/>
          </reference>
          <reference field="9" count="1" selected="0">
            <x v="11"/>
          </reference>
        </references>
      </pivotArea>
    </format>
    <format dxfId="171">
      <pivotArea dataOnly="0" labelOnly="1" outline="0" fieldPosition="0">
        <references count="2">
          <reference field="5" count="1">
            <x v="18"/>
          </reference>
          <reference field="9" count="1" selected="0">
            <x v="12"/>
          </reference>
        </references>
      </pivotArea>
    </format>
    <format dxfId="170">
      <pivotArea dataOnly="0" labelOnly="1" outline="0" fieldPosition="0">
        <references count="2">
          <reference field="5" count="1">
            <x v="20"/>
          </reference>
          <reference field="9" count="1" selected="0">
            <x v="13"/>
          </reference>
        </references>
      </pivotArea>
    </format>
    <format dxfId="169">
      <pivotArea dataOnly="0" labelOnly="1" outline="0" fieldPosition="0">
        <references count="2">
          <reference field="5" count="1">
            <x v="21"/>
          </reference>
          <reference field="9" count="1" selected="0">
            <x v="13"/>
          </reference>
        </references>
      </pivotArea>
    </format>
    <format dxfId="168">
      <pivotArea dataOnly="0" labelOnly="1" outline="0" fieldPosition="0">
        <references count="2">
          <reference field="5" count="1">
            <x v="20"/>
          </reference>
          <reference field="9" count="1" selected="0">
            <x v="14"/>
          </reference>
        </references>
      </pivotArea>
    </format>
    <format dxfId="167">
      <pivotArea dataOnly="0" labelOnly="1" outline="0" fieldPosition="0">
        <references count="2">
          <reference field="5" count="1">
            <x v="21"/>
          </reference>
          <reference field="9" count="1" selected="0">
            <x v="14"/>
          </reference>
        </references>
      </pivotArea>
    </format>
    <format dxfId="166">
      <pivotArea dataOnly="0" labelOnly="1" outline="0" fieldPosition="0">
        <references count="2">
          <reference field="5" count="1">
            <x v="20"/>
          </reference>
          <reference field="9" count="1" selected="0">
            <x v="15"/>
          </reference>
        </references>
      </pivotArea>
    </format>
    <format dxfId="165">
      <pivotArea dataOnly="0" labelOnly="1" outline="0" fieldPosition="0">
        <references count="2">
          <reference field="5" count="1">
            <x v="21"/>
          </reference>
          <reference field="9" count="1" selected="0">
            <x v="15"/>
          </reference>
        </references>
      </pivotArea>
    </format>
    <format dxfId="164">
      <pivotArea dataOnly="0" labelOnly="1" outline="0" fieldPosition="0">
        <references count="2">
          <reference field="5" count="1">
            <x v="20"/>
          </reference>
          <reference field="9" count="1" selected="0">
            <x v="16"/>
          </reference>
        </references>
      </pivotArea>
    </format>
    <format dxfId="163">
      <pivotArea dataOnly="0" labelOnly="1" outline="0" fieldPosition="0">
        <references count="2">
          <reference field="5" count="1">
            <x v="21"/>
          </reference>
          <reference field="9" count="1" selected="0">
            <x v="16"/>
          </reference>
        </references>
      </pivotArea>
    </format>
    <format dxfId="162">
      <pivotArea dataOnly="0" labelOnly="1" outline="0" fieldPosition="0">
        <references count="2">
          <reference field="5" count="1">
            <x v="20"/>
          </reference>
          <reference field="9" count="1" selected="0">
            <x v="17"/>
          </reference>
        </references>
      </pivotArea>
    </format>
    <format dxfId="161">
      <pivotArea dataOnly="0" labelOnly="1" outline="0" fieldPosition="0">
        <references count="2">
          <reference field="5" count="1">
            <x v="21"/>
          </reference>
          <reference field="9" count="1" selected="0">
            <x v="17"/>
          </reference>
        </references>
      </pivotArea>
    </format>
    <format dxfId="160">
      <pivotArea dataOnly="0" labelOnly="1" outline="0" fieldPosition="0">
        <references count="2">
          <reference field="5" count="1">
            <x v="20"/>
          </reference>
          <reference field="9" count="1" selected="0">
            <x v="18"/>
          </reference>
        </references>
      </pivotArea>
    </format>
    <format dxfId="159">
      <pivotArea dataOnly="0" labelOnly="1" outline="0" fieldPosition="0">
        <references count="2">
          <reference field="5" count="1">
            <x v="21"/>
          </reference>
          <reference field="9" count="1" selected="0">
            <x v="18"/>
          </reference>
        </references>
      </pivotArea>
    </format>
    <format dxfId="158">
      <pivotArea dataOnly="0" labelOnly="1" outline="0" fieldPosition="0">
        <references count="2">
          <reference field="5" count="1">
            <x v="16"/>
          </reference>
          <reference field="9" count="1" selected="0">
            <x v="19"/>
          </reference>
        </references>
      </pivotArea>
    </format>
    <format dxfId="157">
      <pivotArea dataOnly="0" labelOnly="1" outline="0" fieldPosition="0">
        <references count="2">
          <reference field="5" count="1">
            <x v="21"/>
          </reference>
          <reference field="9" count="1" selected="0">
            <x v="19"/>
          </reference>
        </references>
      </pivotArea>
    </format>
    <format dxfId="156">
      <pivotArea dataOnly="0" labelOnly="1" outline="0" fieldPosition="0">
        <references count="2">
          <reference field="5" count="1">
            <x v="22"/>
          </reference>
          <reference field="9" count="1" selected="0">
            <x v="19"/>
          </reference>
        </references>
      </pivotArea>
    </format>
    <format dxfId="155">
      <pivotArea dataOnly="0" labelOnly="1" outline="0" fieldPosition="0">
        <references count="2">
          <reference field="5" count="1">
            <x v="21"/>
          </reference>
          <reference field="9" count="1" selected="0">
            <x v="20"/>
          </reference>
        </references>
      </pivotArea>
    </format>
    <format dxfId="15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3">
      <pivotArea field="9" type="button" dataOnly="0" labelOnly="1" outline="0" axis="axisRow" fieldPosition="0"/>
    </format>
    <format dxfId="152">
      <pivotArea field="5" type="button" dataOnly="0" labelOnly="1" outline="0" axis="axisRow" fieldPosition="1"/>
    </format>
    <format dxfId="151">
      <pivotArea field="9" type="button" dataOnly="0" labelOnly="1" outline="0" axis="axisRow" fieldPosition="0"/>
    </format>
    <format dxfId="150">
      <pivotArea field="5" type="button" dataOnly="0" labelOnly="1" outline="0" axis="axisRow" fieldPosition="1"/>
    </format>
    <format dxfId="149">
      <pivotArea outline="0" collapsedLevelsAreSubtotals="1" fieldPosition="0"/>
    </format>
    <format dxfId="148">
      <pivotArea field="4" type="button" dataOnly="0" labelOnly="1" outline="0" axis="axisRow" fieldPosition="2"/>
    </format>
    <format dxfId="147">
      <pivotArea dataOnly="0" labelOnly="1" outline="0" fieldPosition="0">
        <references count="2">
          <reference field="5" count="1">
            <x v="3"/>
          </reference>
          <reference field="9" count="1" selected="0">
            <x v="2"/>
          </reference>
        </references>
      </pivotArea>
    </format>
    <format dxfId="146">
      <pivotArea dataOnly="0" labelOnly="1" outline="0" fieldPosition="0">
        <references count="2">
          <reference field="5" count="1">
            <x v="5"/>
          </reference>
          <reference field="9" count="1" selected="0">
            <x v="2"/>
          </reference>
        </references>
      </pivotArea>
    </format>
    <format dxfId="145">
      <pivotArea dataOnly="0" labelOnly="1" outline="0" fieldPosition="0">
        <references count="2">
          <reference field="5" count="1">
            <x v="7"/>
          </reference>
          <reference field="9" count="1" selected="0">
            <x v="2"/>
          </reference>
        </references>
      </pivotArea>
    </format>
    <format dxfId="144">
      <pivotArea dataOnly="0" labelOnly="1" outline="0" fieldPosition="0">
        <references count="2">
          <reference field="5" count="1">
            <x v="9"/>
          </reference>
          <reference field="9" count="1" selected="0">
            <x v="2"/>
          </reference>
        </references>
      </pivotArea>
    </format>
    <format dxfId="143">
      <pivotArea dataOnly="0" labelOnly="1" outline="0" fieldPosition="0">
        <references count="2">
          <reference field="5" count="1">
            <x v="23"/>
          </reference>
          <reference field="9" count="1" selected="0">
            <x v="2"/>
          </reference>
        </references>
      </pivotArea>
    </format>
    <format dxfId="142">
      <pivotArea dataOnly="0" labelOnly="1" outline="0" fieldPosition="0">
        <references count="2">
          <reference field="5" count="1">
            <x v="4"/>
          </reference>
          <reference field="9" count="1" selected="0">
            <x v="3"/>
          </reference>
        </references>
      </pivotArea>
    </format>
    <format dxfId="141">
      <pivotArea dataOnly="0" labelOnly="1" outline="0" fieldPosition="0">
        <references count="2">
          <reference field="5" count="1">
            <x v="5"/>
          </reference>
          <reference field="9" count="1" selected="0">
            <x v="3"/>
          </reference>
        </references>
      </pivotArea>
    </format>
    <format dxfId="140">
      <pivotArea dataOnly="0" labelOnly="1" outline="0" fieldPosition="0">
        <references count="2">
          <reference field="5" count="1">
            <x v="7"/>
          </reference>
          <reference field="9" count="1" selected="0">
            <x v="3"/>
          </reference>
        </references>
      </pivotArea>
    </format>
    <format dxfId="139">
      <pivotArea dataOnly="0" labelOnly="1" outline="0" fieldPosition="0">
        <references count="2">
          <reference field="5" count="1">
            <x v="9"/>
          </reference>
          <reference field="9" count="1" selected="0">
            <x v="3"/>
          </reference>
        </references>
      </pivotArea>
    </format>
    <format dxfId="138">
      <pivotArea dataOnly="0" labelOnly="1" outline="0" fieldPosition="0">
        <references count="2">
          <reference field="5" count="1">
            <x v="12"/>
          </reference>
          <reference field="9" count="1" selected="0">
            <x v="4"/>
          </reference>
        </references>
      </pivotArea>
    </format>
    <format dxfId="137">
      <pivotArea dataOnly="0" labelOnly="1" outline="0" fieldPosition="0">
        <references count="2">
          <reference field="5" count="1">
            <x v="13"/>
          </reference>
          <reference field="9" count="1" selected="0">
            <x v="4"/>
          </reference>
        </references>
      </pivotArea>
    </format>
    <format dxfId="136">
      <pivotArea dataOnly="0" labelOnly="1" outline="0" fieldPosition="0">
        <references count="2">
          <reference field="5" count="1">
            <x v="14"/>
          </reference>
          <reference field="9" count="1" selected="0">
            <x v="7"/>
          </reference>
        </references>
      </pivotArea>
    </format>
    <format dxfId="135">
      <pivotArea dataOnly="0" labelOnly="1" outline="0" fieldPosition="0">
        <references count="2">
          <reference field="5" count="1">
            <x v="15"/>
          </reference>
          <reference field="9" count="1" selected="0">
            <x v="7"/>
          </reference>
        </references>
      </pivotArea>
    </format>
    <format dxfId="134">
      <pivotArea dataOnly="0" labelOnly="1" outline="0" fieldPosition="0">
        <references count="2">
          <reference field="5" count="1">
            <x v="16"/>
          </reference>
          <reference field="9" count="1" selected="0">
            <x v="7"/>
          </reference>
        </references>
      </pivotArea>
    </format>
    <format dxfId="133">
      <pivotArea dataOnly="0" labelOnly="1" outline="0" fieldPosition="0">
        <references count="2">
          <reference field="5" count="1">
            <x v="0"/>
          </reference>
          <reference field="9" count="1" selected="0">
            <x v="8"/>
          </reference>
        </references>
      </pivotArea>
    </format>
    <format dxfId="132">
      <pivotArea dataOnly="0" labelOnly="1" outline="0" fieldPosition="0">
        <references count="2">
          <reference field="5" count="1">
            <x v="1"/>
          </reference>
          <reference field="9" count="1" selected="0">
            <x v="8"/>
          </reference>
        </references>
      </pivotArea>
    </format>
    <format dxfId="131">
      <pivotArea dataOnly="0" labelOnly="1" outline="0" fieldPosition="0">
        <references count="2">
          <reference field="5" count="1">
            <x v="23"/>
          </reference>
          <reference field="9" count="1" selected="0">
            <x v="8"/>
          </reference>
        </references>
      </pivotArea>
    </format>
    <format dxfId="130">
      <pivotArea dataOnly="0" labelOnly="1" outline="0" fieldPosition="0">
        <references count="2">
          <reference field="5" count="1">
            <x v="25"/>
          </reference>
          <reference field="9" count="1" selected="0">
            <x v="8"/>
          </reference>
        </references>
      </pivotArea>
    </format>
    <format dxfId="129">
      <pivotArea dataOnly="0" labelOnly="1" outline="0" fieldPosition="0">
        <references count="2">
          <reference field="5" count="1">
            <x v="14"/>
          </reference>
          <reference field="9" count="1" selected="0">
            <x v="9"/>
          </reference>
        </references>
      </pivotArea>
    </format>
    <format dxfId="128">
      <pivotArea dataOnly="0" labelOnly="1" outline="0" fieldPosition="0">
        <references count="2">
          <reference field="5" count="1">
            <x v="14"/>
          </reference>
          <reference field="9" count="1" selected="0">
            <x v="10"/>
          </reference>
        </references>
      </pivotArea>
    </format>
    <format dxfId="127">
      <pivotArea dataOnly="0" labelOnly="1" outline="0" fieldPosition="0">
        <references count="2">
          <reference field="5" count="1">
            <x v="14"/>
          </reference>
          <reference field="9" count="1" selected="0">
            <x v="11"/>
          </reference>
        </references>
      </pivotArea>
    </format>
    <format dxfId="126">
      <pivotArea dataOnly="0" labelOnly="1" outline="0" fieldPosition="0">
        <references count="2">
          <reference field="5" count="1">
            <x v="18"/>
          </reference>
          <reference field="9" count="1" selected="0">
            <x v="12"/>
          </reference>
        </references>
      </pivotArea>
    </format>
    <format dxfId="125">
      <pivotArea dataOnly="0" labelOnly="1" outline="0" fieldPosition="0">
        <references count="2">
          <reference field="5" count="1">
            <x v="20"/>
          </reference>
          <reference field="9" count="1" selected="0">
            <x v="13"/>
          </reference>
        </references>
      </pivotArea>
    </format>
    <format dxfId="124">
      <pivotArea dataOnly="0" labelOnly="1" outline="0" fieldPosition="0">
        <references count="2">
          <reference field="5" count="1">
            <x v="21"/>
          </reference>
          <reference field="9" count="1" selected="0">
            <x v="13"/>
          </reference>
        </references>
      </pivotArea>
    </format>
    <format dxfId="123">
      <pivotArea dataOnly="0" labelOnly="1" outline="0" fieldPosition="0">
        <references count="2">
          <reference field="5" count="1">
            <x v="20"/>
          </reference>
          <reference field="9" count="1" selected="0">
            <x v="14"/>
          </reference>
        </references>
      </pivotArea>
    </format>
    <format dxfId="122">
      <pivotArea dataOnly="0" labelOnly="1" outline="0" fieldPosition="0">
        <references count="2">
          <reference field="5" count="1">
            <x v="21"/>
          </reference>
          <reference field="9" count="1" selected="0">
            <x v="14"/>
          </reference>
        </references>
      </pivotArea>
    </format>
    <format dxfId="121">
      <pivotArea dataOnly="0" labelOnly="1" outline="0" fieldPosition="0">
        <references count="2">
          <reference field="5" count="1">
            <x v="20"/>
          </reference>
          <reference field="9" count="1" selected="0">
            <x v="15"/>
          </reference>
        </references>
      </pivotArea>
    </format>
    <format dxfId="120">
      <pivotArea dataOnly="0" labelOnly="1" outline="0" fieldPosition="0">
        <references count="2">
          <reference field="5" count="1">
            <x v="21"/>
          </reference>
          <reference field="9" count="1" selected="0">
            <x v="15"/>
          </reference>
        </references>
      </pivotArea>
    </format>
    <format dxfId="119">
      <pivotArea dataOnly="0" labelOnly="1" outline="0" fieldPosition="0">
        <references count="2">
          <reference field="5" count="1">
            <x v="20"/>
          </reference>
          <reference field="9" count="1" selected="0">
            <x v="16"/>
          </reference>
        </references>
      </pivotArea>
    </format>
    <format dxfId="118">
      <pivotArea dataOnly="0" labelOnly="1" outline="0" fieldPosition="0">
        <references count="2">
          <reference field="5" count="1">
            <x v="21"/>
          </reference>
          <reference field="9" count="1" selected="0">
            <x v="16"/>
          </reference>
        </references>
      </pivotArea>
    </format>
    <format dxfId="117">
      <pivotArea dataOnly="0" labelOnly="1" outline="0" fieldPosition="0">
        <references count="2">
          <reference field="5" count="1">
            <x v="20"/>
          </reference>
          <reference field="9" count="1" selected="0">
            <x v="17"/>
          </reference>
        </references>
      </pivotArea>
    </format>
    <format dxfId="116">
      <pivotArea dataOnly="0" labelOnly="1" outline="0" fieldPosition="0">
        <references count="2">
          <reference field="5" count="1">
            <x v="21"/>
          </reference>
          <reference field="9" count="1" selected="0">
            <x v="17"/>
          </reference>
        </references>
      </pivotArea>
    </format>
    <format dxfId="115">
      <pivotArea dataOnly="0" labelOnly="1" outline="0" fieldPosition="0">
        <references count="2">
          <reference field="5" count="1">
            <x v="20"/>
          </reference>
          <reference field="9" count="1" selected="0">
            <x v="18"/>
          </reference>
        </references>
      </pivotArea>
    </format>
    <format dxfId="114">
      <pivotArea dataOnly="0" labelOnly="1" outline="0" fieldPosition="0">
        <references count="2">
          <reference field="5" count="1">
            <x v="21"/>
          </reference>
          <reference field="9" count="1" selected="0">
            <x v="18"/>
          </reference>
        </references>
      </pivotArea>
    </format>
    <format dxfId="113">
      <pivotArea dataOnly="0" labelOnly="1" outline="0" fieldPosition="0">
        <references count="2">
          <reference field="5" count="1">
            <x v="16"/>
          </reference>
          <reference field="9" count="1" selected="0">
            <x v="19"/>
          </reference>
        </references>
      </pivotArea>
    </format>
    <format dxfId="112">
      <pivotArea dataOnly="0" labelOnly="1" outline="0" fieldPosition="0">
        <references count="2">
          <reference field="5" count="1">
            <x v="21"/>
          </reference>
          <reference field="9" count="1" selected="0">
            <x v="19"/>
          </reference>
        </references>
      </pivotArea>
    </format>
    <format dxfId="111">
      <pivotArea dataOnly="0" labelOnly="1" outline="0" fieldPosition="0">
        <references count="2">
          <reference field="5" count="1">
            <x v="22"/>
          </reference>
          <reference field="9" count="1" selected="0">
            <x v="19"/>
          </reference>
        </references>
      </pivotArea>
    </format>
    <format dxfId="110">
      <pivotArea dataOnly="0" labelOnly="1" outline="0" fieldPosition="0">
        <references count="2">
          <reference field="5" count="1">
            <x v="21"/>
          </reference>
          <reference field="9" count="1" selected="0">
            <x v="20"/>
          </reference>
        </references>
      </pivotArea>
    </format>
    <format dxfId="10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8">
      <pivotArea outline="0" collapsedLevelsAreSubtotals="1" fieldPosition="0"/>
    </format>
    <format dxfId="107">
      <pivotArea field="4" type="button" dataOnly="0" labelOnly="1" outline="0" axis="axisRow" fieldPosition="2"/>
    </format>
    <format dxfId="106">
      <pivotArea dataOnly="0" labelOnly="1" outline="0" fieldPosition="0">
        <references count="2">
          <reference field="5" count="1">
            <x v="3"/>
          </reference>
          <reference field="9" count="1" selected="0">
            <x v="2"/>
          </reference>
        </references>
      </pivotArea>
    </format>
    <format dxfId="105">
      <pivotArea dataOnly="0" labelOnly="1" outline="0" fieldPosition="0">
        <references count="2">
          <reference field="5" count="1">
            <x v="5"/>
          </reference>
          <reference field="9" count="1" selected="0">
            <x v="2"/>
          </reference>
        </references>
      </pivotArea>
    </format>
    <format dxfId="104">
      <pivotArea dataOnly="0" labelOnly="1" outline="0" fieldPosition="0">
        <references count="2">
          <reference field="5" count="1">
            <x v="7"/>
          </reference>
          <reference field="9" count="1" selected="0">
            <x v="2"/>
          </reference>
        </references>
      </pivotArea>
    </format>
    <format dxfId="103">
      <pivotArea dataOnly="0" labelOnly="1" outline="0" fieldPosition="0">
        <references count="2">
          <reference field="5" count="1">
            <x v="9"/>
          </reference>
          <reference field="9" count="1" selected="0">
            <x v="2"/>
          </reference>
        </references>
      </pivotArea>
    </format>
    <format dxfId="102">
      <pivotArea dataOnly="0" labelOnly="1" outline="0" fieldPosition="0">
        <references count="2">
          <reference field="5" count="1">
            <x v="23"/>
          </reference>
          <reference field="9" count="1" selected="0">
            <x v="2"/>
          </reference>
        </references>
      </pivotArea>
    </format>
    <format dxfId="101">
      <pivotArea dataOnly="0" labelOnly="1" outline="0" fieldPosition="0">
        <references count="2">
          <reference field="5" count="1">
            <x v="4"/>
          </reference>
          <reference field="9" count="1" selected="0">
            <x v="3"/>
          </reference>
        </references>
      </pivotArea>
    </format>
    <format dxfId="100">
      <pivotArea dataOnly="0" labelOnly="1" outline="0" fieldPosition="0">
        <references count="2">
          <reference field="5" count="1">
            <x v="5"/>
          </reference>
          <reference field="9" count="1" selected="0">
            <x v="3"/>
          </reference>
        </references>
      </pivotArea>
    </format>
    <format dxfId="99">
      <pivotArea dataOnly="0" labelOnly="1" outline="0" fieldPosition="0">
        <references count="2">
          <reference field="5" count="1">
            <x v="7"/>
          </reference>
          <reference field="9" count="1" selected="0">
            <x v="3"/>
          </reference>
        </references>
      </pivotArea>
    </format>
    <format dxfId="98">
      <pivotArea dataOnly="0" labelOnly="1" outline="0" fieldPosition="0">
        <references count="2">
          <reference field="5" count="1">
            <x v="9"/>
          </reference>
          <reference field="9" count="1" selected="0">
            <x v="3"/>
          </reference>
        </references>
      </pivotArea>
    </format>
    <format dxfId="97">
      <pivotArea dataOnly="0" labelOnly="1" outline="0" fieldPosition="0">
        <references count="2">
          <reference field="5" count="1">
            <x v="12"/>
          </reference>
          <reference field="9" count="1" selected="0">
            <x v="4"/>
          </reference>
        </references>
      </pivotArea>
    </format>
    <format dxfId="96">
      <pivotArea dataOnly="0" labelOnly="1" outline="0" fieldPosition="0">
        <references count="2">
          <reference field="5" count="1">
            <x v="13"/>
          </reference>
          <reference field="9" count="1" selected="0">
            <x v="4"/>
          </reference>
        </references>
      </pivotArea>
    </format>
    <format dxfId="95">
      <pivotArea dataOnly="0" labelOnly="1" outline="0" fieldPosition="0">
        <references count="2">
          <reference field="5" count="1">
            <x v="14"/>
          </reference>
          <reference field="9" count="1" selected="0">
            <x v="7"/>
          </reference>
        </references>
      </pivotArea>
    </format>
    <format dxfId="94">
      <pivotArea dataOnly="0" labelOnly="1" outline="0" fieldPosition="0">
        <references count="2">
          <reference field="5" count="1">
            <x v="15"/>
          </reference>
          <reference field="9" count="1" selected="0">
            <x v="7"/>
          </reference>
        </references>
      </pivotArea>
    </format>
    <format dxfId="93">
      <pivotArea dataOnly="0" labelOnly="1" outline="0" fieldPosition="0">
        <references count="2">
          <reference field="5" count="1">
            <x v="16"/>
          </reference>
          <reference field="9" count="1" selected="0">
            <x v="7"/>
          </reference>
        </references>
      </pivotArea>
    </format>
    <format dxfId="92">
      <pivotArea dataOnly="0" labelOnly="1" outline="0" fieldPosition="0">
        <references count="2">
          <reference field="5" count="1">
            <x v="0"/>
          </reference>
          <reference field="9" count="1" selected="0">
            <x v="8"/>
          </reference>
        </references>
      </pivotArea>
    </format>
    <format dxfId="91">
      <pivotArea dataOnly="0" labelOnly="1" outline="0" fieldPosition="0">
        <references count="2">
          <reference field="5" count="1">
            <x v="1"/>
          </reference>
          <reference field="9" count="1" selected="0">
            <x v="8"/>
          </reference>
        </references>
      </pivotArea>
    </format>
    <format dxfId="90">
      <pivotArea dataOnly="0" labelOnly="1" outline="0" fieldPosition="0">
        <references count="2">
          <reference field="5" count="1">
            <x v="23"/>
          </reference>
          <reference field="9" count="1" selected="0">
            <x v="8"/>
          </reference>
        </references>
      </pivotArea>
    </format>
    <format dxfId="89">
      <pivotArea dataOnly="0" labelOnly="1" outline="0" fieldPosition="0">
        <references count="2">
          <reference field="5" count="1">
            <x v="25"/>
          </reference>
          <reference field="9" count="1" selected="0">
            <x v="8"/>
          </reference>
        </references>
      </pivotArea>
    </format>
    <format dxfId="88">
      <pivotArea dataOnly="0" labelOnly="1" outline="0" fieldPosition="0">
        <references count="2">
          <reference field="5" count="1">
            <x v="14"/>
          </reference>
          <reference field="9" count="1" selected="0">
            <x v="9"/>
          </reference>
        </references>
      </pivotArea>
    </format>
    <format dxfId="87">
      <pivotArea dataOnly="0" labelOnly="1" outline="0" fieldPosition="0">
        <references count="2">
          <reference field="5" count="1">
            <x v="14"/>
          </reference>
          <reference field="9" count="1" selected="0">
            <x v="10"/>
          </reference>
        </references>
      </pivotArea>
    </format>
    <format dxfId="86">
      <pivotArea dataOnly="0" labelOnly="1" outline="0" fieldPosition="0">
        <references count="2">
          <reference field="5" count="1">
            <x v="14"/>
          </reference>
          <reference field="9" count="1" selected="0">
            <x v="11"/>
          </reference>
        </references>
      </pivotArea>
    </format>
    <format dxfId="85">
      <pivotArea dataOnly="0" labelOnly="1" outline="0" fieldPosition="0">
        <references count="2">
          <reference field="5" count="1">
            <x v="18"/>
          </reference>
          <reference field="9" count="1" selected="0">
            <x v="12"/>
          </reference>
        </references>
      </pivotArea>
    </format>
    <format dxfId="84">
      <pivotArea dataOnly="0" labelOnly="1" outline="0" fieldPosition="0">
        <references count="2">
          <reference field="5" count="1">
            <x v="20"/>
          </reference>
          <reference field="9" count="1" selected="0">
            <x v="13"/>
          </reference>
        </references>
      </pivotArea>
    </format>
    <format dxfId="83">
      <pivotArea dataOnly="0" labelOnly="1" outline="0" fieldPosition="0">
        <references count="2">
          <reference field="5" count="1">
            <x v="21"/>
          </reference>
          <reference field="9" count="1" selected="0">
            <x v="13"/>
          </reference>
        </references>
      </pivotArea>
    </format>
    <format dxfId="82">
      <pivotArea dataOnly="0" labelOnly="1" outline="0" fieldPosition="0">
        <references count="2">
          <reference field="5" count="1">
            <x v="20"/>
          </reference>
          <reference field="9" count="1" selected="0">
            <x v="14"/>
          </reference>
        </references>
      </pivotArea>
    </format>
    <format dxfId="81">
      <pivotArea dataOnly="0" labelOnly="1" outline="0" fieldPosition="0">
        <references count="2">
          <reference field="5" count="1">
            <x v="21"/>
          </reference>
          <reference field="9" count="1" selected="0">
            <x v="14"/>
          </reference>
        </references>
      </pivotArea>
    </format>
    <format dxfId="80">
      <pivotArea dataOnly="0" labelOnly="1" outline="0" fieldPosition="0">
        <references count="2">
          <reference field="5" count="1">
            <x v="20"/>
          </reference>
          <reference field="9" count="1" selected="0">
            <x v="15"/>
          </reference>
        </references>
      </pivotArea>
    </format>
    <format dxfId="79">
      <pivotArea dataOnly="0" labelOnly="1" outline="0" fieldPosition="0">
        <references count="2">
          <reference field="5" count="1">
            <x v="21"/>
          </reference>
          <reference field="9" count="1" selected="0">
            <x v="15"/>
          </reference>
        </references>
      </pivotArea>
    </format>
    <format dxfId="78">
      <pivotArea dataOnly="0" labelOnly="1" outline="0" fieldPosition="0">
        <references count="2">
          <reference field="5" count="1">
            <x v="20"/>
          </reference>
          <reference field="9" count="1" selected="0">
            <x v="16"/>
          </reference>
        </references>
      </pivotArea>
    </format>
    <format dxfId="77">
      <pivotArea dataOnly="0" labelOnly="1" outline="0" fieldPosition="0">
        <references count="2">
          <reference field="5" count="1">
            <x v="21"/>
          </reference>
          <reference field="9" count="1" selected="0">
            <x v="16"/>
          </reference>
        </references>
      </pivotArea>
    </format>
    <format dxfId="76">
      <pivotArea dataOnly="0" labelOnly="1" outline="0" fieldPosition="0">
        <references count="2">
          <reference field="5" count="1">
            <x v="20"/>
          </reference>
          <reference field="9" count="1" selected="0">
            <x v="17"/>
          </reference>
        </references>
      </pivotArea>
    </format>
    <format dxfId="75">
      <pivotArea dataOnly="0" labelOnly="1" outline="0" fieldPosition="0">
        <references count="2">
          <reference field="5" count="1">
            <x v="21"/>
          </reference>
          <reference field="9" count="1" selected="0">
            <x v="17"/>
          </reference>
        </references>
      </pivotArea>
    </format>
    <format dxfId="74">
      <pivotArea dataOnly="0" labelOnly="1" outline="0" fieldPosition="0">
        <references count="2">
          <reference field="5" count="1">
            <x v="20"/>
          </reference>
          <reference field="9" count="1" selected="0">
            <x v="18"/>
          </reference>
        </references>
      </pivotArea>
    </format>
    <format dxfId="73">
      <pivotArea dataOnly="0" labelOnly="1" outline="0" fieldPosition="0">
        <references count="2">
          <reference field="5" count="1">
            <x v="21"/>
          </reference>
          <reference field="9" count="1" selected="0">
            <x v="18"/>
          </reference>
        </references>
      </pivotArea>
    </format>
    <format dxfId="72">
      <pivotArea dataOnly="0" labelOnly="1" outline="0" fieldPosition="0">
        <references count="2">
          <reference field="5" count="1">
            <x v="16"/>
          </reference>
          <reference field="9" count="1" selected="0">
            <x v="19"/>
          </reference>
        </references>
      </pivotArea>
    </format>
    <format dxfId="71">
      <pivotArea dataOnly="0" labelOnly="1" outline="0" fieldPosition="0">
        <references count="2">
          <reference field="5" count="1">
            <x v="21"/>
          </reference>
          <reference field="9" count="1" selected="0">
            <x v="19"/>
          </reference>
        </references>
      </pivotArea>
    </format>
    <format dxfId="70">
      <pivotArea dataOnly="0" labelOnly="1" outline="0" fieldPosition="0">
        <references count="2">
          <reference field="5" count="1">
            <x v="22"/>
          </reference>
          <reference field="9" count="1" selected="0">
            <x v="19"/>
          </reference>
        </references>
      </pivotArea>
    </format>
    <format dxfId="69">
      <pivotArea dataOnly="0" labelOnly="1" outline="0" fieldPosition="0">
        <references count="2">
          <reference field="5" count="1">
            <x v="21"/>
          </reference>
          <reference field="9" count="1" selected="0">
            <x v="20"/>
          </reference>
        </references>
      </pivotArea>
    </format>
    <format dxfId="6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2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4" indent="0" compact="0" compactData="0" multipleFieldFilters="0">
  <location ref="A4:G30" firstHeaderRow="0" firstDataRow="1" firstDataCol="4" rowPageCount="2" colPageCount="1"/>
  <pivotFields count="25">
    <pivotField axis="axisPage" compact="0" outline="0" multipleItemSelectionAllowed="1" showAll="0" defaultSubtotal="0">
      <items count="4">
        <item x="0"/>
        <item h="1" m="1" x="1"/>
        <item h="1" m="1" x="2"/>
        <item h="1"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numFmtId="14" outline="0" multipleItemSelectionAllowed="1" showAll="0" defaultSubtotal="0">
      <items count="72">
        <item h="1" m="1" x="25"/>
        <item h="1" m="1" x="54"/>
        <item h="1" m="1" x="14"/>
        <item h="1" m="1" x="42"/>
        <item h="1" m="1" x="3"/>
        <item h="1" m="1" x="32"/>
        <item h="1" m="1" x="63"/>
        <item h="1" m="1" x="22"/>
        <item h="1" m="1" x="51"/>
        <item h="1" m="1" x="11"/>
        <item h="1" m="1" x="39"/>
        <item h="1" m="1" x="57"/>
        <item h="1" m="1" x="17"/>
        <item h="1" m="1" x="45"/>
        <item h="1" m="1" x="6"/>
        <item h="1" m="1" x="34"/>
        <item h="1" m="1" x="65"/>
        <item h="1" m="1" x="24"/>
        <item h="1" m="1" x="53"/>
        <item h="1" m="1" x="13"/>
        <item h="1" m="1" x="41"/>
        <item h="1" m="1" x="71"/>
        <item h="1" m="1" x="31"/>
        <item h="1" m="1" x="62"/>
        <item h="1" m="1" x="21"/>
        <item h="1" m="1" x="50"/>
        <item h="1" m="1" x="10"/>
        <item h="1" m="1" x="38"/>
        <item h="1" m="1" x="69"/>
        <item h="1" m="1" x="29"/>
        <item h="1" m="1" x="60"/>
        <item h="1" m="1" x="19"/>
        <item h="1" m="1" x="47"/>
        <item h="1" m="1" x="8"/>
        <item h="1" m="1" x="36"/>
        <item h="1" m="1" x="67"/>
        <item h="1" m="1" x="27"/>
        <item h="1" m="1" x="56"/>
        <item h="1" m="1" x="16"/>
        <item h="1" m="1" x="44"/>
        <item h="1" m="1" x="5"/>
        <item h="1" m="1" x="49"/>
        <item h="1" m="1" x="9"/>
        <item h="1" m="1" x="37"/>
        <item h="1" m="1" x="68"/>
        <item h="1" m="1" x="28"/>
        <item h="1" m="1" x="59"/>
        <item h="1" m="1" x="18"/>
        <item h="1" m="1" x="46"/>
        <item h="1" m="1" x="7"/>
        <item h="1" m="1" x="35"/>
        <item h="1" m="1" x="66"/>
        <item h="1" m="1" x="26"/>
        <item h="1" m="1" x="55"/>
        <item h="1" m="1" x="15"/>
        <item h="1" m="1" x="43"/>
        <item h="1" m="1" x="4"/>
        <item h="1" m="1" x="33"/>
        <item h="1" m="1" x="64"/>
        <item h="1" m="1" x="23"/>
        <item h="1" m="1" x="52"/>
        <item h="1" m="1" x="12"/>
        <item h="1" m="1" x="40"/>
        <item h="1" m="1" x="70"/>
        <item h="1" m="1" x="30"/>
        <item h="1" m="1" x="61"/>
        <item h="1" m="1" x="20"/>
        <item h="1" m="1" x="48"/>
        <item h="1" m="1" x="58"/>
        <item h="1" x="0"/>
        <item h="1"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0">
        <item m="1" x="49"/>
        <item x="3"/>
        <item m="1" x="43"/>
        <item m="1" x="19"/>
        <item m="1" x="41"/>
        <item m="1" x="12"/>
        <item m="1" x="33"/>
        <item m="1" x="36"/>
        <item m="1" x="8"/>
        <item m="1" x="28"/>
        <item m="1" x="35"/>
        <item m="1" x="31"/>
        <item m="1" x="24"/>
        <item m="1" x="15"/>
        <item m="1" x="16"/>
        <item m="1" x="26"/>
        <item m="1" x="42"/>
        <item m="1" x="39"/>
        <item m="1" x="25"/>
        <item m="1" x="9"/>
        <item m="1" x="20"/>
        <item m="1" x="13"/>
        <item m="1" x="44"/>
        <item m="1" x="21"/>
        <item m="1" x="14"/>
        <item m="1" x="32"/>
        <item m="1" x="37"/>
        <item m="1" x="29"/>
        <item m="1" x="30"/>
        <item m="1" x="27"/>
        <item m="1" x="23"/>
        <item m="1" x="40"/>
        <item m="1" x="46"/>
        <item m="1" x="47"/>
        <item m="1" x="11"/>
        <item m="1" x="17"/>
        <item m="1" x="18"/>
        <item m="1" x="48"/>
        <item m="1" x="34"/>
        <item m="1" x="45"/>
        <item m="1" x="22"/>
        <item m="1" x="38"/>
        <item m="1" x="10"/>
        <item x="0"/>
        <item x="1"/>
        <item x="2"/>
        <item x="5"/>
        <item x="4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1">
        <item x="5"/>
        <item x="4"/>
        <item x="11"/>
        <item x="6"/>
        <item x="7"/>
        <item m="1" x="38"/>
        <item x="9"/>
        <item x="10"/>
        <item x="8"/>
        <item x="18"/>
        <item x="17"/>
        <item m="1" x="40"/>
        <item x="3"/>
        <item x="16"/>
        <item x="21"/>
        <item x="0"/>
        <item x="23"/>
        <item x="22"/>
        <item x="12"/>
        <item x="15"/>
        <item x="19"/>
        <item x="13"/>
        <item x="14"/>
        <item x="20"/>
        <item x="2"/>
        <item m="1" x="37"/>
        <item x="1"/>
        <item x="24"/>
        <item m="1" x="36"/>
        <item m="1" x="39"/>
        <item x="27"/>
        <item x="28"/>
        <item x="25"/>
        <item x="26"/>
        <item x="29"/>
        <item x="30"/>
        <item x="31"/>
        <item x="32"/>
        <item x="33"/>
        <item x="34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4">
        <item sd="0" m="1" x="41"/>
        <item sd="0" x="0"/>
        <item sd="0" x="3"/>
        <item sd="0" x="4"/>
        <item sd="0" x="5"/>
        <item sd="0" x="6"/>
        <item m="1" x="42"/>
        <item sd="0" x="12"/>
        <item x="40"/>
        <item sd="0" x="7"/>
        <item sd="0" x="8"/>
        <item sd="0" x="9"/>
        <item sd="0" x="10"/>
        <item sd="0" x="11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x="1"/>
        <item sd="0" x="24"/>
        <item sd="0" x="25"/>
        <item sd="0" x="26"/>
        <item sd="0" m="1" x="43"/>
        <item sd="0" x="28"/>
        <item sd="0" x="29"/>
        <item x="2"/>
        <item x="27"/>
        <item x="30"/>
        <item x="31"/>
        <item x="32"/>
        <item x="33"/>
        <item x="34"/>
        <item x="35"/>
        <item x="36"/>
        <item x="37"/>
        <item x="38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3">
        <item x="24"/>
        <item x="16"/>
        <item x="5"/>
        <item m="1" x="50"/>
        <item x="23"/>
        <item x="27"/>
        <item x="9"/>
        <item m="1" x="51"/>
        <item x="10"/>
        <item x="2"/>
        <item x="17"/>
        <item m="1" x="49"/>
        <item x="15"/>
        <item m="1" x="48"/>
        <item m="1" x="47"/>
        <item x="22"/>
        <item m="1" x="36"/>
        <item m="1" x="44"/>
        <item x="29"/>
        <item x="3"/>
        <item x="18"/>
        <item m="1" x="40"/>
        <item x="11"/>
        <item x="6"/>
        <item m="1" x="41"/>
        <item x="0"/>
        <item x="25"/>
        <item x="20"/>
        <item x="1"/>
        <item x="4"/>
        <item m="1" x="45"/>
        <item x="7"/>
        <item x="8"/>
        <item x="12"/>
        <item m="1" x="35"/>
        <item m="1" x="34"/>
        <item m="1" x="43"/>
        <item m="1" x="42"/>
        <item x="13"/>
        <item m="1" x="32"/>
        <item x="28"/>
        <item m="1" x="37"/>
        <item m="1" x="39"/>
        <item m="1" x="33"/>
        <item x="19"/>
        <item m="1" x="46"/>
        <item m="1" x="52"/>
        <item x="30"/>
        <item x="26"/>
        <item m="1" x="31"/>
        <item x="14"/>
        <item sd="0" x="21"/>
        <item m="1" x="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3"/>
    <field x="7"/>
    <field x="5"/>
    <field x="4"/>
  </rowFields>
  <rowItems count="26">
    <i>
      <x v="1"/>
      <x v="33"/>
      <x v="13"/>
    </i>
    <i>
      <x v="43"/>
      <x v="1"/>
      <x v="27"/>
    </i>
    <i r="1">
      <x v="9"/>
      <x v="27"/>
    </i>
    <i r="1">
      <x v="26"/>
      <x v="27"/>
    </i>
    <i r="1">
      <x v="29"/>
      <x v="27"/>
    </i>
    <i r="1">
      <x v="38"/>
      <x v="14"/>
    </i>
    <i r="1">
      <x v="48"/>
      <x v="30"/>
    </i>
    <i>
      <x v="44"/>
      <x v="9"/>
      <x v="25"/>
      <x v="26"/>
    </i>
    <i r="1">
      <x v="26"/>
      <x v="25"/>
      <x v="26"/>
    </i>
    <i r="1">
      <x v="27"/>
      <x v="35"/>
      <x v="35"/>
    </i>
    <i r="1">
      <x v="29"/>
      <x v="35"/>
      <x v="35"/>
    </i>
    <i r="1">
      <x v="47"/>
      <x v="37"/>
      <x v="36"/>
    </i>
    <i>
      <x v="46"/>
      <x v="2"/>
      <x v="42"/>
      <x v="39"/>
    </i>
    <i r="1">
      <x v="9"/>
      <x v="42"/>
      <x v="39"/>
    </i>
    <i r="1">
      <x v="19"/>
      <x v="41"/>
      <x v="19"/>
    </i>
    <i r="2">
      <x v="42"/>
      <x v="39"/>
    </i>
    <i r="1">
      <x v="26"/>
      <x v="42"/>
      <x v="39"/>
    </i>
    <i r="1">
      <x v="29"/>
      <x v="43"/>
      <x v="16"/>
    </i>
    <i>
      <x v="47"/>
      <x v="6"/>
      <x v="11"/>
    </i>
    <i r="1">
      <x v="8"/>
      <x v="11"/>
    </i>
    <i r="1">
      <x v="22"/>
      <x v="11"/>
    </i>
    <i r="1">
      <x v="23"/>
      <x v="10"/>
    </i>
    <i r="1">
      <x v="27"/>
      <x v="11"/>
    </i>
    <i r="1">
      <x v="32"/>
      <x v="11"/>
    </i>
    <i r="1">
      <x v="33"/>
      <x v="12"/>
    </i>
    <i>
      <x v="49"/>
      <x v="51"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1" hier="-1"/>
  </pageFields>
  <dataFields count="3">
    <dataField name=" Thời gian xe hư" fld="14" baseField="0" baseItem="0" numFmtId="172"/>
    <dataField name=" Thời gian làm việc" fld="17" baseField="0" baseItem="0" numFmtId="172"/>
    <dataField name=" Số lượng thực hiện" fld="18" baseField="0" baseItem="0"/>
  </dataFields>
  <formats count="33">
    <format dxfId="67">
      <pivotArea type="all" dataOnly="0" outline="0" fieldPosition="0"/>
    </format>
    <format dxfId="66">
      <pivotArea field="3" type="button" dataOnly="0" labelOnly="1" outline="0" axis="axisRow" fieldPosition="0"/>
    </format>
    <format dxfId="65">
      <pivotArea field="5" type="button" dataOnly="0" labelOnly="1" outline="0" axis="axisRow" fieldPosition="2"/>
    </format>
    <format dxfId="64">
      <pivotArea field="7" type="button" dataOnly="0" labelOnly="1" outline="0" axis="axisRow" fieldPosition="1"/>
    </format>
    <format dxfId="63">
      <pivotArea field="8" type="button" dataOnly="0" labelOnly="1" outline="0"/>
    </format>
    <format dxfId="6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1">
      <pivotArea field="3" type="button" dataOnly="0" labelOnly="1" outline="0" axis="axisRow" fieldPosition="0"/>
    </format>
    <format dxfId="60">
      <pivotArea field="5" type="button" dataOnly="0" labelOnly="1" outline="0" axis="axisRow" fieldPosition="2"/>
    </format>
    <format dxfId="59">
      <pivotArea field="7" type="button" dataOnly="0" labelOnly="1" outline="0" axis="axisRow" fieldPosition="1"/>
    </format>
    <format dxfId="58">
      <pivotArea field="8" type="button" dataOnly="0" labelOnly="1" outline="0"/>
    </format>
    <format dxfId="5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">
      <pivotArea field="3" type="button" dataOnly="0" labelOnly="1" outline="0" axis="axisRow" fieldPosition="0"/>
    </format>
    <format dxfId="53">
      <pivotArea field="5" type="button" dataOnly="0" labelOnly="1" outline="0" axis="axisRow" fieldPosition="2"/>
    </format>
    <format dxfId="52">
      <pivotArea field="7" type="button" dataOnly="0" labelOnly="1" outline="0" axis="axisRow" fieldPosition="1"/>
    </format>
    <format dxfId="51">
      <pivotArea field="8" type="button" dataOnly="0" labelOnly="1" outline="0"/>
    </format>
    <format dxfId="50">
      <pivotArea field="8" type="button" dataOnly="0" labelOnly="1" outline="0"/>
    </format>
    <format dxfId="49">
      <pivotArea field="3" type="button" dataOnly="0" labelOnly="1" outline="0" axis="axisRow" fieldPosition="0"/>
    </format>
    <format dxfId="48">
      <pivotArea field="7" type="button" dataOnly="0" labelOnly="1" outline="0" axis="axisRow" fieldPosition="1"/>
    </format>
    <format dxfId="47">
      <pivotArea field="8" type="button" dataOnly="0" labelOnly="1" outline="0"/>
    </format>
    <format dxfId="4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5">
      <pivotArea outline="0" collapsedLevelsAreSubtotals="1" fieldPosition="0"/>
    </format>
    <format dxfId="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3">
      <pivotArea field="4" type="button" dataOnly="0" labelOnly="1" outline="0" axis="axisRow" fieldPosition="3"/>
    </format>
    <format dxfId="42">
      <pivotArea outline="0" collapsedLevelsAreSubtotals="1" fieldPosition="0"/>
    </format>
    <format dxfId="41">
      <pivotArea field="5" type="button" dataOnly="0" labelOnly="1" outline="0" axis="axisRow" fieldPosition="2"/>
    </format>
    <format dxfId="40">
      <pivotArea field="4" type="button" dataOnly="0" labelOnly="1" outline="0" axis="axisRow" fieldPosition="3"/>
    </format>
    <format dxfId="39">
      <pivotArea field="3" type="button" dataOnly="0" labelOnly="1" outline="0" axis="axisRow" fieldPosition="0"/>
    </format>
    <format dxfId="38">
      <pivotArea field="7" type="button" dataOnly="0" labelOnly="1" outline="0" axis="axisRow" fieldPosition="1"/>
    </format>
    <format dxfId="37">
      <pivotArea field="5" type="button" dataOnly="0" labelOnly="1" outline="0" axis="axisRow" fieldPosition="2"/>
    </format>
    <format dxfId="36">
      <pivotArea field="4" type="button" dataOnly="0" labelOnly="1" outline="0" axis="axisRow" fieldPosition="3"/>
    </format>
    <format dxfId="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2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4:D59" firstHeaderRow="0" firstDataRow="1" firstDataCol="1" rowPageCount="2" colPageCount="1"/>
  <pivotFields count="10">
    <pivotField axis="axisPage" multipleItemSelectionAllowed="1" showAll="0" defaultSubtotal="0">
      <items count="1">
        <item x="0"/>
      </items>
    </pivotField>
    <pivotField axis="axisPage" numFmtId="173" multipleItemSelectionAllowed="1" showAll="0" defaultSubtotal="0">
      <items count="2">
        <item h="1" x="0"/>
        <item x="1"/>
      </items>
    </pivotField>
    <pivotField axis="axisRow" showAll="0" defaultSubtotal="0">
      <items count="8">
        <item x="7"/>
        <item x="0"/>
        <item x="4"/>
        <item x="1"/>
        <item x="2"/>
        <item x="3"/>
        <item x="6"/>
        <item x="5"/>
      </items>
    </pivotField>
    <pivotField showAll="0" defaultSubtotal="0"/>
    <pivotField axis="axisRow" showAll="0" defaultSubtotal="0">
      <items count="20">
        <item x="0"/>
        <item x="1"/>
        <item x="12"/>
        <item x="13"/>
        <item x="8"/>
        <item x="6"/>
        <item x="10"/>
        <item x="11"/>
        <item x="15"/>
        <item m="1" x="19"/>
        <item x="5"/>
        <item x="4"/>
        <item x="2"/>
        <item x="18"/>
        <item x="14"/>
        <item x="7"/>
        <item x="9"/>
        <item x="3"/>
        <item x="16"/>
        <item x="17"/>
      </items>
    </pivotField>
    <pivotField showAll="0" defaultSubtotal="0"/>
    <pivotField dataField="1" showAll="0" defaultSubtotal="0"/>
    <pivotField showAll="0" defaultSubtotal="0"/>
    <pivotField dataField="1" showAll="0" defaultSubtotal="0"/>
    <pivotField dataField="1" showAll="0" defaultSubtotal="0"/>
  </pivotFields>
  <rowFields count="2">
    <field x="2"/>
    <field x="4"/>
  </rowFields>
  <rowItems count="55">
    <i>
      <x/>
    </i>
    <i r="1">
      <x v="13"/>
    </i>
    <i r="1">
      <x v="16"/>
    </i>
    <i>
      <x v="1"/>
    </i>
    <i r="1">
      <x/>
    </i>
    <i r="1">
      <x v="1"/>
    </i>
    <i r="1">
      <x v="10"/>
    </i>
    <i r="1">
      <x v="11"/>
    </i>
    <i r="1">
      <x v="12"/>
    </i>
    <i r="1">
      <x v="17"/>
    </i>
    <i>
      <x v="2"/>
    </i>
    <i r="1">
      <x v="2"/>
    </i>
    <i r="1">
      <x v="3"/>
    </i>
    <i r="1">
      <x v="10"/>
    </i>
    <i r="1">
      <x v="11"/>
    </i>
    <i r="1">
      <x v="12"/>
    </i>
    <i r="1">
      <x v="14"/>
    </i>
    <i r="1">
      <x v="15"/>
    </i>
    <i r="1">
      <x v="17"/>
    </i>
    <i>
      <x v="3"/>
    </i>
    <i r="1">
      <x/>
    </i>
    <i r="1">
      <x v="5"/>
    </i>
    <i r="1">
      <x v="10"/>
    </i>
    <i r="1">
      <x v="11"/>
    </i>
    <i r="1">
      <x v="12"/>
    </i>
    <i r="1">
      <x v="14"/>
    </i>
    <i r="1">
      <x v="15"/>
    </i>
    <i r="1">
      <x v="17"/>
    </i>
    <i>
      <x v="4"/>
    </i>
    <i r="1">
      <x v="4"/>
    </i>
    <i r="1">
      <x v="5"/>
    </i>
    <i r="1">
      <x v="10"/>
    </i>
    <i r="1">
      <x v="11"/>
    </i>
    <i r="1">
      <x v="12"/>
    </i>
    <i r="1">
      <x v="15"/>
    </i>
    <i r="1">
      <x v="16"/>
    </i>
    <i r="1">
      <x v="17"/>
    </i>
    <i>
      <x v="5"/>
    </i>
    <i r="1">
      <x v="6"/>
    </i>
    <i r="1">
      <x v="7"/>
    </i>
    <i r="1">
      <x v="10"/>
    </i>
    <i r="1">
      <x v="12"/>
    </i>
    <i r="1">
      <x v="15"/>
    </i>
    <i>
      <x v="6"/>
    </i>
    <i r="1">
      <x v="8"/>
    </i>
    <i r="1">
      <x v="12"/>
    </i>
    <i r="1">
      <x v="14"/>
    </i>
    <i r="1">
      <x v="15"/>
    </i>
    <i r="1">
      <x v="19"/>
    </i>
    <i>
      <x v="7"/>
    </i>
    <i r="1">
      <x v="8"/>
    </i>
    <i r="1">
      <x v="12"/>
    </i>
    <i r="1">
      <x v="14"/>
    </i>
    <i r="1">
      <x v="15"/>
    </i>
    <i r="1">
      <x v="18"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1" hier="-1"/>
  </pageFields>
  <dataFields count="3">
    <dataField name=" Nguyên liệu sx" fld="6" baseField="0" baseItem="0"/>
    <dataField name=" % so với định mức" fld="8" baseField="0" baseItem="0" numFmtId="10"/>
    <dataField name=" Sản phẩm công đoạn sau" fld="9" baseField="0" baseItem="0"/>
  </dataFields>
  <formats count="17">
    <format dxfId="34">
      <pivotArea type="all" dataOnly="0" outline="0" fieldPosition="0"/>
    </format>
    <format dxfId="3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">
      <pivotArea field="2" type="button" dataOnly="0" labelOnly="1" outline="0" axis="axisRow" fieldPosition="0"/>
    </format>
    <format dxfId="3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9">
      <pivotArea outline="0" collapsedLevelsAreSubtotals="1" fieldPosition="0"/>
    </format>
    <format dxfId="28">
      <pivotArea dataOnly="0" labelOnly="1" outline="0" fieldPosition="0">
        <references count="1">
          <reference field="0" count="0"/>
        </references>
      </pivotArea>
    </format>
    <format dxfId="27">
      <pivotArea dataOnly="0" labelOnly="1" outline="0" fieldPosition="0">
        <references count="1">
          <reference field="1" count="0"/>
        </references>
      </pivotArea>
    </format>
    <format dxfId="2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">
      <pivotArea outline="0" collapsedLevelsAreSubtotals="1" fieldPosition="0"/>
    </format>
    <format dxfId="24">
      <pivotArea dataOnly="0" labelOnly="1" outline="0" fieldPosition="0">
        <references count="1">
          <reference field="0" count="0"/>
        </references>
      </pivotArea>
    </format>
    <format dxfId="23">
      <pivotArea dataOnly="0" labelOnly="1" outline="0" fieldPosition="0">
        <references count="1">
          <reference field="1" count="0"/>
        </references>
      </pivotArea>
    </format>
    <format dxfId="2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">
      <pivotArea outline="0" collapsedLevelsAreSubtotals="1" fieldPosition="0"/>
    </format>
    <format dxfId="20">
      <pivotArea dataOnly="0" labelOnly="1" outline="0" fieldPosition="0">
        <references count="1">
          <reference field="0" count="0"/>
        </references>
      </pivotArea>
    </format>
    <format dxfId="19">
      <pivotArea dataOnly="0" labelOnly="1" outline="0" fieldPosition="0">
        <references count="1">
          <reference field="1" count="0"/>
        </references>
      </pivotArea>
    </format>
    <format dxfId="1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2" dataPosition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2">
  <location ref="A4:D4" firstHeaderRow="0" firstDataRow="1" firstDataCol="1" rowPageCount="2" colPageCount="1"/>
  <pivotFields count="25">
    <pivotField axis="axisPage" multipleItemSelectionAllowed="1" showAll="0">
      <items count="5">
        <item h="1" m="1" x="1"/>
        <item x="0"/>
        <item h="1" m="1" x="2"/>
        <item m="1" x="3"/>
        <item t="default"/>
      </items>
    </pivotField>
    <pivotField axis="axisPage" numFmtId="14" multipleItemSelectionAllowed="1" showAll="0">
      <items count="73">
        <item h="1" m="1" x="25"/>
        <item h="1" m="1" x="54"/>
        <item h="1" m="1" x="14"/>
        <item h="1" m="1" x="42"/>
        <item h="1" m="1" x="3"/>
        <item h="1" m="1" x="32"/>
        <item h="1" m="1" x="63"/>
        <item h="1" m="1" x="22"/>
        <item h="1" m="1" x="51"/>
        <item h="1" m="1" x="11"/>
        <item h="1" m="1" x="39"/>
        <item h="1" m="1" x="57"/>
        <item h="1" m="1" x="17"/>
        <item h="1" m="1" x="45"/>
        <item h="1" m="1" x="6"/>
        <item h="1" m="1" x="34"/>
        <item h="1" m="1" x="65"/>
        <item h="1" m="1" x="24"/>
        <item h="1" m="1" x="53"/>
        <item h="1" m="1" x="13"/>
        <item h="1" m="1" x="41"/>
        <item h="1" m="1" x="71"/>
        <item h="1" m="1" x="31"/>
        <item h="1" m="1" x="62"/>
        <item h="1" m="1" x="21"/>
        <item h="1" m="1" x="50"/>
        <item h="1" m="1" x="10"/>
        <item h="1" m="1" x="38"/>
        <item h="1" m="1" x="69"/>
        <item h="1" m="1" x="29"/>
        <item h="1" m="1" x="60"/>
        <item h="1" m="1" x="19"/>
        <item h="1" m="1" x="47"/>
        <item h="1" m="1" x="8"/>
        <item h="1" m="1" x="36"/>
        <item h="1" m="1" x="67"/>
        <item h="1" m="1" x="27"/>
        <item h="1" m="1" x="56"/>
        <item h="1" m="1" x="16"/>
        <item h="1" m="1" x="44"/>
        <item h="1" m="1" x="5"/>
        <item h="1" m="1" x="49"/>
        <item h="1" m="1" x="9"/>
        <item h="1" m="1" x="37"/>
        <item h="1" m="1" x="68"/>
        <item h="1" m="1" x="28"/>
        <item h="1" m="1" x="59"/>
        <item h="1" m="1" x="18"/>
        <item h="1" m="1" x="46"/>
        <item h="1" m="1" x="7"/>
        <item h="1" m="1" x="35"/>
        <item h="1" m="1" x="66"/>
        <item h="1" m="1" x="26"/>
        <item h="1" m="1" x="55"/>
        <item h="1" m="1" x="15"/>
        <item h="1" m="1" x="43"/>
        <item h="1" m="1" x="4"/>
        <item h="1" m="1" x="33"/>
        <item h="1" m="1" x="64"/>
        <item h="1" m="1" x="23"/>
        <item h="1" m="1" x="52"/>
        <item h="1" m="1" x="12"/>
        <item h="1" m="1" x="40"/>
        <item h="1" m="1" x="70"/>
        <item h="1" m="1" x="30"/>
        <item h="1" m="1" x="61"/>
        <item h="1" m="1" x="20"/>
        <item m="1" x="48"/>
        <item h="1" m="1" x="58"/>
        <item h="1" x="0"/>
        <item h="1" x="1"/>
        <item h="1" x="2"/>
        <item t="default"/>
      </items>
    </pivotField>
    <pivotField showAll="0"/>
    <pivotField showAll="0"/>
    <pivotField showAll="0" defaultSubtotal="0"/>
    <pivotField showAll="0" defaultSubtotal="0"/>
    <pivotField showAll="0"/>
    <pivotField axis="axisRow" showAll="0">
      <items count="54">
        <item h="1" x="24"/>
        <item h="1" x="16"/>
        <item h="1" x="5"/>
        <item h="1" m="1" x="50"/>
        <item h="1" x="27"/>
        <item h="1" x="9"/>
        <item h="1" m="1" x="51"/>
        <item h="1" x="10"/>
        <item h="1" x="2"/>
        <item h="1" x="17"/>
        <item h="1" m="1" x="49"/>
        <item h="1" x="15"/>
        <item h="1" m="1" x="48"/>
        <item h="1" m="1" x="47"/>
        <item h="1" x="22"/>
        <item h="1" m="1" x="36"/>
        <item h="1" x="29"/>
        <item h="1" x="18"/>
        <item h="1" m="1" x="41"/>
        <item h="1" x="25"/>
        <item h="1" x="20"/>
        <item h="1" x="1"/>
        <item h="1" x="4"/>
        <item h="1" m="1" x="45"/>
        <item h="1" x="7"/>
        <item h="1" x="8"/>
        <item h="1" x="13"/>
        <item h="1" m="1" x="32"/>
        <item h="1" m="1" x="37"/>
        <item h="1" x="19"/>
        <item h="1" m="1" x="46"/>
        <item x="30"/>
        <item m="1" x="31"/>
        <item x="14"/>
        <item h="1" x="21"/>
        <item x="26"/>
        <item h="1" m="1" x="52"/>
        <item h="1" m="1" x="40"/>
        <item h="1" m="1" x="33"/>
        <item h="1" x="0"/>
        <item h="1" x="3"/>
        <item h="1" m="1" x="35"/>
        <item h="1" x="11"/>
        <item h="1" x="23"/>
        <item h="1" m="1" x="42"/>
        <item h="1" x="28"/>
        <item h="1" m="1" x="39"/>
        <item h="1" x="12"/>
        <item h="1" m="1" x="44"/>
        <item h="1" x="6"/>
        <item h="1" m="1" x="43"/>
        <item h="1" m="1" x="34"/>
        <item h="1" m="1" x="38"/>
        <item t="default"/>
      </items>
    </pivotField>
    <pivotField showAll="0"/>
    <pivotField showAll="0" defaultSubtotal="0"/>
    <pivotField showAll="0"/>
    <pivotField numFmtId="166" showAll="0"/>
    <pivotField numFmtId="166" showAll="0"/>
    <pivotField dataField="1" showAll="0"/>
    <pivotField dataField="1" showAll="0"/>
    <pivotField numFmtId="166" showAll="0"/>
    <pivotField showAll="0"/>
    <pivotField dataField="1" numFmtId="167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1" hier="-1"/>
  </pageFields>
  <dataFields count="3">
    <dataField name=" Thời gian BTTQ" fld="13" baseField="6" baseItem="0"/>
    <dataField name=" Thời gian xe hư" fld="14" baseField="6" baseItem="0"/>
    <dataField name=" Thời gian làm việc" fld="17" baseField="6" baseItem="0"/>
  </dataFields>
  <formats count="2">
    <format dxfId="17">
      <pivotArea collapsedLevelsAreSubtotals="1" fieldPosition="0">
        <references count="1">
          <reference field="7" count="0"/>
        </references>
      </pivotArea>
    </format>
    <format dxfId="1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4:F4" firstHeaderRow="0" firstDataRow="1" firstDataCol="2" rowPageCount="2" colPageCount="1"/>
  <pivotFields count="25">
    <pivotField axis="axisPage" compact="0" outline="0" multipleItemSelectionAllowed="1" showAll="0" defaultSubtotal="0">
      <items count="4">
        <item x="0"/>
        <item m="1" x="1"/>
        <item m="1" x="2"/>
        <item m="1" x="3"/>
      </items>
    </pivotField>
    <pivotField axis="axisPage" compact="0" numFmtId="14" outline="0" multipleItemSelectionAllowed="1" showAll="0" defaultSubtotal="0">
      <items count="72">
        <item h="1" m="1" x="25"/>
        <item h="1" m="1" x="54"/>
        <item h="1" m="1" x="14"/>
        <item h="1" m="1" x="42"/>
        <item h="1" m="1" x="3"/>
        <item h="1" m="1" x="32"/>
        <item h="1" m="1" x="63"/>
        <item h="1" m="1" x="22"/>
        <item h="1" m="1" x="51"/>
        <item h="1" m="1" x="11"/>
        <item h="1" m="1" x="39"/>
        <item h="1" m="1" x="57"/>
        <item h="1" m="1" x="17"/>
        <item h="1" m="1" x="45"/>
        <item h="1" m="1" x="6"/>
        <item h="1" m="1" x="34"/>
        <item h="1" m="1" x="65"/>
        <item h="1" m="1" x="24"/>
        <item h="1" m="1" x="53"/>
        <item h="1" m="1" x="13"/>
        <item h="1" m="1" x="41"/>
        <item h="1" m="1" x="71"/>
        <item h="1" m="1" x="31"/>
        <item h="1" m="1" x="62"/>
        <item h="1" m="1" x="21"/>
        <item h="1" m="1" x="50"/>
        <item h="1" m="1" x="10"/>
        <item h="1" m="1" x="38"/>
        <item h="1" m="1" x="69"/>
        <item h="1" m="1" x="29"/>
        <item h="1" m="1" x="60"/>
        <item h="1" m="1" x="19"/>
        <item h="1" m="1" x="47"/>
        <item h="1" m="1" x="8"/>
        <item h="1" m="1" x="36"/>
        <item h="1" m="1" x="67"/>
        <item h="1" m="1" x="27"/>
        <item h="1" m="1" x="56"/>
        <item h="1" m="1" x="16"/>
        <item h="1" m="1" x="44"/>
        <item h="1" m="1" x="5"/>
        <item h="1" m="1" x="49"/>
        <item h="1" m="1" x="9"/>
        <item h="1" m="1" x="37"/>
        <item h="1" m="1" x="68"/>
        <item h="1" m="1" x="28"/>
        <item h="1" m="1" x="59"/>
        <item h="1" m="1" x="18"/>
        <item h="1" m="1" x="46"/>
        <item h="1" m="1" x="7"/>
        <item h="1" m="1" x="35"/>
        <item h="1" m="1" x="66"/>
        <item h="1" m="1" x="26"/>
        <item h="1" m="1" x="55"/>
        <item h="1" m="1" x="15"/>
        <item h="1" m="1" x="43"/>
        <item h="1" m="1" x="4"/>
        <item h="1" m="1" x="33"/>
        <item h="1" m="1" x="64"/>
        <item h="1" m="1" x="23"/>
        <item h="1" m="1" x="52"/>
        <item h="1" m="1" x="12"/>
        <item h="1" m="1" x="40"/>
        <item h="1" m="1" x="70"/>
        <item h="1" m="1" x="30"/>
        <item h="1" m="1" x="61"/>
        <item h="1" m="1" x="20"/>
        <item m="1" x="48"/>
        <item h="1" m="1" x="58"/>
        <item h="1" x="0"/>
        <item h="1" x="1"/>
        <item h="1" x="2"/>
      </items>
    </pivotField>
    <pivotField compact="0" outline="0" showAll="0" defaultSubtotal="0"/>
    <pivotField axis="axisRow" compact="0" outline="0" showAll="0" defaultSubtotal="0">
      <items count="50">
        <item m="1" x="49"/>
        <item m="1" x="43"/>
        <item m="1" x="8"/>
        <item m="1" x="19"/>
        <item m="1" x="41"/>
        <item m="1" x="33"/>
        <item m="1" x="36"/>
        <item m="1" x="28"/>
        <item m="1" x="26"/>
        <item m="1" x="42"/>
        <item m="1" x="35"/>
        <item m="1" x="31"/>
        <item m="1" x="24"/>
        <item m="1" x="15"/>
        <item m="1" x="16"/>
        <item m="1" x="39"/>
        <item m="1" x="25"/>
        <item m="1" x="9"/>
        <item m="1" x="13"/>
        <item m="1" x="44"/>
        <item m="1" x="21"/>
        <item m="1" x="14"/>
        <item m="1" x="32"/>
        <item m="1" x="37"/>
        <item m="1" x="29"/>
        <item m="1" x="30"/>
        <item m="1" x="23"/>
        <item m="1" x="40"/>
        <item m="1" x="27"/>
        <item m="1" x="46"/>
        <item m="1" x="47"/>
        <item m="1" x="11"/>
        <item m="1" x="17"/>
        <item m="1" x="18"/>
        <item m="1" x="48"/>
        <item m="1" x="34"/>
        <item m="1" x="45"/>
        <item m="1" x="22"/>
        <item m="1" x="38"/>
        <item m="1" x="10"/>
        <item m="1" x="20"/>
        <item m="1" x="12"/>
        <item x="3"/>
        <item x="0"/>
        <item x="1"/>
        <item x="2"/>
        <item x="5"/>
        <item x="4"/>
        <item x="6"/>
        <item x="7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3">
        <item x="24"/>
        <item x="16"/>
        <item x="5"/>
        <item m="1" x="50"/>
        <item x="23"/>
        <item x="27"/>
        <item x="9"/>
        <item m="1" x="51"/>
        <item x="10"/>
        <item x="2"/>
        <item x="17"/>
        <item m="1" x="49"/>
        <item x="15"/>
        <item m="1" x="48"/>
        <item m="1" x="47"/>
        <item x="22"/>
        <item m="1" x="36"/>
        <item m="1" x="44"/>
        <item x="29"/>
        <item x="3"/>
        <item x="18"/>
        <item m="1" x="40"/>
        <item x="11"/>
        <item x="6"/>
        <item m="1" x="41"/>
        <item x="0"/>
        <item x="25"/>
        <item x="20"/>
        <item x="1"/>
        <item x="4"/>
        <item m="1" x="45"/>
        <item x="7"/>
        <item x="8"/>
        <item x="12"/>
        <item m="1" x="35"/>
        <item m="1" x="42"/>
        <item x="13"/>
        <item m="1" x="32"/>
        <item x="28"/>
        <item m="1" x="37"/>
        <item m="1" x="39"/>
        <item m="1" x="33"/>
        <item x="19"/>
        <item m="1" x="46"/>
        <item m="1" x="52"/>
        <item x="30"/>
        <item x="26"/>
        <item m="1" x="31"/>
        <item x="14"/>
        <item x="21"/>
        <item m="1" x="43"/>
        <item sd="0" m="1" x="34"/>
        <item m="1" x="38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numFmtId="167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7"/>
    <field x="3"/>
  </rowField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0" hier="-1"/>
    <pageField fld="1" hier="-1"/>
  </pageFields>
  <dataFields count="4">
    <dataField name=" Thời gian làm việc" fld="17" baseField="6" baseItem="0" numFmtId="172"/>
    <dataField name=" Số lượng thực hiện" fld="18" baseField="6" baseItem="0"/>
    <dataField name=" Thời gian xe hư" fld="14" baseField="6" baseItem="0" numFmtId="172"/>
    <dataField name=" Dầu" fld="19" baseField="6" baseItem="0"/>
  </dataFields>
  <formats count="4">
    <format dxfId="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4:G21" firstHeaderRow="0" firstDataRow="1" firstDataCol="1" rowPageCount="2" colPageCount="1"/>
  <pivotFields count="13">
    <pivotField axis="axisPage" multipleItemSelectionAllowed="1" showAll="0" defaultSubtotal="0">
      <items count="1">
        <item x="0"/>
      </items>
    </pivotField>
    <pivotField showAll="0" defaultSubtotal="0"/>
    <pivotField axis="axisPage" numFmtId="173" multipleItemSelectionAllowed="1" showAll="0" defaultSubtotal="0">
      <items count="2">
        <item h="1" x="0"/>
        <item x="1"/>
      </items>
    </pivotField>
    <pivotField axis="axisRow" showAll="0" defaultSubtotal="0">
      <items count="17">
        <item x="0"/>
        <item x="3"/>
        <item x="4"/>
        <item x="1"/>
        <item x="2"/>
        <item x="6"/>
        <item x="5"/>
        <item x="7"/>
        <item x="8"/>
        <item x="12"/>
        <item x="11"/>
        <item x="9"/>
        <item x="16"/>
        <item x="14"/>
        <item x="13"/>
        <item x="15"/>
        <item x="10"/>
      </items>
    </pivotField>
    <pivotField showAll="0" defaultSubtotal="0"/>
    <pivotField showAll="0" defaultSubtotal="0"/>
    <pivotField dataField="1" showAll="0" defaultSubtotal="0"/>
    <pivotField dataField="1" numFmtId="175" showAll="0" defaultSubtotal="0"/>
    <pivotField dataField="1" showAll="0" defaultSubtotal="0"/>
    <pivotField dataField="1" showAll="0" defaultSubtotal="0"/>
    <pivotField dataField="1" numFmtId="175" showAll="0" defaultSubtotal="0"/>
    <pivotField showAll="0" defaultSubtotal="0"/>
    <pivotField dataField="1" numFmtId="175" showAll="0" defaultSubtotal="0"/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hier="-1"/>
    <pageField fld="2" hier="-1"/>
  </pageFields>
  <dataFields count="6">
    <dataField name=" Tồn đầu ngày" fld="6" baseField="0" baseItem="0"/>
    <dataField name=" Nhập từ sản xuất" fld="7" baseField="0" baseItem="0"/>
    <dataField name=" Nhập từ kho" fld="8" baseField="0" baseItem="0"/>
    <dataField name=" Xuất cho kho" fld="9" baseField="0" baseItem="0"/>
    <dataField name=" Xuất cho sản xuất" fld="10" baseField="0" baseItem="0"/>
    <dataField name=" Tồn cuối ngày" fld="12" baseField="0" baseItem="0"/>
  </dataFields>
  <formats count="12">
    <format dxfId="11">
      <pivotArea outline="0" collapsedLevelsAreSubtotals="1" fieldPosition="0"/>
    </format>
    <format dxfId="10">
      <pivotArea type="all" dataOnly="0" outline="0" fieldPosition="0"/>
    </format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">
      <pivotArea field="3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">
      <pivotArea field="3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2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146" displayName="Table146" ref="A2:J98" totalsRowShown="0" headerRowDxfId="320" dataDxfId="318" headerRowBorderDxfId="319" tableBorderDxfId="317" totalsRowBorderDxfId="316">
  <autoFilter ref="A2:J98"/>
  <tableColumns count="10">
    <tableColumn id="3" name="Tháng" dataDxfId="315">
      <calculatedColumnFormula>MONTH(Table146[[#This Row],[Ngày]])</calculatedColumnFormula>
    </tableColumn>
    <tableColumn id="2" name="Ngày" dataDxfId="314"/>
    <tableColumn id="1" name="Công đoạn" dataDxfId="313"/>
    <tableColumn id="5" name="Lot" dataDxfId="312"/>
    <tableColumn id="7" name="Tên Nguyên Liệu/BTP" dataDxfId="311"/>
    <tableColumn id="8" name="ĐVT" dataDxfId="310"/>
    <tableColumn id="9" name="Nguyên liệu sx" dataDxfId="309"/>
    <tableColumn id="10" name="Định mức" dataDxfId="308"/>
    <tableColumn id="11" name="% so với định mức" dataDxfId="307" dataCellStyle="Percent"/>
    <tableColumn id="12" name="Sản phẩm công đoạn sau" dataDxfId="30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M36" totalsRowShown="0" headerRowDxfId="305" dataDxfId="303" headerRowBorderDxfId="304" tableBorderDxfId="302" totalsRowBorderDxfId="301" dataCellStyle="Comma [0]">
  <autoFilter ref="A2:M36"/>
  <tableColumns count="13">
    <tableColumn id="1" name="Tháng" dataDxfId="300">
      <calculatedColumnFormula>MONTH(C3)</calculatedColumnFormula>
    </tableColumn>
    <tableColumn id="15" name="Tuần" dataDxfId="299">
      <calculatedColumnFormula>WEEKNUM(Table3[[#This Row],[Ngày]])</calculatedColumnFormula>
    </tableColumn>
    <tableColumn id="2" name="Ngày" dataDxfId="298"/>
    <tableColumn id="3" name="Tên NVL/BTP/TP" dataDxfId="297"/>
    <tableColumn id="4" name="ĐVT" dataDxfId="296"/>
    <tableColumn id="5" name="LOT" dataDxfId="295"/>
    <tableColumn id="6" name="Tồn đầu ngày" dataDxfId="294" dataCellStyle="Comma [0]"/>
    <tableColumn id="7" name="Nhập từ sản xuất" dataDxfId="293" dataCellStyle="Comma [0]">
      <calculatedColumnFormula>SUMIFS('DATA PHOI TRON'!$J:$J,'DATA PHOI TRON'!$B:$B,Table3[[#This Row],[Ngày]],'DATA PHOI TRON'!$E:$E,Table3[[#This Row],[Tên NVL/BTP/TP]])</calculatedColumnFormula>
    </tableColumn>
    <tableColumn id="8" name="Nhập từ kho" dataDxfId="292" dataCellStyle="Comma [0]"/>
    <tableColumn id="11" name="Xuất cho kho" dataDxfId="291" dataCellStyle="Comma [0]"/>
    <tableColumn id="12" name="Xuất cho sản xuất" dataDxfId="290" dataCellStyle="Comma [0]">
      <calculatedColumnFormula>SUMIFS('DATA PHOI TRON'!$G:$G,'DATA PHOI TRON'!$B:$B,Table3[[#This Row],[Ngày]],'DATA PHOI TRON'!$E:$E,Table3[[#This Row],[Tên NVL/BTP/TP]])</calculatedColumnFormula>
    </tableColumn>
    <tableColumn id="13" name="Hao hụt" dataDxfId="289" dataCellStyle="Comma [0]"/>
    <tableColumn id="14" name="Tồn cuối ngày" dataDxfId="288" dataCellStyle="Comma [0]">
      <calculatedColumnFormula>Table3[[#This Row],[Tồn đầu ngày]]+Table3[[#This Row],[Nhập từ sản xuất]]+Table3[[#This Row],[Nhập từ kho]]-Table3[[#This Row],[Xuất cho kho]]-Table3[[#This Row],[Xuất cho sản xuất]]-Table3[[#This Row],[Hao hụt]]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:Y213" headerRowDxfId="287" dataDxfId="286" totalsRowDxfId="284" tableBorderDxfId="285">
  <autoFilter ref="A2:Y213"/>
  <tableColumns count="25">
    <tableColumn id="1" name="Tháng" totalsRowLabel="Total" dataDxfId="283" totalsRowDxfId="282">
      <calculatedColumnFormula>MONTH(B3)</calculatedColumnFormula>
    </tableColumn>
    <tableColumn id="2" name="Ngày" dataDxfId="281" totalsRowDxfId="280"/>
    <tableColumn id="14" name="Ca" dataDxfId="279" totalsRowDxfId="278"/>
    <tableColumn id="13" name="Công đoạn" dataDxfId="277" totalsRowDxfId="276">
      <calculatedColumnFormula>IFERROR(VLOOKUP([1]!Table1[[#This Row],[Mã công đoạn]],'[1]MA SO'!$B:$D,2,0),"")</calculatedColumnFormula>
    </tableColumn>
    <tableColumn id="3" name="Nọi dung công đoạn" dataDxfId="275" totalsRowDxfId="274">
      <calculatedColumnFormula>IFERROR(VLOOKUP([1]!Table1[[#This Row],[Mã công đoạn]],'[1]MA SO'!$B:$D,3,0),"")</calculatedColumnFormula>
    </tableColumn>
    <tableColumn id="4" name="Mã công đoạn" dataDxfId="273" totalsRowDxfId="272"/>
    <tableColumn id="5" name="LOT" dataDxfId="271" totalsRowDxfId="270"/>
    <tableColumn id="7" name="Xe cơ giới/máy" dataDxfId="269" totalsRowDxfId="268"/>
    <tableColumn id="8" name="NVL/TP" dataDxfId="267" totalsRowDxfId="266"/>
    <tableColumn id="9" name="Tên công nhận" dataDxfId="265" totalsRowDxfId="264"/>
    <tableColumn id="33" name="Ca Làm Việc" dataDxfId="263" totalsRowDxfId="262"/>
    <tableColumn id="10" name="Thời gian bắt đâu" dataDxfId="261" totalsRowDxfId="260"/>
    <tableColumn id="11" name="Thời gian kết thúc" dataDxfId="259" totalsRowDxfId="258"/>
    <tableColumn id="12" name="Thời gian BTTQ" dataDxfId="257" totalsRowDxfId="256"/>
    <tableColumn id="15" name="Thời gian xe hư" dataDxfId="255" totalsRowDxfId="254"/>
    <tableColumn id="16" name="Thời gian nghỉ" dataDxfId="253" totalsRowDxfId="252"/>
    <tableColumn id="17" name="Thời gian CV khác" dataDxfId="251" totalsRowDxfId="250"/>
    <tableColumn id="20" name="Thời gian làm việc" dataDxfId="249" totalsRowDxfId="248">
      <calculatedColumnFormula>(Table1[[#This Row],[Thời gian kết thúc]]-Table1[[#This Row],[Thời gian bắt đâu]])-Table1[[#This Row],[Thời gian BTTQ]]-Table1[[#This Row],[Thời gian xe hư]]-Table1[[#This Row],[Thời gian nghỉ]]-Table1[[#This Row],[Thời gian CV khác]]</calculatedColumnFormula>
    </tableColumn>
    <tableColumn id="21" name="Số lượng thực hiện" dataDxfId="247" totalsRowDxfId="246"/>
    <tableColumn id="24" name="Dầu" dataDxfId="245" totalsRowDxfId="244"/>
    <tableColumn id="25" name="Nhớt 10" dataDxfId="243" totalsRowDxfId="242"/>
    <tableColumn id="26" name="Nhớt 50" dataDxfId="241" totalsRowDxfId="240"/>
    <tableColumn id="30" name="Nhớt 90" dataDxfId="239" totalsRowDxfId="238"/>
    <tableColumn id="31" name="Nhớt 140" dataDxfId="237" totalsRowDxfId="236"/>
    <tableColumn id="27" name="Nguyên nhân" dataDxfId="235" totalsRowDxfId="234"/>
  </tableColumns>
  <tableStyleInfo name="TableStyleLight14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34" zoomScale="80" zoomScaleNormal="80" zoomScalePageLayoutView="80" workbookViewId="0">
      <selection activeCell="K83" sqref="K83"/>
    </sheetView>
  </sheetViews>
  <sheetFormatPr defaultColWidth="8.4140625" defaultRowHeight="16.5"/>
  <cols>
    <col min="1" max="1" width="15.4140625" style="175" customWidth="1"/>
    <col min="2" max="2" width="12.4140625" style="175" customWidth="1"/>
    <col min="3" max="3" width="10.4140625" style="175" bestFit="1" customWidth="1"/>
    <col min="4" max="4" width="4" style="175" bestFit="1" customWidth="1"/>
    <col min="5" max="5" width="22.4140625" style="154" bestFit="1" customWidth="1"/>
    <col min="6" max="6" width="14.4140625" style="176" bestFit="1" customWidth="1"/>
    <col min="7" max="7" width="27" style="154" bestFit="1" customWidth="1"/>
    <col min="8" max="8" width="21.4140625" style="154" customWidth="1"/>
    <col min="9" max="16384" width="8.4140625" style="201"/>
  </cols>
  <sheetData>
    <row r="1" spans="1:8" s="197" customFormat="1" ht="74.25" customHeight="1">
      <c r="A1" s="135"/>
      <c r="B1" s="497" t="s">
        <v>553</v>
      </c>
      <c r="C1" s="498"/>
      <c r="D1" s="498"/>
      <c r="E1" s="498"/>
      <c r="F1" s="498"/>
      <c r="G1" s="499"/>
      <c r="H1" s="200" t="s">
        <v>367</v>
      </c>
    </row>
    <row r="2" spans="1:8" s="197" customFormat="1" ht="58.5" customHeight="1">
      <c r="A2" s="500" t="s">
        <v>368</v>
      </c>
      <c r="B2" s="500"/>
      <c r="C2" s="500"/>
      <c r="D2" s="500"/>
      <c r="E2" s="500"/>
      <c r="F2" s="500"/>
      <c r="G2" s="500"/>
      <c r="H2" s="500"/>
    </row>
    <row r="3" spans="1:8" s="198" customFormat="1" ht="33" customHeight="1">
      <c r="A3" s="136" t="s">
        <v>369</v>
      </c>
      <c r="B3" s="137" t="s">
        <v>370</v>
      </c>
      <c r="C3" s="137" t="s">
        <v>371</v>
      </c>
      <c r="D3" s="137" t="s">
        <v>372</v>
      </c>
      <c r="E3" s="138" t="s">
        <v>373</v>
      </c>
      <c r="F3" s="139" t="s">
        <v>371</v>
      </c>
      <c r="G3" s="138" t="s">
        <v>374</v>
      </c>
      <c r="H3" s="138" t="s">
        <v>375</v>
      </c>
    </row>
    <row r="4" spans="1:8" s="199" customFormat="1" ht="18.75" customHeight="1">
      <c r="A4" s="501" t="s">
        <v>376</v>
      </c>
      <c r="B4" s="502"/>
      <c r="C4" s="502"/>
      <c r="D4" s="502"/>
      <c r="E4" s="503"/>
      <c r="F4" s="504" t="s">
        <v>377</v>
      </c>
      <c r="G4" s="504"/>
      <c r="H4" s="504"/>
    </row>
    <row r="5" spans="1:8" s="199" customFormat="1" ht="21.75" customHeight="1">
      <c r="A5" s="505" t="s">
        <v>378</v>
      </c>
      <c r="B5" s="476" t="s">
        <v>379</v>
      </c>
      <c r="C5" s="140"/>
      <c r="D5" s="177"/>
      <c r="E5" s="141" t="s">
        <v>380</v>
      </c>
      <c r="F5" s="142"/>
      <c r="G5" s="415" t="s">
        <v>381</v>
      </c>
      <c r="H5" s="143"/>
    </row>
    <row r="6" spans="1:8" s="199" customFormat="1" ht="21.75" customHeight="1">
      <c r="A6" s="506"/>
      <c r="B6" s="477"/>
      <c r="C6" s="509" t="s">
        <v>382</v>
      </c>
      <c r="D6" s="178">
        <v>1</v>
      </c>
      <c r="E6" s="144" t="s">
        <v>383</v>
      </c>
      <c r="F6" s="145" t="s">
        <v>384</v>
      </c>
      <c r="G6" s="416" t="s">
        <v>385</v>
      </c>
      <c r="H6" s="146"/>
    </row>
    <row r="7" spans="1:8" s="199" customFormat="1" ht="21.75" customHeight="1">
      <c r="A7" s="506"/>
      <c r="B7" s="477"/>
      <c r="C7" s="510"/>
      <c r="D7" s="178">
        <v>2</v>
      </c>
      <c r="E7" s="147" t="s">
        <v>386</v>
      </c>
      <c r="F7" s="148" t="s">
        <v>384</v>
      </c>
      <c r="G7" s="417" t="s">
        <v>387</v>
      </c>
      <c r="H7" s="149"/>
    </row>
    <row r="8" spans="1:8" s="199" customFormat="1" ht="21.75" customHeight="1">
      <c r="A8" s="506"/>
      <c r="B8" s="477"/>
      <c r="C8" s="510"/>
      <c r="D8" s="178">
        <v>3</v>
      </c>
      <c r="E8" s="147" t="s">
        <v>388</v>
      </c>
      <c r="F8" s="148" t="s">
        <v>384</v>
      </c>
      <c r="G8" s="417" t="s">
        <v>387</v>
      </c>
      <c r="H8" s="149"/>
    </row>
    <row r="9" spans="1:8" s="199" customFormat="1" ht="21.75" customHeight="1">
      <c r="A9" s="506"/>
      <c r="B9" s="477"/>
      <c r="C9" s="510"/>
      <c r="D9" s="178">
        <v>4</v>
      </c>
      <c r="E9" s="147" t="s">
        <v>896</v>
      </c>
      <c r="F9" s="148" t="s">
        <v>384</v>
      </c>
      <c r="G9" s="417" t="s">
        <v>387</v>
      </c>
      <c r="H9" s="149"/>
    </row>
    <row r="10" spans="1:8" s="199" customFormat="1" ht="21.75" customHeight="1">
      <c r="A10" s="506"/>
      <c r="B10" s="477"/>
      <c r="C10" s="511"/>
      <c r="D10" s="178">
        <v>5</v>
      </c>
      <c r="E10" s="147" t="s">
        <v>389</v>
      </c>
      <c r="F10" s="148" t="s">
        <v>384</v>
      </c>
      <c r="G10" s="417" t="s">
        <v>387</v>
      </c>
      <c r="H10" s="149"/>
    </row>
    <row r="11" spans="1:8" s="199" customFormat="1" ht="21.75" customHeight="1">
      <c r="A11" s="506"/>
      <c r="B11" s="477"/>
      <c r="C11" s="509" t="s">
        <v>390</v>
      </c>
      <c r="D11" s="179">
        <v>1</v>
      </c>
      <c r="E11" s="147" t="s">
        <v>391</v>
      </c>
      <c r="F11" s="148" t="s">
        <v>392</v>
      </c>
      <c r="G11" s="417" t="s">
        <v>393</v>
      </c>
      <c r="H11" s="149"/>
    </row>
    <row r="12" spans="1:8" s="199" customFormat="1" ht="21.75" customHeight="1">
      <c r="A12" s="506"/>
      <c r="B12" s="477"/>
      <c r="C12" s="510"/>
      <c r="D12" s="179">
        <v>2</v>
      </c>
      <c r="E12" s="147" t="s">
        <v>394</v>
      </c>
      <c r="F12" s="148" t="s">
        <v>392</v>
      </c>
      <c r="G12" s="417" t="s">
        <v>395</v>
      </c>
      <c r="H12" s="149"/>
    </row>
    <row r="13" spans="1:8" s="199" customFormat="1" ht="21.75" customHeight="1">
      <c r="A13" s="506"/>
      <c r="B13" s="477"/>
      <c r="C13" s="510"/>
      <c r="D13" s="179">
        <v>3</v>
      </c>
      <c r="E13" s="147" t="s">
        <v>396</v>
      </c>
      <c r="F13" s="148" t="s">
        <v>392</v>
      </c>
      <c r="G13" s="417" t="s">
        <v>395</v>
      </c>
      <c r="H13" s="149"/>
    </row>
    <row r="14" spans="1:8" s="199" customFormat="1" ht="21.75" customHeight="1">
      <c r="A14" s="506"/>
      <c r="B14" s="477"/>
      <c r="C14" s="510"/>
      <c r="D14" s="179">
        <v>4</v>
      </c>
      <c r="E14" s="147" t="s">
        <v>397</v>
      </c>
      <c r="F14" s="148" t="s">
        <v>392</v>
      </c>
      <c r="G14" s="417" t="s">
        <v>398</v>
      </c>
      <c r="H14" s="149"/>
    </row>
    <row r="15" spans="1:8" s="199" customFormat="1" ht="21.75" customHeight="1">
      <c r="A15" s="506"/>
      <c r="B15" s="478"/>
      <c r="C15" s="511"/>
      <c r="D15" s="179">
        <v>5</v>
      </c>
      <c r="E15" s="147" t="s">
        <v>399</v>
      </c>
      <c r="F15" s="148" t="s">
        <v>392</v>
      </c>
      <c r="G15" s="417" t="s">
        <v>400</v>
      </c>
      <c r="H15" s="149"/>
    </row>
    <row r="16" spans="1:8" s="199" customFormat="1" ht="18.75" customHeight="1">
      <c r="A16" s="507"/>
      <c r="B16" s="433" t="s">
        <v>401</v>
      </c>
      <c r="C16" s="150"/>
      <c r="D16" s="180">
        <v>1</v>
      </c>
      <c r="E16" s="190" t="s">
        <v>402</v>
      </c>
      <c r="F16" s="203" t="s">
        <v>403</v>
      </c>
      <c r="G16" s="418" t="s">
        <v>404</v>
      </c>
      <c r="H16" s="418"/>
    </row>
    <row r="17" spans="1:8" s="199" customFormat="1">
      <c r="A17" s="508"/>
      <c r="B17" s="140" t="s">
        <v>405</v>
      </c>
      <c r="C17" s="151"/>
      <c r="D17" s="181">
        <v>1</v>
      </c>
      <c r="E17" s="190" t="s">
        <v>406</v>
      </c>
      <c r="F17" s="203" t="s">
        <v>407</v>
      </c>
      <c r="G17" s="418" t="s">
        <v>408</v>
      </c>
      <c r="H17" s="418"/>
    </row>
    <row r="18" spans="1:8" s="199" customFormat="1" ht="18" customHeight="1">
      <c r="A18" s="475"/>
      <c r="B18" s="492"/>
      <c r="C18" s="494" t="s">
        <v>409</v>
      </c>
      <c r="D18" s="182">
        <v>1</v>
      </c>
      <c r="E18" s="152" t="s">
        <v>410</v>
      </c>
      <c r="F18" s="153" t="s">
        <v>411</v>
      </c>
      <c r="G18" s="419" t="s">
        <v>412</v>
      </c>
      <c r="H18" s="419"/>
    </row>
    <row r="19" spans="1:8" s="199" customFormat="1">
      <c r="A19" s="475"/>
      <c r="B19" s="492"/>
      <c r="C19" s="495"/>
      <c r="D19" s="182">
        <v>2</v>
      </c>
      <c r="E19" s="147" t="s">
        <v>413</v>
      </c>
      <c r="F19" s="148" t="s">
        <v>414</v>
      </c>
      <c r="G19" s="417" t="s">
        <v>415</v>
      </c>
      <c r="H19" s="417"/>
    </row>
    <row r="20" spans="1:8" ht="19.5" customHeight="1">
      <c r="A20" s="475"/>
      <c r="B20" s="492"/>
      <c r="C20" s="495"/>
      <c r="D20" s="182">
        <v>3</v>
      </c>
      <c r="E20" s="147" t="s">
        <v>416</v>
      </c>
      <c r="F20" s="148" t="s">
        <v>414</v>
      </c>
      <c r="G20" s="417" t="s">
        <v>417</v>
      </c>
      <c r="H20" s="138"/>
    </row>
    <row r="21" spans="1:8" s="199" customFormat="1" ht="18.75" customHeight="1">
      <c r="A21" s="475"/>
      <c r="B21" s="492"/>
      <c r="C21" s="495"/>
      <c r="D21" s="182">
        <v>4</v>
      </c>
      <c r="E21" s="147" t="s">
        <v>418</v>
      </c>
      <c r="F21" s="148" t="s">
        <v>414</v>
      </c>
      <c r="G21" s="417" t="s">
        <v>417</v>
      </c>
      <c r="H21" s="138"/>
    </row>
    <row r="22" spans="1:8" s="199" customFormat="1" ht="19.5" customHeight="1">
      <c r="A22" s="475"/>
      <c r="B22" s="492"/>
      <c r="C22" s="495"/>
      <c r="D22" s="182">
        <v>5</v>
      </c>
      <c r="E22" s="147" t="s">
        <v>419</v>
      </c>
      <c r="F22" s="148" t="s">
        <v>420</v>
      </c>
      <c r="G22" s="417" t="s">
        <v>421</v>
      </c>
      <c r="H22" s="149"/>
    </row>
    <row r="23" spans="1:8" s="199" customFormat="1" ht="19.5" customHeight="1">
      <c r="A23" s="475"/>
      <c r="B23" s="492"/>
      <c r="C23" s="496"/>
      <c r="D23" s="182">
        <v>6</v>
      </c>
      <c r="E23" s="147" t="s">
        <v>422</v>
      </c>
      <c r="F23" s="148" t="s">
        <v>420</v>
      </c>
      <c r="G23" s="417" t="s">
        <v>421</v>
      </c>
      <c r="H23" s="149"/>
    </row>
    <row r="24" spans="1:8" s="199" customFormat="1" ht="46.5" customHeight="1">
      <c r="A24" s="475"/>
      <c r="B24" s="492"/>
      <c r="C24" s="155" t="s">
        <v>423</v>
      </c>
      <c r="D24" s="183">
        <v>1</v>
      </c>
      <c r="E24" s="147" t="s">
        <v>424</v>
      </c>
      <c r="F24" s="148" t="s">
        <v>425</v>
      </c>
      <c r="G24" s="417" t="s">
        <v>426</v>
      </c>
      <c r="H24" s="149"/>
    </row>
    <row r="25" spans="1:8" s="199" customFormat="1" ht="33" customHeight="1">
      <c r="A25" s="475"/>
      <c r="B25" s="493"/>
      <c r="C25" s="485" t="s">
        <v>427</v>
      </c>
      <c r="D25" s="182">
        <v>1</v>
      </c>
      <c r="E25" s="152" t="s">
        <v>428</v>
      </c>
      <c r="F25" s="153" t="s">
        <v>429</v>
      </c>
      <c r="G25" s="419" t="s">
        <v>430</v>
      </c>
      <c r="H25" s="156"/>
    </row>
    <row r="26" spans="1:8" s="199" customFormat="1" ht="38.25" customHeight="1">
      <c r="A26" s="475"/>
      <c r="B26" s="434"/>
      <c r="C26" s="486"/>
      <c r="D26" s="182">
        <v>2</v>
      </c>
      <c r="E26" s="147" t="s">
        <v>431</v>
      </c>
      <c r="F26" s="148" t="s">
        <v>425</v>
      </c>
      <c r="G26" s="417" t="s">
        <v>432</v>
      </c>
      <c r="H26" s="149"/>
    </row>
    <row r="27" spans="1:8" s="199" customFormat="1" ht="19.5" customHeight="1">
      <c r="A27" s="475"/>
      <c r="B27" s="487" t="s">
        <v>433</v>
      </c>
      <c r="C27" s="488" t="s">
        <v>433</v>
      </c>
      <c r="D27" s="184">
        <v>1</v>
      </c>
      <c r="E27" s="152" t="s">
        <v>434</v>
      </c>
      <c r="F27" s="145" t="s">
        <v>435</v>
      </c>
      <c r="G27" s="416" t="s">
        <v>436</v>
      </c>
      <c r="H27" s="146"/>
    </row>
    <row r="28" spans="1:8" s="199" customFormat="1" ht="21.75" customHeight="1">
      <c r="A28" s="475"/>
      <c r="B28" s="487"/>
      <c r="C28" s="488"/>
      <c r="D28" s="178">
        <v>2</v>
      </c>
      <c r="E28" s="147" t="s">
        <v>437</v>
      </c>
      <c r="F28" s="157" t="s">
        <v>435</v>
      </c>
      <c r="G28" s="417" t="s">
        <v>438</v>
      </c>
      <c r="H28" s="149"/>
    </row>
    <row r="29" spans="1:8" s="199" customFormat="1" ht="19.5" customHeight="1">
      <c r="A29" s="475"/>
      <c r="B29" s="487"/>
      <c r="C29" s="479" t="s">
        <v>439</v>
      </c>
      <c r="D29" s="178">
        <v>1</v>
      </c>
      <c r="E29" s="152" t="s">
        <v>440</v>
      </c>
      <c r="F29" s="153" t="s">
        <v>441</v>
      </c>
      <c r="G29" s="419" t="s">
        <v>442</v>
      </c>
      <c r="H29" s="156"/>
    </row>
    <row r="30" spans="1:8" s="202" customFormat="1">
      <c r="A30" s="475"/>
      <c r="B30" s="487"/>
      <c r="C30" s="479"/>
      <c r="D30" s="178">
        <v>2</v>
      </c>
      <c r="E30" s="147" t="s">
        <v>443</v>
      </c>
      <c r="F30" s="148" t="s">
        <v>444</v>
      </c>
      <c r="G30" s="417" t="s">
        <v>445</v>
      </c>
      <c r="H30" s="149" t="s">
        <v>446</v>
      </c>
    </row>
    <row r="31" spans="1:8" s="199" customFormat="1" ht="21.75" customHeight="1">
      <c r="A31" s="475"/>
      <c r="B31" s="487"/>
      <c r="C31" s="479"/>
      <c r="D31" s="178">
        <v>3</v>
      </c>
      <c r="E31" s="147" t="s">
        <v>447</v>
      </c>
      <c r="F31" s="148" t="s">
        <v>444</v>
      </c>
      <c r="G31" s="417" t="s">
        <v>445</v>
      </c>
      <c r="H31" s="149" t="s">
        <v>446</v>
      </c>
    </row>
    <row r="32" spans="1:8" s="199" customFormat="1">
      <c r="A32" s="475"/>
      <c r="B32" s="487"/>
      <c r="C32" s="479"/>
      <c r="D32" s="182">
        <v>4</v>
      </c>
      <c r="E32" s="147" t="s">
        <v>448</v>
      </c>
      <c r="F32" s="204" t="s">
        <v>449</v>
      </c>
      <c r="G32" s="417" t="s">
        <v>445</v>
      </c>
      <c r="H32" s="138"/>
    </row>
    <row r="33" spans="1:8" s="199" customFormat="1" ht="24.75" customHeight="1">
      <c r="A33" s="475"/>
      <c r="B33" s="487"/>
      <c r="C33" s="479"/>
      <c r="D33" s="178">
        <v>5</v>
      </c>
      <c r="E33" s="147" t="s">
        <v>450</v>
      </c>
      <c r="F33" s="204" t="s">
        <v>449</v>
      </c>
      <c r="G33" s="417" t="s">
        <v>445</v>
      </c>
      <c r="H33" s="149"/>
    </row>
    <row r="34" spans="1:8" s="199" customFormat="1" ht="19.5" customHeight="1">
      <c r="A34" s="475"/>
      <c r="B34" s="476" t="s">
        <v>451</v>
      </c>
      <c r="C34" s="158"/>
      <c r="D34" s="178"/>
      <c r="E34" s="159" t="s">
        <v>452</v>
      </c>
      <c r="F34" s="432"/>
      <c r="G34" s="419" t="s">
        <v>453</v>
      </c>
      <c r="H34" s="156"/>
    </row>
    <row r="35" spans="1:8" s="199" customFormat="1" ht="21" customHeight="1">
      <c r="A35" s="475"/>
      <c r="B35" s="477"/>
      <c r="C35" s="489" t="s">
        <v>454</v>
      </c>
      <c r="D35" s="184">
        <v>1</v>
      </c>
      <c r="E35" s="152" t="s">
        <v>455</v>
      </c>
      <c r="F35" s="145" t="s">
        <v>456</v>
      </c>
      <c r="G35" s="416" t="s">
        <v>457</v>
      </c>
      <c r="H35" s="416"/>
    </row>
    <row r="36" spans="1:8" s="199" customFormat="1" ht="21.75" customHeight="1">
      <c r="A36" s="475"/>
      <c r="B36" s="477"/>
      <c r="C36" s="490"/>
      <c r="D36" s="185">
        <v>2</v>
      </c>
      <c r="E36" s="160" t="s">
        <v>458</v>
      </c>
      <c r="F36" s="161" t="s">
        <v>459</v>
      </c>
      <c r="G36" s="417" t="s">
        <v>460</v>
      </c>
      <c r="H36" s="149"/>
    </row>
    <row r="37" spans="1:8" s="199" customFormat="1" ht="21.75" customHeight="1">
      <c r="A37" s="475"/>
      <c r="B37" s="477"/>
      <c r="C37" s="491"/>
      <c r="D37" s="185">
        <v>3</v>
      </c>
      <c r="E37" s="160" t="s">
        <v>461</v>
      </c>
      <c r="F37" s="161" t="s">
        <v>459</v>
      </c>
      <c r="G37" s="417" t="s">
        <v>460</v>
      </c>
      <c r="H37" s="149"/>
    </row>
    <row r="38" spans="1:8" s="199" customFormat="1" ht="19.5" customHeight="1">
      <c r="A38" s="475"/>
      <c r="B38" s="477"/>
      <c r="C38" s="482" t="s">
        <v>462</v>
      </c>
      <c r="D38" s="184">
        <v>1</v>
      </c>
      <c r="E38" s="152" t="s">
        <v>463</v>
      </c>
      <c r="F38" s="145" t="s">
        <v>464</v>
      </c>
      <c r="G38" s="416" t="s">
        <v>465</v>
      </c>
      <c r="H38" s="146"/>
    </row>
    <row r="39" spans="1:8" s="199" customFormat="1" ht="19.5" customHeight="1">
      <c r="A39" s="475"/>
      <c r="B39" s="477"/>
      <c r="C39" s="483"/>
      <c r="D39" s="184">
        <v>2</v>
      </c>
      <c r="E39" s="162" t="s">
        <v>466</v>
      </c>
      <c r="F39" s="157" t="s">
        <v>464</v>
      </c>
      <c r="G39" s="420" t="s">
        <v>467</v>
      </c>
      <c r="H39" s="205"/>
    </row>
    <row r="40" spans="1:8" s="199" customFormat="1" ht="21.75" customHeight="1">
      <c r="A40" s="475"/>
      <c r="B40" s="477"/>
      <c r="C40" s="483"/>
      <c r="D40" s="184">
        <v>3</v>
      </c>
      <c r="E40" s="147" t="s">
        <v>468</v>
      </c>
      <c r="F40" s="157" t="s">
        <v>464</v>
      </c>
      <c r="G40" s="417" t="s">
        <v>469</v>
      </c>
      <c r="H40" s="417"/>
    </row>
    <row r="41" spans="1:8" s="199" customFormat="1" ht="21.75" customHeight="1">
      <c r="A41" s="475"/>
      <c r="B41" s="477"/>
      <c r="C41" s="483"/>
      <c r="D41" s="184">
        <v>4</v>
      </c>
      <c r="E41" s="147" t="s">
        <v>470</v>
      </c>
      <c r="F41" s="157" t="s">
        <v>464</v>
      </c>
      <c r="G41" s="417" t="s">
        <v>469</v>
      </c>
      <c r="H41" s="149"/>
    </row>
    <row r="42" spans="1:8" s="199" customFormat="1" ht="21.75" customHeight="1">
      <c r="A42" s="475"/>
      <c r="B42" s="477"/>
      <c r="C42" s="483"/>
      <c r="D42" s="184">
        <v>5</v>
      </c>
      <c r="E42" s="147" t="s">
        <v>471</v>
      </c>
      <c r="F42" s="157" t="s">
        <v>464</v>
      </c>
      <c r="G42" s="417" t="s">
        <v>469</v>
      </c>
      <c r="H42" s="149"/>
    </row>
    <row r="43" spans="1:8" s="199" customFormat="1" ht="21" customHeight="1">
      <c r="A43" s="475"/>
      <c r="B43" s="477"/>
      <c r="C43" s="483"/>
      <c r="D43" s="184">
        <v>6</v>
      </c>
      <c r="E43" s="147" t="s">
        <v>472</v>
      </c>
      <c r="F43" s="157" t="s">
        <v>464</v>
      </c>
      <c r="G43" s="417" t="s">
        <v>469</v>
      </c>
      <c r="H43" s="149"/>
    </row>
    <row r="44" spans="1:8" s="199" customFormat="1" ht="21" customHeight="1">
      <c r="A44" s="475"/>
      <c r="B44" s="477"/>
      <c r="C44" s="483"/>
      <c r="D44" s="184">
        <v>7</v>
      </c>
      <c r="E44" s="147" t="s">
        <v>473</v>
      </c>
      <c r="F44" s="157" t="s">
        <v>464</v>
      </c>
      <c r="G44" s="417" t="s">
        <v>469</v>
      </c>
      <c r="H44" s="149"/>
    </row>
    <row r="45" spans="1:8" s="199" customFormat="1" ht="21" customHeight="1">
      <c r="A45" s="475"/>
      <c r="B45" s="477"/>
      <c r="C45" s="483"/>
      <c r="D45" s="184">
        <v>8</v>
      </c>
      <c r="E45" s="147" t="s">
        <v>342</v>
      </c>
      <c r="F45" s="157" t="s">
        <v>464</v>
      </c>
      <c r="G45" s="417" t="s">
        <v>469</v>
      </c>
      <c r="H45" s="417"/>
    </row>
    <row r="46" spans="1:8" s="199" customFormat="1" ht="21.75" customHeight="1">
      <c r="A46" s="475"/>
      <c r="B46" s="477"/>
      <c r="C46" s="483"/>
      <c r="D46" s="184">
        <v>9</v>
      </c>
      <c r="E46" s="147" t="s">
        <v>474</v>
      </c>
      <c r="F46" s="157" t="s">
        <v>464</v>
      </c>
      <c r="G46" s="417" t="s">
        <v>469</v>
      </c>
      <c r="H46" s="417"/>
    </row>
    <row r="47" spans="1:8" s="199" customFormat="1" ht="19.5" customHeight="1">
      <c r="A47" s="475"/>
      <c r="B47" s="477"/>
      <c r="C47" s="483"/>
      <c r="D47" s="184">
        <v>10</v>
      </c>
      <c r="E47" s="147" t="s">
        <v>475</v>
      </c>
      <c r="F47" s="157" t="s">
        <v>464</v>
      </c>
      <c r="G47" s="417" t="s">
        <v>469</v>
      </c>
      <c r="H47" s="149"/>
    </row>
    <row r="48" spans="1:8">
      <c r="A48" s="475"/>
      <c r="B48" s="477"/>
      <c r="C48" s="483"/>
      <c r="D48" s="184">
        <v>11</v>
      </c>
      <c r="E48" s="147" t="s">
        <v>476</v>
      </c>
      <c r="F48" s="157" t="s">
        <v>464</v>
      </c>
      <c r="G48" s="417" t="s">
        <v>469</v>
      </c>
      <c r="H48" s="149"/>
    </row>
    <row r="49" spans="1:8">
      <c r="A49" s="475"/>
      <c r="B49" s="477"/>
      <c r="C49" s="483"/>
      <c r="D49" s="184">
        <v>12</v>
      </c>
      <c r="E49" s="147" t="s">
        <v>341</v>
      </c>
      <c r="F49" s="157" t="s">
        <v>464</v>
      </c>
      <c r="G49" s="417" t="s">
        <v>469</v>
      </c>
      <c r="H49" s="149"/>
    </row>
    <row r="50" spans="1:8">
      <c r="A50" s="475"/>
      <c r="B50" s="477"/>
      <c r="C50" s="483"/>
      <c r="D50" s="184">
        <v>13</v>
      </c>
      <c r="E50" s="147" t="s">
        <v>477</v>
      </c>
      <c r="F50" s="157" t="s">
        <v>464</v>
      </c>
      <c r="G50" s="417" t="s">
        <v>469</v>
      </c>
      <c r="H50" s="163"/>
    </row>
    <row r="51" spans="1:8">
      <c r="A51" s="475"/>
      <c r="B51" s="477"/>
      <c r="C51" s="483"/>
      <c r="D51" s="184">
        <v>14</v>
      </c>
      <c r="E51" s="147" t="s">
        <v>366</v>
      </c>
      <c r="F51" s="157" t="s">
        <v>464</v>
      </c>
      <c r="G51" s="417" t="s">
        <v>469</v>
      </c>
      <c r="H51" s="149"/>
    </row>
    <row r="52" spans="1:8" s="199" customFormat="1" ht="18" customHeight="1">
      <c r="A52" s="475"/>
      <c r="B52" s="477"/>
      <c r="C52" s="484"/>
      <c r="D52" s="184">
        <v>15</v>
      </c>
      <c r="E52" s="160" t="s">
        <v>478</v>
      </c>
      <c r="F52" s="157" t="s">
        <v>464</v>
      </c>
      <c r="G52" s="417" t="s">
        <v>469</v>
      </c>
      <c r="H52" s="138"/>
    </row>
    <row r="53" spans="1:8" s="199" customFormat="1" ht="18" customHeight="1">
      <c r="A53" s="475"/>
      <c r="B53" s="477"/>
      <c r="C53" s="431"/>
      <c r="D53" s="184">
        <v>15</v>
      </c>
      <c r="E53" s="160" t="s">
        <v>558</v>
      </c>
      <c r="F53" s="157" t="s">
        <v>464</v>
      </c>
      <c r="G53" s="417" t="s">
        <v>469</v>
      </c>
      <c r="H53" s="138"/>
    </row>
    <row r="54" spans="1:8" s="199" customFormat="1" ht="19.5" customHeight="1">
      <c r="A54" s="475"/>
      <c r="B54" s="477"/>
      <c r="C54" s="479" t="s">
        <v>479</v>
      </c>
      <c r="D54" s="164"/>
      <c r="E54" s="191" t="s">
        <v>480</v>
      </c>
      <c r="F54" s="165"/>
      <c r="G54" s="419" t="s">
        <v>482</v>
      </c>
      <c r="H54" s="156"/>
    </row>
    <row r="55" spans="1:8" s="199" customFormat="1" ht="19.5" customHeight="1">
      <c r="A55" s="475"/>
      <c r="B55" s="477"/>
      <c r="C55" s="479"/>
      <c r="D55" s="164">
        <v>1</v>
      </c>
      <c r="E55" s="191" t="s">
        <v>483</v>
      </c>
      <c r="F55" s="165"/>
      <c r="G55" s="419" t="s">
        <v>484</v>
      </c>
      <c r="H55" s="156"/>
    </row>
    <row r="56" spans="1:8" ht="18" customHeight="1">
      <c r="A56" s="475"/>
      <c r="B56" s="477"/>
      <c r="C56" s="479"/>
      <c r="D56" s="186">
        <v>2</v>
      </c>
      <c r="E56" s="192" t="s">
        <v>485</v>
      </c>
      <c r="F56" s="166" t="s">
        <v>486</v>
      </c>
      <c r="G56" s="421" t="s">
        <v>487</v>
      </c>
      <c r="H56" s="480" t="s">
        <v>481</v>
      </c>
    </row>
    <row r="57" spans="1:8" s="199" customFormat="1" ht="19.5" customHeight="1">
      <c r="A57" s="475"/>
      <c r="B57" s="477"/>
      <c r="C57" s="479"/>
      <c r="D57" s="178">
        <v>3</v>
      </c>
      <c r="E57" s="193" t="s">
        <v>490</v>
      </c>
      <c r="F57" s="161" t="s">
        <v>486</v>
      </c>
      <c r="G57" s="417" t="s">
        <v>489</v>
      </c>
      <c r="H57" s="480"/>
    </row>
    <row r="58" spans="1:8" s="199" customFormat="1" ht="19.5" customHeight="1">
      <c r="A58" s="475"/>
      <c r="B58" s="477"/>
      <c r="C58" s="479"/>
      <c r="D58" s="185">
        <v>4</v>
      </c>
      <c r="E58" s="193" t="s">
        <v>488</v>
      </c>
      <c r="F58" s="161" t="s">
        <v>486</v>
      </c>
      <c r="G58" s="417" t="s">
        <v>489</v>
      </c>
      <c r="H58" s="480"/>
    </row>
    <row r="59" spans="1:8" s="199" customFormat="1" ht="19.5" customHeight="1">
      <c r="A59" s="475"/>
      <c r="B59" s="477"/>
      <c r="C59" s="479"/>
      <c r="D59" s="178">
        <v>5</v>
      </c>
      <c r="E59" s="160" t="s">
        <v>491</v>
      </c>
      <c r="F59" s="161" t="s">
        <v>486</v>
      </c>
      <c r="G59" s="417" t="s">
        <v>489</v>
      </c>
      <c r="H59" s="480"/>
    </row>
    <row r="60" spans="1:8" s="199" customFormat="1" ht="19.5" customHeight="1">
      <c r="A60" s="475"/>
      <c r="B60" s="477"/>
      <c r="C60" s="479"/>
      <c r="D60" s="178"/>
      <c r="E60" s="160" t="s">
        <v>897</v>
      </c>
      <c r="F60" s="161" t="s">
        <v>486</v>
      </c>
      <c r="G60" s="417" t="s">
        <v>489</v>
      </c>
      <c r="H60" s="480"/>
    </row>
    <row r="61" spans="1:8" s="199" customFormat="1" ht="19.5" customHeight="1">
      <c r="A61" s="475"/>
      <c r="B61" s="477"/>
      <c r="C61" s="479"/>
      <c r="D61" s="185">
        <v>6</v>
      </c>
      <c r="E61" s="160" t="s">
        <v>492</v>
      </c>
      <c r="F61" s="161" t="s">
        <v>486</v>
      </c>
      <c r="G61" s="417" t="s">
        <v>489</v>
      </c>
      <c r="H61" s="480"/>
    </row>
    <row r="62" spans="1:8" s="199" customFormat="1" ht="19.5" customHeight="1">
      <c r="A62" s="475"/>
      <c r="B62" s="477"/>
      <c r="C62" s="479"/>
      <c r="D62" s="178">
        <v>7</v>
      </c>
      <c r="E62" s="160" t="s">
        <v>493</v>
      </c>
      <c r="F62" s="161" t="s">
        <v>486</v>
      </c>
      <c r="G62" s="417" t="s">
        <v>489</v>
      </c>
      <c r="H62" s="480"/>
    </row>
    <row r="63" spans="1:8" s="199" customFormat="1" ht="18" customHeight="1">
      <c r="A63" s="475"/>
      <c r="B63" s="477"/>
      <c r="C63" s="479"/>
      <c r="D63" s="185">
        <v>8</v>
      </c>
      <c r="E63" s="160" t="s">
        <v>495</v>
      </c>
      <c r="F63" s="161" t="s">
        <v>486</v>
      </c>
      <c r="G63" s="417" t="s">
        <v>489</v>
      </c>
      <c r="H63" s="480"/>
    </row>
    <row r="64" spans="1:8" s="199" customFormat="1" ht="19.5" customHeight="1">
      <c r="A64" s="475"/>
      <c r="B64" s="477"/>
      <c r="C64" s="479"/>
      <c r="D64" s="178">
        <v>9</v>
      </c>
      <c r="E64" s="160" t="s">
        <v>494</v>
      </c>
      <c r="F64" s="161" t="s">
        <v>486</v>
      </c>
      <c r="G64" s="417" t="s">
        <v>489</v>
      </c>
      <c r="H64" s="480"/>
    </row>
    <row r="65" spans="1:8" s="199" customFormat="1" ht="19.5" customHeight="1">
      <c r="A65" s="475"/>
      <c r="B65" s="477"/>
      <c r="C65" s="479"/>
      <c r="D65" s="185">
        <v>10</v>
      </c>
      <c r="E65" s="160" t="s">
        <v>496</v>
      </c>
      <c r="F65" s="161" t="s">
        <v>486</v>
      </c>
      <c r="G65" s="417" t="s">
        <v>489</v>
      </c>
      <c r="H65" s="480"/>
    </row>
    <row r="66" spans="1:8" s="199" customFormat="1" ht="21" customHeight="1">
      <c r="A66" s="475"/>
      <c r="B66" s="477"/>
      <c r="C66" s="479"/>
      <c r="D66" s="178">
        <v>11</v>
      </c>
      <c r="E66" s="160" t="s">
        <v>497</v>
      </c>
      <c r="F66" s="161" t="s">
        <v>486</v>
      </c>
      <c r="G66" s="417" t="s">
        <v>489</v>
      </c>
      <c r="H66" s="480"/>
    </row>
    <row r="67" spans="1:8" s="199" customFormat="1" ht="18.75" customHeight="1">
      <c r="A67" s="475"/>
      <c r="B67" s="477"/>
      <c r="C67" s="479"/>
      <c r="D67" s="185">
        <v>12</v>
      </c>
      <c r="E67" s="160" t="s">
        <v>498</v>
      </c>
      <c r="F67" s="161" t="s">
        <v>486</v>
      </c>
      <c r="G67" s="417" t="s">
        <v>489</v>
      </c>
      <c r="H67" s="480"/>
    </row>
    <row r="68" spans="1:8" ht="18" customHeight="1">
      <c r="A68" s="475"/>
      <c r="B68" s="477"/>
      <c r="C68" s="479"/>
      <c r="D68" s="178">
        <v>13</v>
      </c>
      <c r="E68" s="160" t="s">
        <v>499</v>
      </c>
      <c r="F68" s="161" t="s">
        <v>486</v>
      </c>
      <c r="G68" s="417" t="s">
        <v>489</v>
      </c>
      <c r="H68" s="480"/>
    </row>
    <row r="69" spans="1:8" ht="18" customHeight="1">
      <c r="A69" s="475"/>
      <c r="B69" s="477"/>
      <c r="C69" s="479"/>
      <c r="D69" s="185">
        <v>14</v>
      </c>
      <c r="E69" s="167" t="s">
        <v>500</v>
      </c>
      <c r="F69" s="161" t="s">
        <v>486</v>
      </c>
      <c r="G69" s="417" t="s">
        <v>489</v>
      </c>
      <c r="H69" s="480"/>
    </row>
    <row r="70" spans="1:8" ht="18" customHeight="1">
      <c r="A70" s="475"/>
      <c r="B70" s="477"/>
      <c r="C70" s="479"/>
      <c r="D70" s="178">
        <v>15</v>
      </c>
      <c r="E70" s="167" t="s">
        <v>501</v>
      </c>
      <c r="F70" s="161" t="s">
        <v>486</v>
      </c>
      <c r="G70" s="417" t="s">
        <v>489</v>
      </c>
      <c r="H70" s="480"/>
    </row>
    <row r="71" spans="1:8" ht="18" customHeight="1">
      <c r="A71" s="475"/>
      <c r="B71" s="477"/>
      <c r="C71" s="479"/>
      <c r="D71" s="185">
        <v>16</v>
      </c>
      <c r="E71" s="167" t="s">
        <v>875</v>
      </c>
      <c r="F71" s="161" t="s">
        <v>486</v>
      </c>
      <c r="G71" s="417" t="s">
        <v>489</v>
      </c>
      <c r="H71" s="480"/>
    </row>
    <row r="72" spans="1:8" ht="18" customHeight="1">
      <c r="A72" s="475"/>
      <c r="B72" s="477"/>
      <c r="C72" s="479"/>
      <c r="D72" s="178">
        <v>17</v>
      </c>
      <c r="E72" s="167" t="s">
        <v>503</v>
      </c>
      <c r="F72" s="161" t="s">
        <v>486</v>
      </c>
      <c r="G72" s="417" t="s">
        <v>489</v>
      </c>
      <c r="H72" s="480"/>
    </row>
    <row r="73" spans="1:8" ht="18" customHeight="1">
      <c r="A73" s="475"/>
      <c r="B73" s="477"/>
      <c r="C73" s="479"/>
      <c r="D73" s="185">
        <v>18</v>
      </c>
      <c r="E73" s="167" t="s">
        <v>876</v>
      </c>
      <c r="F73" s="161" t="s">
        <v>486</v>
      </c>
      <c r="G73" s="417" t="s">
        <v>489</v>
      </c>
      <c r="H73" s="480"/>
    </row>
    <row r="74" spans="1:8" ht="18" customHeight="1">
      <c r="A74" s="475"/>
      <c r="B74" s="477"/>
      <c r="C74" s="479"/>
      <c r="D74" s="178">
        <v>19</v>
      </c>
      <c r="E74" s="167" t="s">
        <v>504</v>
      </c>
      <c r="F74" s="161" t="s">
        <v>486</v>
      </c>
      <c r="G74" s="417" t="s">
        <v>489</v>
      </c>
      <c r="H74" s="480"/>
    </row>
    <row r="75" spans="1:8" ht="18" customHeight="1">
      <c r="A75" s="475"/>
      <c r="B75" s="477"/>
      <c r="C75" s="479"/>
      <c r="D75" s="185">
        <v>20</v>
      </c>
      <c r="E75" s="167" t="s">
        <v>877</v>
      </c>
      <c r="F75" s="161" t="s">
        <v>486</v>
      </c>
      <c r="G75" s="417" t="s">
        <v>489</v>
      </c>
      <c r="H75" s="480"/>
    </row>
    <row r="76" spans="1:8" ht="18" customHeight="1">
      <c r="A76" s="475"/>
      <c r="B76" s="477"/>
      <c r="C76" s="479"/>
      <c r="D76" s="178">
        <v>21</v>
      </c>
      <c r="E76" s="167" t="s">
        <v>506</v>
      </c>
      <c r="F76" s="161" t="s">
        <v>486</v>
      </c>
      <c r="G76" s="417" t="s">
        <v>489</v>
      </c>
      <c r="H76" s="480"/>
    </row>
    <row r="77" spans="1:8" ht="18" customHeight="1">
      <c r="A77" s="475"/>
      <c r="B77" s="477"/>
      <c r="C77" s="479"/>
      <c r="D77" s="185">
        <v>22</v>
      </c>
      <c r="E77" s="167" t="s">
        <v>505</v>
      </c>
      <c r="F77" s="161" t="s">
        <v>486</v>
      </c>
      <c r="G77" s="417" t="s">
        <v>489</v>
      </c>
      <c r="H77" s="480"/>
    </row>
    <row r="78" spans="1:8" ht="18" customHeight="1">
      <c r="A78" s="475"/>
      <c r="B78" s="477"/>
      <c r="C78" s="479"/>
      <c r="D78" s="178">
        <v>23</v>
      </c>
      <c r="E78" s="167" t="s">
        <v>507</v>
      </c>
      <c r="F78" s="161" t="s">
        <v>486</v>
      </c>
      <c r="G78" s="417" t="s">
        <v>489</v>
      </c>
      <c r="H78" s="480"/>
    </row>
    <row r="79" spans="1:8" ht="18" customHeight="1">
      <c r="A79" s="475"/>
      <c r="B79" s="477"/>
      <c r="C79" s="479"/>
      <c r="D79" s="185">
        <v>24</v>
      </c>
      <c r="E79" s="167" t="s">
        <v>605</v>
      </c>
      <c r="F79" s="161" t="s">
        <v>486</v>
      </c>
      <c r="G79" s="417" t="s">
        <v>489</v>
      </c>
      <c r="H79" s="480"/>
    </row>
    <row r="80" spans="1:8" s="199" customFormat="1" ht="25.5" customHeight="1">
      <c r="A80" s="475"/>
      <c r="B80" s="477"/>
      <c r="C80" s="479"/>
      <c r="D80" s="185">
        <v>25</v>
      </c>
      <c r="E80" s="167" t="s">
        <v>878</v>
      </c>
      <c r="F80" s="161" t="s">
        <v>486</v>
      </c>
      <c r="G80" s="417" t="s">
        <v>489</v>
      </c>
      <c r="H80" s="480"/>
    </row>
    <row r="81" spans="1:8" s="199" customFormat="1" ht="25.5" customHeight="1">
      <c r="A81" s="475"/>
      <c r="B81" s="477"/>
      <c r="C81" s="479"/>
      <c r="D81" s="185">
        <v>26</v>
      </c>
      <c r="E81" s="167" t="s">
        <v>606</v>
      </c>
      <c r="F81" s="161" t="s">
        <v>486</v>
      </c>
      <c r="G81" s="417" t="s">
        <v>489</v>
      </c>
      <c r="H81" s="480"/>
    </row>
    <row r="82" spans="1:8" s="199" customFormat="1" ht="25.5" customHeight="1">
      <c r="A82" s="475"/>
      <c r="B82" s="477"/>
      <c r="C82" s="479"/>
      <c r="D82" s="185">
        <v>27</v>
      </c>
      <c r="E82" s="167" t="s">
        <v>607</v>
      </c>
      <c r="F82" s="161" t="s">
        <v>486</v>
      </c>
      <c r="G82" s="417" t="s">
        <v>489</v>
      </c>
      <c r="H82" s="480"/>
    </row>
    <row r="83" spans="1:8" s="199" customFormat="1" ht="25.5" customHeight="1">
      <c r="A83" s="475"/>
      <c r="B83" s="477"/>
      <c r="C83" s="479"/>
      <c r="D83" s="185">
        <v>28</v>
      </c>
      <c r="E83" s="167" t="s">
        <v>898</v>
      </c>
      <c r="F83" s="161" t="s">
        <v>486</v>
      </c>
      <c r="G83" s="417" t="s">
        <v>489</v>
      </c>
      <c r="H83" s="480"/>
    </row>
    <row r="84" spans="1:8" s="199" customFormat="1" ht="25.5" customHeight="1">
      <c r="A84" s="475"/>
      <c r="B84" s="477"/>
      <c r="C84" s="479"/>
      <c r="D84" s="185">
        <v>29</v>
      </c>
      <c r="E84" s="167" t="s">
        <v>879</v>
      </c>
      <c r="F84" s="161" t="s">
        <v>486</v>
      </c>
      <c r="G84" s="417" t="s">
        <v>489</v>
      </c>
      <c r="H84" s="480"/>
    </row>
    <row r="85" spans="1:8" s="199" customFormat="1" ht="25.5" customHeight="1">
      <c r="A85" s="475"/>
      <c r="B85" s="477"/>
      <c r="C85" s="479"/>
      <c r="D85" s="185">
        <v>30</v>
      </c>
      <c r="E85" s="167" t="s">
        <v>899</v>
      </c>
      <c r="F85" s="161" t="s">
        <v>486</v>
      </c>
      <c r="G85" s="417" t="s">
        <v>489</v>
      </c>
      <c r="H85" s="480"/>
    </row>
    <row r="86" spans="1:8" s="199" customFormat="1" ht="25.5" customHeight="1">
      <c r="A86" s="475"/>
      <c r="B86" s="477"/>
      <c r="C86" s="479"/>
      <c r="D86" s="185">
        <v>31</v>
      </c>
      <c r="E86" s="167" t="s">
        <v>900</v>
      </c>
      <c r="F86" s="161" t="s">
        <v>486</v>
      </c>
      <c r="G86" s="417" t="s">
        <v>489</v>
      </c>
      <c r="H86" s="480"/>
    </row>
    <row r="87" spans="1:8" s="199" customFormat="1" ht="25.5" customHeight="1">
      <c r="A87" s="475"/>
      <c r="B87" s="477"/>
      <c r="C87" s="479"/>
      <c r="D87" s="185">
        <v>32</v>
      </c>
      <c r="E87" s="167" t="s">
        <v>901</v>
      </c>
      <c r="F87" s="161" t="s">
        <v>486</v>
      </c>
      <c r="G87" s="417" t="s">
        <v>489</v>
      </c>
      <c r="H87" s="480"/>
    </row>
    <row r="88" spans="1:8" s="199" customFormat="1" ht="25.5" customHeight="1">
      <c r="A88" s="475"/>
      <c r="B88" s="477"/>
      <c r="C88" s="479"/>
      <c r="D88" s="185"/>
      <c r="E88" s="167" t="s">
        <v>902</v>
      </c>
      <c r="F88" s="161" t="s">
        <v>486</v>
      </c>
      <c r="G88" s="417" t="s">
        <v>489</v>
      </c>
      <c r="H88" s="480"/>
    </row>
    <row r="89" spans="1:8" s="199" customFormat="1" ht="19.5" customHeight="1">
      <c r="A89" s="475"/>
      <c r="B89" s="477"/>
      <c r="C89" s="479"/>
      <c r="D89" s="185">
        <v>26</v>
      </c>
      <c r="E89" s="167" t="s">
        <v>502</v>
      </c>
      <c r="F89" s="161" t="s">
        <v>486</v>
      </c>
      <c r="G89" s="417" t="s">
        <v>509</v>
      </c>
      <c r="H89" s="480"/>
    </row>
    <row r="90" spans="1:8" s="199" customFormat="1" ht="19.5" customHeight="1">
      <c r="A90" s="475"/>
      <c r="B90" s="477"/>
      <c r="C90" s="479"/>
      <c r="D90" s="185">
        <v>27</v>
      </c>
      <c r="E90" s="167" t="s">
        <v>506</v>
      </c>
      <c r="F90" s="161" t="s">
        <v>486</v>
      </c>
      <c r="G90" s="417" t="s">
        <v>511</v>
      </c>
      <c r="H90" s="480"/>
    </row>
    <row r="91" spans="1:8" s="199" customFormat="1" ht="19.5" customHeight="1">
      <c r="A91" s="475"/>
      <c r="B91" s="477"/>
      <c r="C91" s="479"/>
      <c r="D91" s="185">
        <v>28</v>
      </c>
      <c r="E91" s="167" t="s">
        <v>607</v>
      </c>
      <c r="F91" s="161" t="s">
        <v>486</v>
      </c>
      <c r="G91" s="417" t="s">
        <v>511</v>
      </c>
      <c r="H91" s="480"/>
    </row>
    <row r="92" spans="1:8" s="199" customFormat="1" ht="21" customHeight="1">
      <c r="A92" s="475"/>
      <c r="B92" s="477"/>
      <c r="C92" s="479"/>
      <c r="D92" s="185">
        <v>29</v>
      </c>
      <c r="E92" s="167" t="s">
        <v>903</v>
      </c>
      <c r="F92" s="161" t="s">
        <v>486</v>
      </c>
      <c r="G92" s="417" t="s">
        <v>514</v>
      </c>
      <c r="H92" s="422"/>
    </row>
    <row r="93" spans="1:8" s="199" customFormat="1" ht="21" customHeight="1">
      <c r="A93" s="475"/>
      <c r="B93" s="477"/>
      <c r="C93" s="479"/>
      <c r="D93" s="187"/>
      <c r="E93" s="167" t="s">
        <v>507</v>
      </c>
      <c r="F93" s="170"/>
      <c r="G93" s="422"/>
      <c r="H93" s="480" t="s">
        <v>515</v>
      </c>
    </row>
    <row r="94" spans="1:8" s="199" customFormat="1" ht="21.75" customHeight="1">
      <c r="A94" s="475"/>
      <c r="B94" s="477"/>
      <c r="C94" s="479"/>
      <c r="D94" s="188">
        <v>1</v>
      </c>
      <c r="E94" s="193" t="s">
        <v>508</v>
      </c>
      <c r="F94" s="148" t="s">
        <v>517</v>
      </c>
      <c r="G94" s="417" t="s">
        <v>518</v>
      </c>
      <c r="H94" s="480"/>
    </row>
    <row r="95" spans="1:8" s="199" customFormat="1" ht="21.75" customHeight="1">
      <c r="A95" s="475"/>
      <c r="B95" s="477"/>
      <c r="C95" s="479"/>
      <c r="D95" s="188">
        <v>2</v>
      </c>
      <c r="E95" s="147" t="s">
        <v>510</v>
      </c>
      <c r="F95" s="148" t="s">
        <v>517</v>
      </c>
      <c r="G95" s="417" t="s">
        <v>520</v>
      </c>
      <c r="H95" s="480"/>
    </row>
    <row r="96" spans="1:8" s="199" customFormat="1" ht="21" customHeight="1">
      <c r="A96" s="475"/>
      <c r="B96" s="477"/>
      <c r="C96" s="479"/>
      <c r="D96" s="188">
        <v>3</v>
      </c>
      <c r="E96" s="168" t="s">
        <v>512</v>
      </c>
      <c r="F96" s="148" t="s">
        <v>517</v>
      </c>
      <c r="G96" s="417" t="s">
        <v>520</v>
      </c>
      <c r="H96" s="480"/>
    </row>
    <row r="97" spans="1:8" s="199" customFormat="1" ht="18.75" customHeight="1">
      <c r="A97" s="475"/>
      <c r="B97" s="477"/>
      <c r="C97" s="479"/>
      <c r="D97" s="188">
        <v>4</v>
      </c>
      <c r="E97" s="160" t="s">
        <v>513</v>
      </c>
      <c r="F97" s="148" t="s">
        <v>517</v>
      </c>
      <c r="G97" s="417" t="s">
        <v>520</v>
      </c>
      <c r="H97" s="480"/>
    </row>
    <row r="98" spans="1:8" s="199" customFormat="1" ht="21.75" customHeight="1">
      <c r="A98" s="475"/>
      <c r="B98" s="477"/>
      <c r="C98" s="479"/>
      <c r="D98" s="188">
        <v>5</v>
      </c>
      <c r="E98" s="169"/>
      <c r="F98" s="148" t="s">
        <v>517</v>
      </c>
      <c r="G98" s="417" t="s">
        <v>520</v>
      </c>
      <c r="H98" s="480"/>
    </row>
    <row r="99" spans="1:8" s="199" customFormat="1">
      <c r="A99" s="475"/>
      <c r="B99" s="477"/>
      <c r="C99" s="479"/>
      <c r="D99" s="188">
        <v>6</v>
      </c>
      <c r="E99" s="147" t="s">
        <v>516</v>
      </c>
      <c r="F99" s="148" t="s">
        <v>517</v>
      </c>
      <c r="G99" s="417" t="s">
        <v>520</v>
      </c>
      <c r="H99" s="480"/>
    </row>
    <row r="100" spans="1:8" s="199" customFormat="1" ht="19.5" customHeight="1">
      <c r="A100" s="475"/>
      <c r="B100" s="477"/>
      <c r="C100" s="479"/>
      <c r="D100" s="188">
        <v>7</v>
      </c>
      <c r="E100" s="147" t="s">
        <v>519</v>
      </c>
      <c r="F100" s="148" t="s">
        <v>517</v>
      </c>
      <c r="G100" s="417" t="s">
        <v>520</v>
      </c>
      <c r="H100" s="480"/>
    </row>
    <row r="101" spans="1:8" ht="18" customHeight="1">
      <c r="A101" s="475"/>
      <c r="B101" s="477"/>
      <c r="C101" s="479"/>
      <c r="D101" s="188">
        <v>8</v>
      </c>
      <c r="E101" s="147" t="s">
        <v>521</v>
      </c>
      <c r="F101" s="148" t="s">
        <v>517</v>
      </c>
      <c r="G101" s="417" t="s">
        <v>520</v>
      </c>
      <c r="H101" s="480"/>
    </row>
    <row r="102" spans="1:8" s="199" customFormat="1" ht="21" customHeight="1">
      <c r="A102" s="475"/>
      <c r="B102" s="477"/>
      <c r="C102" s="479"/>
      <c r="D102" s="188">
        <v>9</v>
      </c>
      <c r="E102" s="147" t="s">
        <v>522</v>
      </c>
      <c r="F102" s="148" t="s">
        <v>517</v>
      </c>
      <c r="G102" s="417" t="s">
        <v>520</v>
      </c>
      <c r="H102" s="480"/>
    </row>
    <row r="103" spans="1:8" s="199" customFormat="1" ht="19.5" customHeight="1">
      <c r="A103" s="475"/>
      <c r="B103" s="477"/>
      <c r="C103" s="479"/>
      <c r="D103" s="188">
        <v>10</v>
      </c>
      <c r="E103" s="147" t="s">
        <v>523</v>
      </c>
      <c r="F103" s="148" t="s">
        <v>517</v>
      </c>
      <c r="G103" s="417" t="s">
        <v>520</v>
      </c>
      <c r="H103" s="480"/>
    </row>
    <row r="104" spans="1:8" s="202" customFormat="1" ht="19.5" customHeight="1">
      <c r="A104" s="475"/>
      <c r="B104" s="477"/>
      <c r="C104" s="479"/>
      <c r="D104" s="188">
        <v>11</v>
      </c>
      <c r="E104" s="147" t="s">
        <v>524</v>
      </c>
      <c r="F104" s="148" t="s">
        <v>517</v>
      </c>
      <c r="G104" s="417" t="s">
        <v>530</v>
      </c>
      <c r="H104" s="480"/>
    </row>
    <row r="105" spans="1:8" s="199" customFormat="1" ht="21" customHeight="1">
      <c r="A105" s="475"/>
      <c r="B105" s="477"/>
      <c r="C105" s="479"/>
      <c r="D105" s="188">
        <v>12</v>
      </c>
      <c r="E105" s="193" t="s">
        <v>525</v>
      </c>
      <c r="F105" s="148" t="s">
        <v>517</v>
      </c>
      <c r="G105" s="417" t="s">
        <v>532</v>
      </c>
      <c r="H105" s="480"/>
    </row>
    <row r="106" spans="1:8" s="199" customFormat="1" ht="21" customHeight="1">
      <c r="A106" s="475"/>
      <c r="B106" s="477"/>
      <c r="C106" s="479"/>
      <c r="D106" s="188">
        <v>13</v>
      </c>
      <c r="E106" s="167" t="s">
        <v>526</v>
      </c>
      <c r="F106" s="148" t="s">
        <v>517</v>
      </c>
      <c r="G106" s="417" t="s">
        <v>532</v>
      </c>
      <c r="H106" s="480"/>
    </row>
    <row r="107" spans="1:8" s="199" customFormat="1" ht="21" customHeight="1">
      <c r="A107" s="475"/>
      <c r="B107" s="477"/>
      <c r="C107" s="479"/>
      <c r="D107" s="188">
        <v>14</v>
      </c>
      <c r="E107" s="193" t="s">
        <v>527</v>
      </c>
      <c r="F107" s="148" t="s">
        <v>517</v>
      </c>
      <c r="G107" s="417" t="s">
        <v>535</v>
      </c>
      <c r="H107" s="480"/>
    </row>
    <row r="108" spans="1:8" s="199" customFormat="1" ht="19.5" customHeight="1">
      <c r="A108" s="475"/>
      <c r="B108" s="477"/>
      <c r="C108" s="479"/>
      <c r="D108" s="188">
        <v>15</v>
      </c>
      <c r="E108" s="160" t="s">
        <v>528</v>
      </c>
      <c r="F108" s="148" t="s">
        <v>517</v>
      </c>
      <c r="G108" s="417" t="s">
        <v>535</v>
      </c>
      <c r="H108" s="480"/>
    </row>
    <row r="109" spans="1:8" s="199" customFormat="1" ht="19.5" customHeight="1">
      <c r="A109" s="475"/>
      <c r="B109" s="477"/>
      <c r="C109" s="479"/>
      <c r="D109" s="188">
        <v>16</v>
      </c>
      <c r="E109" s="168" t="s">
        <v>529</v>
      </c>
      <c r="F109" s="148" t="s">
        <v>517</v>
      </c>
      <c r="G109" s="417" t="s">
        <v>535</v>
      </c>
      <c r="H109" s="480"/>
    </row>
    <row r="110" spans="1:8" s="202" customFormat="1" ht="19.5" customHeight="1">
      <c r="A110" s="475"/>
      <c r="B110" s="477"/>
      <c r="C110" s="479"/>
      <c r="D110" s="188">
        <v>17</v>
      </c>
      <c r="E110" s="168" t="s">
        <v>531</v>
      </c>
      <c r="F110" s="148" t="s">
        <v>517</v>
      </c>
      <c r="G110" s="417" t="s">
        <v>535</v>
      </c>
      <c r="H110" s="480"/>
    </row>
    <row r="111" spans="1:8" s="202" customFormat="1" ht="19.5" customHeight="1">
      <c r="A111" s="475"/>
      <c r="B111" s="477"/>
      <c r="C111" s="479"/>
      <c r="D111" s="188">
        <v>18</v>
      </c>
      <c r="E111" s="168" t="s">
        <v>533</v>
      </c>
      <c r="F111" s="148" t="s">
        <v>517</v>
      </c>
      <c r="G111" s="417" t="s">
        <v>535</v>
      </c>
      <c r="H111" s="423"/>
    </row>
    <row r="112" spans="1:8" s="202" customFormat="1" ht="44.25" customHeight="1">
      <c r="A112" s="475"/>
      <c r="B112" s="477"/>
      <c r="C112" s="479"/>
      <c r="D112" s="194"/>
      <c r="E112" s="168" t="s">
        <v>534</v>
      </c>
      <c r="F112" s="196"/>
      <c r="G112" s="423"/>
      <c r="H112" s="481" t="s">
        <v>539</v>
      </c>
    </row>
    <row r="113" spans="1:8" s="199" customFormat="1" ht="44.25" customHeight="1">
      <c r="A113" s="475"/>
      <c r="B113" s="477"/>
      <c r="C113" s="479"/>
      <c r="D113" s="172">
        <v>1</v>
      </c>
      <c r="E113" s="147" t="s">
        <v>536</v>
      </c>
      <c r="F113" s="148" t="s">
        <v>541</v>
      </c>
      <c r="G113" s="417" t="s">
        <v>532</v>
      </c>
      <c r="H113" s="481"/>
    </row>
    <row r="114" spans="1:8" s="202" customFormat="1" ht="33.75" customHeight="1">
      <c r="A114" s="475"/>
      <c r="B114" s="477"/>
      <c r="C114" s="479"/>
      <c r="D114" s="172">
        <v>2</v>
      </c>
      <c r="E114" s="147" t="s">
        <v>537</v>
      </c>
      <c r="F114" s="148" t="s">
        <v>541</v>
      </c>
      <c r="G114" s="417" t="s">
        <v>532</v>
      </c>
      <c r="H114" s="481"/>
    </row>
    <row r="115" spans="1:8" s="199" customFormat="1" ht="30" customHeight="1">
      <c r="A115" s="475"/>
      <c r="B115" s="477"/>
      <c r="C115" s="479"/>
      <c r="D115" s="172">
        <v>3</v>
      </c>
      <c r="E115" s="171" t="s">
        <v>538</v>
      </c>
      <c r="F115" s="148" t="s">
        <v>541</v>
      </c>
      <c r="G115" s="417" t="s">
        <v>532</v>
      </c>
      <c r="H115" s="481"/>
    </row>
    <row r="116" spans="1:8" s="199" customFormat="1" ht="19.5" customHeight="1">
      <c r="A116" s="475"/>
      <c r="B116" s="477"/>
      <c r="C116" s="432"/>
      <c r="D116" s="172">
        <v>4</v>
      </c>
      <c r="E116" s="167" t="s">
        <v>343</v>
      </c>
      <c r="F116" s="148" t="s">
        <v>541</v>
      </c>
      <c r="G116" s="417" t="s">
        <v>532</v>
      </c>
      <c r="H116" s="481"/>
    </row>
    <row r="117" spans="1:8" s="199" customFormat="1" ht="19.5" customHeight="1">
      <c r="A117" s="475"/>
      <c r="B117" s="477"/>
      <c r="C117" s="432"/>
      <c r="D117" s="172">
        <v>5</v>
      </c>
      <c r="E117" s="195"/>
      <c r="F117" s="148" t="s">
        <v>517</v>
      </c>
      <c r="G117" s="417" t="s">
        <v>520</v>
      </c>
      <c r="H117" s="481"/>
    </row>
    <row r="118" spans="1:8" s="199" customFormat="1" ht="19.5" customHeight="1">
      <c r="A118" s="475"/>
      <c r="B118" s="477"/>
      <c r="C118" s="432"/>
      <c r="D118" s="172">
        <v>6</v>
      </c>
      <c r="E118" s="160" t="s">
        <v>540</v>
      </c>
      <c r="F118" s="148" t="s">
        <v>517</v>
      </c>
      <c r="G118" s="417" t="s">
        <v>520</v>
      </c>
      <c r="H118" s="481"/>
    </row>
    <row r="119" spans="1:8" s="199" customFormat="1" ht="30.75" customHeight="1">
      <c r="A119" s="475"/>
      <c r="B119" s="477"/>
      <c r="C119" s="432"/>
      <c r="D119" s="172">
        <v>7</v>
      </c>
      <c r="E119" s="168" t="s">
        <v>542</v>
      </c>
      <c r="F119" s="148" t="s">
        <v>517</v>
      </c>
      <c r="G119" s="417" t="s">
        <v>520</v>
      </c>
      <c r="H119" s="481"/>
    </row>
    <row r="120" spans="1:8" ht="66">
      <c r="A120" s="475"/>
      <c r="B120" s="478"/>
      <c r="C120" s="173" t="s">
        <v>549</v>
      </c>
      <c r="D120" s="172">
        <v>8</v>
      </c>
      <c r="E120" s="168" t="s">
        <v>543</v>
      </c>
      <c r="F120" s="148" t="s">
        <v>541</v>
      </c>
      <c r="G120" s="424" t="s">
        <v>567</v>
      </c>
      <c r="H120" s="174"/>
    </row>
    <row r="121" spans="1:8" ht="30">
      <c r="D121" s="189">
        <v>1</v>
      </c>
      <c r="E121" s="160" t="s">
        <v>544</v>
      </c>
      <c r="F121" s="153" t="s">
        <v>551</v>
      </c>
      <c r="G121" s="419" t="s">
        <v>552</v>
      </c>
    </row>
    <row r="122" spans="1:8">
      <c r="E122" s="147" t="s">
        <v>545</v>
      </c>
    </row>
    <row r="123" spans="1:8">
      <c r="E123" s="147" t="s">
        <v>546</v>
      </c>
    </row>
    <row r="124" spans="1:8">
      <c r="E124" s="147" t="s">
        <v>547</v>
      </c>
    </row>
    <row r="125" spans="1:8">
      <c r="E125" s="160" t="s">
        <v>548</v>
      </c>
    </row>
    <row r="126" spans="1:8">
      <c r="E126" s="152" t="s">
        <v>550</v>
      </c>
    </row>
  </sheetData>
  <sheetProtection password="ECDB" sheet="1" objects="1" scenarios="1"/>
  <mergeCells count="22">
    <mergeCell ref="B1:G1"/>
    <mergeCell ref="A2:H2"/>
    <mergeCell ref="A4:E4"/>
    <mergeCell ref="F4:H4"/>
    <mergeCell ref="A5:A17"/>
    <mergeCell ref="B5:B15"/>
    <mergeCell ref="C6:C10"/>
    <mergeCell ref="C11:C15"/>
    <mergeCell ref="A18:A120"/>
    <mergeCell ref="B34:B120"/>
    <mergeCell ref="C54:C115"/>
    <mergeCell ref="H56:H91"/>
    <mergeCell ref="H93:H110"/>
    <mergeCell ref="H112:H119"/>
    <mergeCell ref="C38:C52"/>
    <mergeCell ref="C25:C26"/>
    <mergeCell ref="B27:B33"/>
    <mergeCell ref="C27:C28"/>
    <mergeCell ref="C29:C33"/>
    <mergeCell ref="C35:C37"/>
    <mergeCell ref="B18:B25"/>
    <mergeCell ref="C18:C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77"/>
  <sheetViews>
    <sheetView topLeftCell="D1" workbookViewId="0">
      <selection activeCell="E62" sqref="E62"/>
    </sheetView>
  </sheetViews>
  <sheetFormatPr defaultColWidth="10.4140625" defaultRowHeight="14"/>
  <cols>
    <col min="1" max="1" width="5.4140625" style="76" bestFit="1" customWidth="1"/>
    <col min="2" max="2" width="12.25" style="76" bestFit="1" customWidth="1"/>
    <col min="3" max="3" width="14.4140625" style="76" customWidth="1"/>
    <col min="4" max="4" width="68.25" style="76" bestFit="1" customWidth="1"/>
    <col min="5" max="5" width="42.08203125" style="76" bestFit="1" customWidth="1"/>
    <col min="6" max="6" width="15.25" style="76" bestFit="1" customWidth="1"/>
    <col min="7" max="7" width="24.4140625" style="76" bestFit="1" customWidth="1"/>
    <col min="8" max="10" width="10.4140625" style="76"/>
    <col min="11" max="11" width="15.08203125" style="76" bestFit="1" customWidth="1"/>
    <col min="12" max="16384" width="10.4140625" style="76"/>
  </cols>
  <sheetData>
    <row r="2" spans="1:7">
      <c r="A2" s="74" t="s">
        <v>0</v>
      </c>
      <c r="B2" s="75" t="s">
        <v>284</v>
      </c>
      <c r="C2" s="74" t="s">
        <v>1</v>
      </c>
      <c r="D2" s="75" t="s">
        <v>283</v>
      </c>
      <c r="E2" s="75" t="s">
        <v>282</v>
      </c>
      <c r="F2" s="75" t="s">
        <v>44</v>
      </c>
      <c r="G2" s="75" t="s">
        <v>2</v>
      </c>
    </row>
    <row r="3" spans="1:7" ht="16.5">
      <c r="A3" s="77" t="s">
        <v>3</v>
      </c>
      <c r="B3" s="79" t="s">
        <v>154</v>
      </c>
      <c r="C3" s="296" t="s">
        <v>148</v>
      </c>
      <c r="D3" s="300" t="s">
        <v>155</v>
      </c>
      <c r="E3" s="80" t="s">
        <v>125</v>
      </c>
      <c r="F3" s="305" t="s">
        <v>45</v>
      </c>
      <c r="G3" s="127" t="s">
        <v>294</v>
      </c>
    </row>
    <row r="4" spans="1:7" ht="16.5">
      <c r="A4" s="77" t="s">
        <v>4</v>
      </c>
      <c r="B4" s="79" t="s">
        <v>156</v>
      </c>
      <c r="C4" s="296" t="s">
        <v>148</v>
      </c>
      <c r="D4" s="300" t="s">
        <v>157</v>
      </c>
      <c r="E4" s="81" t="s">
        <v>56</v>
      </c>
      <c r="F4" s="305" t="s">
        <v>45</v>
      </c>
      <c r="G4" s="127" t="s">
        <v>298</v>
      </c>
    </row>
    <row r="5" spans="1:7" ht="16.5">
      <c r="A5" s="279"/>
      <c r="B5" s="79" t="s">
        <v>568</v>
      </c>
      <c r="C5" s="296" t="s">
        <v>148</v>
      </c>
      <c r="D5" s="300" t="s">
        <v>158</v>
      </c>
      <c r="E5" s="81" t="s">
        <v>57</v>
      </c>
      <c r="F5" s="305" t="s">
        <v>45</v>
      </c>
      <c r="G5" s="127" t="s">
        <v>300</v>
      </c>
    </row>
    <row r="6" spans="1:7" ht="16.5">
      <c r="A6" s="279"/>
      <c r="B6" s="79" t="s">
        <v>569</v>
      </c>
      <c r="C6" s="296" t="s">
        <v>148</v>
      </c>
      <c r="D6" s="300" t="s">
        <v>159</v>
      </c>
      <c r="E6" s="80" t="s">
        <v>62</v>
      </c>
      <c r="F6" s="305" t="s">
        <v>45</v>
      </c>
      <c r="G6" s="127" t="s">
        <v>301</v>
      </c>
    </row>
    <row r="7" spans="1:7" ht="16.5">
      <c r="A7" s="279"/>
      <c r="B7" s="78" t="s">
        <v>160</v>
      </c>
      <c r="C7" s="296" t="s">
        <v>148</v>
      </c>
      <c r="D7" s="301" t="s">
        <v>161</v>
      </c>
      <c r="E7" s="81" t="s">
        <v>50</v>
      </c>
      <c r="F7" s="305" t="s">
        <v>45</v>
      </c>
      <c r="G7" s="127" t="s">
        <v>328</v>
      </c>
    </row>
    <row r="8" spans="1:7" ht="16.5">
      <c r="A8" s="279"/>
      <c r="B8" s="78" t="s">
        <v>162</v>
      </c>
      <c r="C8" s="296" t="s">
        <v>148</v>
      </c>
      <c r="D8" s="301" t="s">
        <v>163</v>
      </c>
      <c r="E8" s="82" t="s">
        <v>51</v>
      </c>
      <c r="F8" s="305" t="s">
        <v>45</v>
      </c>
      <c r="G8" s="127" t="s">
        <v>326</v>
      </c>
    </row>
    <row r="9" spans="1:7" ht="16.5">
      <c r="A9" s="279"/>
      <c r="B9" s="78" t="s">
        <v>560</v>
      </c>
      <c r="C9" s="296" t="s">
        <v>148</v>
      </c>
      <c r="D9" s="301" t="s">
        <v>561</v>
      </c>
      <c r="E9" s="81" t="s">
        <v>52</v>
      </c>
      <c r="F9" s="305" t="s">
        <v>45</v>
      </c>
      <c r="G9" s="127" t="s">
        <v>327</v>
      </c>
    </row>
    <row r="10" spans="1:7" ht="16.5">
      <c r="A10" s="279"/>
      <c r="B10" s="78" t="s">
        <v>562</v>
      </c>
      <c r="C10" s="296" t="s">
        <v>148</v>
      </c>
      <c r="D10" s="301" t="s">
        <v>563</v>
      </c>
      <c r="E10" s="82" t="s">
        <v>53</v>
      </c>
      <c r="F10" s="305" t="s">
        <v>45</v>
      </c>
      <c r="G10" s="127" t="s">
        <v>312</v>
      </c>
    </row>
    <row r="11" spans="1:7" ht="16.5">
      <c r="A11" s="279"/>
      <c r="B11" s="435" t="s">
        <v>673</v>
      </c>
      <c r="C11" s="296" t="s">
        <v>148</v>
      </c>
      <c r="D11" s="301" t="s">
        <v>674</v>
      </c>
      <c r="E11" s="81" t="s">
        <v>32</v>
      </c>
      <c r="F11" s="305" t="s">
        <v>45</v>
      </c>
      <c r="G11" s="127" t="s">
        <v>313</v>
      </c>
    </row>
    <row r="12" spans="1:7" ht="16.5">
      <c r="A12" s="279"/>
      <c r="B12" s="435" t="s">
        <v>675</v>
      </c>
      <c r="C12" s="296" t="s">
        <v>148</v>
      </c>
      <c r="D12" s="301" t="s">
        <v>676</v>
      </c>
      <c r="E12" s="83" t="s">
        <v>54</v>
      </c>
      <c r="F12" s="305" t="s">
        <v>45</v>
      </c>
      <c r="G12" s="127" t="s">
        <v>290</v>
      </c>
    </row>
    <row r="13" spans="1:7" ht="16.5">
      <c r="A13" s="279"/>
      <c r="B13" s="78" t="s">
        <v>677</v>
      </c>
      <c r="C13" s="296" t="s">
        <v>148</v>
      </c>
      <c r="D13" s="301" t="s">
        <v>585</v>
      </c>
      <c r="E13" s="81" t="s">
        <v>55</v>
      </c>
      <c r="F13" s="305" t="s">
        <v>45</v>
      </c>
      <c r="G13" s="127" t="s">
        <v>296</v>
      </c>
    </row>
    <row r="14" spans="1:7" ht="33">
      <c r="A14" s="279"/>
      <c r="B14" s="78" t="s">
        <v>565</v>
      </c>
      <c r="C14" s="296" t="s">
        <v>148</v>
      </c>
      <c r="D14" s="301" t="s">
        <v>678</v>
      </c>
      <c r="E14" s="80" t="s">
        <v>126</v>
      </c>
      <c r="F14" s="305" t="s">
        <v>45</v>
      </c>
      <c r="G14" s="127" t="s">
        <v>293</v>
      </c>
    </row>
    <row r="15" spans="1:7" ht="16.5">
      <c r="A15" s="279"/>
      <c r="B15" s="78" t="s">
        <v>679</v>
      </c>
      <c r="C15" s="296" t="s">
        <v>148</v>
      </c>
      <c r="D15" s="301" t="s">
        <v>587</v>
      </c>
      <c r="E15" s="80" t="s">
        <v>65</v>
      </c>
      <c r="F15" s="305" t="s">
        <v>45</v>
      </c>
      <c r="G15" s="127" t="s">
        <v>297</v>
      </c>
    </row>
    <row r="16" spans="1:7" ht="16.5">
      <c r="A16" s="279"/>
      <c r="B16" s="78" t="s">
        <v>566</v>
      </c>
      <c r="C16" s="296" t="s">
        <v>148</v>
      </c>
      <c r="D16" s="301" t="s">
        <v>588</v>
      </c>
      <c r="E16" s="80" t="s">
        <v>66</v>
      </c>
      <c r="F16" s="305" t="s">
        <v>45</v>
      </c>
      <c r="G16" s="127" t="s">
        <v>299</v>
      </c>
    </row>
    <row r="17" spans="1:7" ht="16.5">
      <c r="A17" s="279"/>
      <c r="B17" s="78" t="s">
        <v>680</v>
      </c>
      <c r="C17" s="296" t="s">
        <v>148</v>
      </c>
      <c r="D17" s="301" t="s">
        <v>586</v>
      </c>
      <c r="E17" s="80" t="s">
        <v>139</v>
      </c>
      <c r="F17" s="305" t="s">
        <v>45</v>
      </c>
      <c r="G17" s="127" t="s">
        <v>292</v>
      </c>
    </row>
    <row r="18" spans="1:7" ht="16.5">
      <c r="A18" s="279"/>
      <c r="B18" s="78" t="s">
        <v>904</v>
      </c>
      <c r="C18" s="296" t="s">
        <v>148</v>
      </c>
      <c r="D18" s="301" t="s">
        <v>905</v>
      </c>
      <c r="E18" s="436"/>
      <c r="F18" s="305"/>
      <c r="G18" s="131"/>
    </row>
    <row r="19" spans="1:7" ht="16.5">
      <c r="A19" s="279"/>
      <c r="B19" s="435" t="s">
        <v>164</v>
      </c>
      <c r="C19" s="437" t="s">
        <v>681</v>
      </c>
      <c r="D19" s="438" t="s">
        <v>167</v>
      </c>
      <c r="E19" s="83" t="s">
        <v>146</v>
      </c>
      <c r="F19" s="305" t="s">
        <v>45</v>
      </c>
      <c r="G19" s="133" t="s">
        <v>309</v>
      </c>
    </row>
    <row r="20" spans="1:7" ht="16.5">
      <c r="A20" s="279"/>
      <c r="B20" s="435" t="s">
        <v>166</v>
      </c>
      <c r="C20" s="437" t="s">
        <v>681</v>
      </c>
      <c r="D20" s="438" t="s">
        <v>169</v>
      </c>
      <c r="E20" s="82" t="s">
        <v>114</v>
      </c>
      <c r="F20" s="305" t="s">
        <v>45</v>
      </c>
      <c r="G20" s="127" t="s">
        <v>8</v>
      </c>
    </row>
    <row r="21" spans="1:7" ht="33">
      <c r="A21" s="279"/>
      <c r="B21" s="435" t="s">
        <v>168</v>
      </c>
      <c r="C21" s="437" t="s">
        <v>681</v>
      </c>
      <c r="D21" s="438" t="s">
        <v>171</v>
      </c>
      <c r="E21" s="82" t="s">
        <v>115</v>
      </c>
      <c r="F21" s="305" t="s">
        <v>45</v>
      </c>
      <c r="G21" s="93" t="s">
        <v>906</v>
      </c>
    </row>
    <row r="22" spans="1:7" ht="33">
      <c r="A22" s="279"/>
      <c r="B22" s="435" t="s">
        <v>170</v>
      </c>
      <c r="C22" s="437" t="s">
        <v>681</v>
      </c>
      <c r="D22" s="438" t="s">
        <v>174</v>
      </c>
      <c r="E22" s="81" t="s">
        <v>33</v>
      </c>
      <c r="F22" s="305" t="s">
        <v>48</v>
      </c>
      <c r="G22" s="93" t="s">
        <v>907</v>
      </c>
    </row>
    <row r="23" spans="1:7" ht="33">
      <c r="A23" s="279"/>
      <c r="B23" s="435" t="s">
        <v>172</v>
      </c>
      <c r="C23" s="437" t="s">
        <v>681</v>
      </c>
      <c r="D23" s="438" t="s">
        <v>176</v>
      </c>
      <c r="E23" s="81" t="s">
        <v>34</v>
      </c>
      <c r="F23" s="305" t="s">
        <v>48</v>
      </c>
      <c r="G23" s="92" t="s">
        <v>908</v>
      </c>
    </row>
    <row r="24" spans="1:7" ht="16.5">
      <c r="A24" s="279"/>
      <c r="B24" s="435" t="s">
        <v>173</v>
      </c>
      <c r="C24" s="437" t="s">
        <v>681</v>
      </c>
      <c r="D24" s="438" t="s">
        <v>178</v>
      </c>
      <c r="E24" s="81" t="s">
        <v>35</v>
      </c>
      <c r="F24" s="305" t="s">
        <v>48</v>
      </c>
      <c r="G24" s="92" t="s">
        <v>909</v>
      </c>
    </row>
    <row r="25" spans="1:7" ht="16.5">
      <c r="A25" s="279"/>
      <c r="B25" s="435" t="s">
        <v>175</v>
      </c>
      <c r="C25" s="437" t="s">
        <v>681</v>
      </c>
      <c r="D25" s="438" t="s">
        <v>180</v>
      </c>
      <c r="E25" s="81" t="s">
        <v>36</v>
      </c>
      <c r="F25" s="305" t="s">
        <v>48</v>
      </c>
      <c r="G25" s="87" t="s">
        <v>910</v>
      </c>
    </row>
    <row r="26" spans="1:7" ht="33">
      <c r="A26" s="279"/>
      <c r="B26" s="435" t="s">
        <v>177</v>
      </c>
      <c r="C26" s="437" t="s">
        <v>681</v>
      </c>
      <c r="D26" s="438" t="s">
        <v>182</v>
      </c>
      <c r="E26" s="81" t="s">
        <v>59</v>
      </c>
      <c r="F26" s="305" t="s">
        <v>48</v>
      </c>
      <c r="G26" s="93" t="s">
        <v>911</v>
      </c>
    </row>
    <row r="27" spans="1:7" ht="33">
      <c r="A27" s="279"/>
      <c r="B27" s="435" t="s">
        <v>179</v>
      </c>
      <c r="C27" s="437" t="s">
        <v>681</v>
      </c>
      <c r="D27" s="438" t="s">
        <v>184</v>
      </c>
      <c r="E27" s="81" t="s">
        <v>111</v>
      </c>
      <c r="F27" s="305" t="s">
        <v>48</v>
      </c>
      <c r="G27" s="92" t="s">
        <v>912</v>
      </c>
    </row>
    <row r="28" spans="1:7" ht="16.5">
      <c r="A28" s="279"/>
      <c r="B28" s="435" t="s">
        <v>181</v>
      </c>
      <c r="C28" s="437" t="s">
        <v>681</v>
      </c>
      <c r="D28" s="438" t="s">
        <v>186</v>
      </c>
      <c r="E28" s="80" t="s">
        <v>112</v>
      </c>
      <c r="F28" s="439" t="s">
        <v>47</v>
      </c>
      <c r="G28" s="93" t="s">
        <v>913</v>
      </c>
    </row>
    <row r="29" spans="1:7" ht="16.5">
      <c r="A29" s="279"/>
      <c r="B29" s="435" t="s">
        <v>183</v>
      </c>
      <c r="C29" s="437" t="s">
        <v>681</v>
      </c>
      <c r="D29" s="438" t="s">
        <v>188</v>
      </c>
      <c r="E29" s="81" t="s">
        <v>124</v>
      </c>
      <c r="F29" s="305" t="s">
        <v>46</v>
      </c>
      <c r="G29" s="93" t="s">
        <v>914</v>
      </c>
    </row>
    <row r="30" spans="1:7" ht="33">
      <c r="A30" s="279"/>
      <c r="B30" s="435" t="s">
        <v>185</v>
      </c>
      <c r="C30" s="437" t="s">
        <v>681</v>
      </c>
      <c r="D30" s="438" t="s">
        <v>189</v>
      </c>
      <c r="E30" s="81" t="s">
        <v>122</v>
      </c>
      <c r="F30" s="305" t="s">
        <v>46</v>
      </c>
      <c r="G30" s="93" t="s">
        <v>915</v>
      </c>
    </row>
    <row r="31" spans="1:7" ht="33">
      <c r="A31" s="279"/>
      <c r="B31" s="435" t="s">
        <v>682</v>
      </c>
      <c r="C31" s="437" t="s">
        <v>681</v>
      </c>
      <c r="D31" s="438" t="s">
        <v>192</v>
      </c>
      <c r="E31" s="81" t="s">
        <v>123</v>
      </c>
      <c r="F31" s="305" t="s">
        <v>46</v>
      </c>
      <c r="G31" s="94" t="s">
        <v>916</v>
      </c>
    </row>
    <row r="32" spans="1:7" ht="33">
      <c r="A32" s="279"/>
      <c r="B32" s="435" t="s">
        <v>683</v>
      </c>
      <c r="C32" s="437" t="s">
        <v>681</v>
      </c>
      <c r="D32" s="438" t="s">
        <v>194</v>
      </c>
      <c r="E32" s="81" t="s">
        <v>116</v>
      </c>
      <c r="F32" s="305" t="s">
        <v>46</v>
      </c>
      <c r="G32" s="94" t="s">
        <v>917</v>
      </c>
    </row>
    <row r="33" spans="1:11" ht="33">
      <c r="A33" s="279"/>
      <c r="B33" s="435" t="s">
        <v>684</v>
      </c>
      <c r="C33" s="437" t="s">
        <v>681</v>
      </c>
      <c r="D33" s="438" t="s">
        <v>190</v>
      </c>
      <c r="E33" s="82" t="s">
        <v>117</v>
      </c>
      <c r="F33" s="305" t="s">
        <v>46</v>
      </c>
      <c r="G33" s="94" t="s">
        <v>918</v>
      </c>
    </row>
    <row r="34" spans="1:11" ht="33">
      <c r="A34" s="279"/>
      <c r="B34" s="435" t="s">
        <v>685</v>
      </c>
      <c r="C34" s="437" t="s">
        <v>681</v>
      </c>
      <c r="D34" s="438" t="s">
        <v>686</v>
      </c>
      <c r="E34" s="82" t="s">
        <v>39</v>
      </c>
      <c r="F34" s="305" t="s">
        <v>46</v>
      </c>
      <c r="G34" s="93" t="s">
        <v>919</v>
      </c>
    </row>
    <row r="35" spans="1:11" ht="16.5">
      <c r="A35" s="279"/>
      <c r="B35" s="435" t="s">
        <v>687</v>
      </c>
      <c r="C35" s="437" t="s">
        <v>681</v>
      </c>
      <c r="D35" s="438" t="s">
        <v>688</v>
      </c>
      <c r="E35" s="88" t="s">
        <v>113</v>
      </c>
      <c r="F35" s="305" t="s">
        <v>46</v>
      </c>
      <c r="G35" s="92" t="s">
        <v>920</v>
      </c>
    </row>
    <row r="36" spans="1:11" ht="16.5">
      <c r="A36" s="279"/>
      <c r="B36" s="435" t="s">
        <v>689</v>
      </c>
      <c r="C36" s="437" t="s">
        <v>681</v>
      </c>
      <c r="D36" s="438" t="s">
        <v>690</v>
      </c>
      <c r="E36" s="88" t="s">
        <v>40</v>
      </c>
      <c r="F36" s="305" t="s">
        <v>46</v>
      </c>
      <c r="G36" s="93" t="s">
        <v>921</v>
      </c>
      <c r="K36" s="440"/>
    </row>
    <row r="37" spans="1:11" ht="33">
      <c r="A37" s="279"/>
      <c r="B37" s="435" t="s">
        <v>195</v>
      </c>
      <c r="C37" s="437" t="s">
        <v>681</v>
      </c>
      <c r="D37" s="438" t="s">
        <v>196</v>
      </c>
      <c r="E37" s="89" t="s">
        <v>41</v>
      </c>
      <c r="F37" s="305" t="s">
        <v>46</v>
      </c>
      <c r="G37" s="93" t="s">
        <v>922</v>
      </c>
      <c r="K37" s="85"/>
    </row>
    <row r="38" spans="1:11" ht="33">
      <c r="A38" s="279"/>
      <c r="B38" s="435" t="s">
        <v>197</v>
      </c>
      <c r="C38" s="437" t="s">
        <v>681</v>
      </c>
      <c r="D38" s="438" t="s">
        <v>198</v>
      </c>
      <c r="E38" s="82" t="s">
        <v>42</v>
      </c>
      <c r="F38" s="305" t="s">
        <v>46</v>
      </c>
      <c r="G38" s="93" t="s">
        <v>923</v>
      </c>
      <c r="K38" s="85"/>
    </row>
    <row r="39" spans="1:11" ht="33">
      <c r="A39" s="279"/>
      <c r="B39" s="435" t="s">
        <v>199</v>
      </c>
      <c r="C39" s="437" t="s">
        <v>681</v>
      </c>
      <c r="D39" s="438" t="s">
        <v>200</v>
      </c>
      <c r="E39" s="81" t="s">
        <v>43</v>
      </c>
      <c r="F39" s="305" t="s">
        <v>46</v>
      </c>
      <c r="G39" s="93" t="s">
        <v>924</v>
      </c>
    </row>
    <row r="40" spans="1:11" ht="16.5">
      <c r="A40" s="279"/>
      <c r="B40" s="441" t="s">
        <v>201</v>
      </c>
      <c r="C40" s="442" t="s">
        <v>691</v>
      </c>
      <c r="D40" s="443" t="s">
        <v>167</v>
      </c>
      <c r="E40" s="81" t="s">
        <v>37</v>
      </c>
      <c r="F40" s="305" t="s">
        <v>46</v>
      </c>
      <c r="G40" s="92" t="s">
        <v>925</v>
      </c>
    </row>
    <row r="41" spans="1:11" ht="16.5">
      <c r="A41" s="279"/>
      <c r="B41" s="441" t="s">
        <v>202</v>
      </c>
      <c r="C41" s="442" t="s">
        <v>691</v>
      </c>
      <c r="D41" s="443" t="s">
        <v>169</v>
      </c>
      <c r="E41" s="81" t="s">
        <v>38</v>
      </c>
      <c r="F41" s="305" t="s">
        <v>46</v>
      </c>
      <c r="G41" s="93" t="s">
        <v>926</v>
      </c>
    </row>
    <row r="42" spans="1:11" ht="33">
      <c r="A42" s="279"/>
      <c r="B42" s="441" t="s">
        <v>204</v>
      </c>
      <c r="C42" s="442" t="s">
        <v>691</v>
      </c>
      <c r="D42" s="443" t="s">
        <v>174</v>
      </c>
      <c r="E42" s="81" t="s">
        <v>131</v>
      </c>
      <c r="F42" s="305" t="s">
        <v>46</v>
      </c>
      <c r="G42" s="93" t="s">
        <v>927</v>
      </c>
    </row>
    <row r="43" spans="1:11" ht="33">
      <c r="A43" s="279"/>
      <c r="B43" s="441" t="s">
        <v>205</v>
      </c>
      <c r="C43" s="442" t="s">
        <v>691</v>
      </c>
      <c r="D43" s="443" t="s">
        <v>176</v>
      </c>
      <c r="E43" s="81" t="s">
        <v>132</v>
      </c>
      <c r="F43" s="305" t="s">
        <v>46</v>
      </c>
      <c r="G43" s="93" t="s">
        <v>928</v>
      </c>
    </row>
    <row r="44" spans="1:11" ht="16.5">
      <c r="A44" s="279"/>
      <c r="B44" s="441" t="s">
        <v>206</v>
      </c>
      <c r="C44" s="442" t="s">
        <v>691</v>
      </c>
      <c r="D44" s="443" t="s">
        <v>180</v>
      </c>
      <c r="E44" s="81" t="s">
        <v>134</v>
      </c>
      <c r="F44" s="305" t="s">
        <v>46</v>
      </c>
      <c r="G44" s="94" t="s">
        <v>929</v>
      </c>
    </row>
    <row r="45" spans="1:11" ht="33">
      <c r="A45" s="279"/>
      <c r="B45" s="441" t="s">
        <v>692</v>
      </c>
      <c r="C45" s="442" t="s">
        <v>691</v>
      </c>
      <c r="D45" s="443" t="s">
        <v>192</v>
      </c>
      <c r="E45" s="80" t="s">
        <v>64</v>
      </c>
      <c r="F45" s="305" t="s">
        <v>46</v>
      </c>
      <c r="G45" s="94" t="s">
        <v>930</v>
      </c>
    </row>
    <row r="46" spans="1:11" ht="33">
      <c r="A46" s="279"/>
      <c r="B46" s="441" t="s">
        <v>693</v>
      </c>
      <c r="C46" s="442" t="s">
        <v>691</v>
      </c>
      <c r="D46" s="443" t="s">
        <v>194</v>
      </c>
      <c r="E46" s="81" t="s">
        <v>133</v>
      </c>
      <c r="F46" s="305" t="s">
        <v>46</v>
      </c>
      <c r="G46" s="94" t="s">
        <v>931</v>
      </c>
    </row>
    <row r="47" spans="1:11" ht="33">
      <c r="A47" s="279"/>
      <c r="B47" s="441" t="s">
        <v>694</v>
      </c>
      <c r="C47" s="442" t="s">
        <v>691</v>
      </c>
      <c r="D47" s="443" t="s">
        <v>190</v>
      </c>
      <c r="E47" s="81" t="s">
        <v>121</v>
      </c>
      <c r="F47" s="305" t="s">
        <v>46</v>
      </c>
      <c r="G47" s="93" t="s">
        <v>932</v>
      </c>
    </row>
    <row r="48" spans="1:11" ht="33">
      <c r="A48" s="279"/>
      <c r="B48" s="441" t="s">
        <v>695</v>
      </c>
      <c r="C48" s="442" t="s">
        <v>691</v>
      </c>
      <c r="D48" s="443" t="s">
        <v>686</v>
      </c>
      <c r="E48" s="81" t="s">
        <v>596</v>
      </c>
      <c r="F48" s="305" t="s">
        <v>60</v>
      </c>
      <c r="G48" s="92" t="s">
        <v>933</v>
      </c>
    </row>
    <row r="49" spans="1:7" ht="16.5">
      <c r="A49" s="279"/>
      <c r="B49" s="441" t="s">
        <v>696</v>
      </c>
      <c r="C49" s="442" t="s">
        <v>691</v>
      </c>
      <c r="D49" s="443" t="s">
        <v>688</v>
      </c>
      <c r="E49" s="81" t="s">
        <v>110</v>
      </c>
      <c r="F49" s="305" t="s">
        <v>60</v>
      </c>
      <c r="G49" s="93" t="s">
        <v>934</v>
      </c>
    </row>
    <row r="50" spans="1:7" ht="16.5">
      <c r="A50" s="279"/>
      <c r="B50" s="441" t="s">
        <v>697</v>
      </c>
      <c r="C50" s="442" t="s">
        <v>691</v>
      </c>
      <c r="D50" s="443" t="s">
        <v>690</v>
      </c>
      <c r="E50" s="81" t="s">
        <v>597</v>
      </c>
      <c r="F50" s="305" t="s">
        <v>61</v>
      </c>
      <c r="G50" s="93" t="s">
        <v>935</v>
      </c>
    </row>
    <row r="51" spans="1:7" ht="33">
      <c r="A51" s="279"/>
      <c r="B51" s="441" t="s">
        <v>208</v>
      </c>
      <c r="C51" s="442" t="s">
        <v>691</v>
      </c>
      <c r="D51" s="443" t="s">
        <v>698</v>
      </c>
      <c r="E51" s="81" t="s">
        <v>598</v>
      </c>
      <c r="F51" s="305" t="s">
        <v>49</v>
      </c>
      <c r="G51" s="93" t="s">
        <v>936</v>
      </c>
    </row>
    <row r="52" spans="1:7" ht="33">
      <c r="A52" s="279"/>
      <c r="B52" s="441" t="s">
        <v>209</v>
      </c>
      <c r="C52" s="442" t="s">
        <v>691</v>
      </c>
      <c r="D52" s="443" t="s">
        <v>699</v>
      </c>
      <c r="E52" s="81" t="s">
        <v>599</v>
      </c>
      <c r="F52" s="305" t="s">
        <v>61</v>
      </c>
      <c r="G52" s="93" t="s">
        <v>937</v>
      </c>
    </row>
    <row r="53" spans="1:7" ht="33">
      <c r="A53" s="279"/>
      <c r="B53" s="441" t="s">
        <v>210</v>
      </c>
      <c r="C53" s="442" t="s">
        <v>691</v>
      </c>
      <c r="D53" s="443" t="s">
        <v>196</v>
      </c>
      <c r="E53" s="81" t="s">
        <v>29</v>
      </c>
      <c r="F53" s="305" t="s">
        <v>49</v>
      </c>
      <c r="G53" s="92" t="s">
        <v>938</v>
      </c>
    </row>
    <row r="54" spans="1:7" ht="33">
      <c r="A54" s="279"/>
      <c r="B54" s="441" t="s">
        <v>211</v>
      </c>
      <c r="C54" s="442" t="s">
        <v>691</v>
      </c>
      <c r="D54" s="443" t="s">
        <v>198</v>
      </c>
      <c r="E54" s="81" t="s">
        <v>600</v>
      </c>
      <c r="F54" s="305" t="s">
        <v>49</v>
      </c>
      <c r="G54" s="92" t="s">
        <v>939</v>
      </c>
    </row>
    <row r="55" spans="1:7" ht="33">
      <c r="A55" s="279"/>
      <c r="B55" s="441" t="s">
        <v>212</v>
      </c>
      <c r="C55" s="442" t="s">
        <v>691</v>
      </c>
      <c r="D55" s="443" t="s">
        <v>200</v>
      </c>
      <c r="E55" s="207" t="s">
        <v>601</v>
      </c>
      <c r="F55" s="305" t="s">
        <v>49</v>
      </c>
      <c r="G55" s="93" t="s">
        <v>940</v>
      </c>
    </row>
    <row r="56" spans="1:7" ht="16.5">
      <c r="A56" s="279"/>
      <c r="B56" s="86" t="s">
        <v>700</v>
      </c>
      <c r="C56" s="297" t="s">
        <v>150</v>
      </c>
      <c r="D56" s="302" t="s">
        <v>167</v>
      </c>
      <c r="E56" s="129" t="s">
        <v>598</v>
      </c>
      <c r="F56" s="305" t="s">
        <v>49</v>
      </c>
      <c r="G56" s="93" t="s">
        <v>941</v>
      </c>
    </row>
    <row r="57" spans="1:7" ht="16.5">
      <c r="A57" s="279"/>
      <c r="B57" s="86" t="s">
        <v>701</v>
      </c>
      <c r="C57" s="297" t="s">
        <v>150</v>
      </c>
      <c r="D57" s="302" t="s">
        <v>169</v>
      </c>
      <c r="E57" s="81" t="s">
        <v>602</v>
      </c>
      <c r="F57" s="305" t="s">
        <v>49</v>
      </c>
      <c r="G57" s="92" t="s">
        <v>942</v>
      </c>
    </row>
    <row r="58" spans="1:7" ht="33">
      <c r="A58" s="279"/>
      <c r="B58" s="86" t="s">
        <v>702</v>
      </c>
      <c r="C58" s="297" t="s">
        <v>150</v>
      </c>
      <c r="D58" s="302" t="s">
        <v>174</v>
      </c>
      <c r="E58" s="81" t="s">
        <v>603</v>
      </c>
      <c r="F58" s="305" t="s">
        <v>49</v>
      </c>
      <c r="G58" s="93" t="s">
        <v>8</v>
      </c>
    </row>
    <row r="59" spans="1:7" ht="33">
      <c r="A59" s="279"/>
      <c r="B59" s="86" t="s">
        <v>703</v>
      </c>
      <c r="C59" s="297" t="s">
        <v>150</v>
      </c>
      <c r="D59" s="302" t="s">
        <v>176</v>
      </c>
      <c r="E59" s="207" t="s">
        <v>943</v>
      </c>
      <c r="F59" s="305" t="s">
        <v>61</v>
      </c>
      <c r="G59" s="92" t="s">
        <v>944</v>
      </c>
    </row>
    <row r="60" spans="1:7" ht="16.5">
      <c r="A60" s="279"/>
      <c r="B60" s="86" t="s">
        <v>704</v>
      </c>
      <c r="C60" s="297" t="s">
        <v>150</v>
      </c>
      <c r="D60" s="302" t="s">
        <v>180</v>
      </c>
      <c r="E60" s="129" t="s">
        <v>812</v>
      </c>
      <c r="F60" s="208"/>
      <c r="G60" s="92" t="s">
        <v>945</v>
      </c>
    </row>
    <row r="61" spans="1:7" ht="33">
      <c r="A61" s="279"/>
      <c r="B61" s="86" t="s">
        <v>705</v>
      </c>
      <c r="C61" s="297" t="s">
        <v>150</v>
      </c>
      <c r="D61" s="302" t="s">
        <v>698</v>
      </c>
      <c r="E61" s="129"/>
      <c r="F61" s="208"/>
      <c r="G61" s="92" t="s">
        <v>946</v>
      </c>
    </row>
    <row r="62" spans="1:7" ht="33">
      <c r="A62" s="279"/>
      <c r="B62" s="86" t="s">
        <v>706</v>
      </c>
      <c r="C62" s="297" t="s">
        <v>150</v>
      </c>
      <c r="D62" s="302" t="s">
        <v>699</v>
      </c>
      <c r="E62" s="129"/>
      <c r="F62" s="208"/>
      <c r="G62" s="92" t="s">
        <v>947</v>
      </c>
    </row>
    <row r="63" spans="1:7" ht="33">
      <c r="A63" s="279"/>
      <c r="B63" s="86" t="s">
        <v>707</v>
      </c>
      <c r="C63" s="297" t="s">
        <v>150</v>
      </c>
      <c r="D63" s="302" t="s">
        <v>196</v>
      </c>
      <c r="E63" s="279"/>
      <c r="F63" s="280"/>
      <c r="G63" s="279" t="s">
        <v>948</v>
      </c>
    </row>
    <row r="64" spans="1:7" ht="33">
      <c r="A64" s="279"/>
      <c r="B64" s="86" t="s">
        <v>708</v>
      </c>
      <c r="C64" s="297" t="s">
        <v>150</v>
      </c>
      <c r="D64" s="302" t="s">
        <v>198</v>
      </c>
      <c r="E64" s="207"/>
      <c r="F64" s="207"/>
      <c r="G64" s="207" t="s">
        <v>949</v>
      </c>
    </row>
    <row r="65" spans="1:7" ht="33">
      <c r="A65" s="279"/>
      <c r="B65" s="86" t="s">
        <v>709</v>
      </c>
      <c r="C65" s="297" t="s">
        <v>150</v>
      </c>
      <c r="D65" s="302" t="s">
        <v>200</v>
      </c>
      <c r="E65" s="207"/>
      <c r="F65" s="207"/>
      <c r="G65" s="207" t="s">
        <v>950</v>
      </c>
    </row>
    <row r="66" spans="1:7" ht="16.5">
      <c r="A66" s="279"/>
      <c r="B66" s="444" t="s">
        <v>710</v>
      </c>
      <c r="C66" s="445" t="s">
        <v>5</v>
      </c>
      <c r="D66" s="446" t="s">
        <v>213</v>
      </c>
      <c r="E66" s="207"/>
      <c r="F66" s="207"/>
      <c r="G66" s="207" t="s">
        <v>951</v>
      </c>
    </row>
    <row r="67" spans="1:7" ht="16.5">
      <c r="A67" s="279"/>
      <c r="B67" s="444" t="s">
        <v>711</v>
      </c>
      <c r="C67" s="445" t="s">
        <v>5</v>
      </c>
      <c r="D67" s="446" t="s">
        <v>214</v>
      </c>
      <c r="E67" s="207"/>
      <c r="F67" s="207"/>
      <c r="G67" s="207" t="s">
        <v>952</v>
      </c>
    </row>
    <row r="68" spans="1:7" ht="33">
      <c r="A68" s="279"/>
      <c r="B68" s="444" t="s">
        <v>712</v>
      </c>
      <c r="C68" s="445" t="s">
        <v>5</v>
      </c>
      <c r="D68" s="446" t="s">
        <v>216</v>
      </c>
      <c r="E68" s="207"/>
      <c r="F68" s="207"/>
      <c r="G68" s="207" t="s">
        <v>953</v>
      </c>
    </row>
    <row r="69" spans="1:7" ht="33">
      <c r="A69" s="279"/>
      <c r="B69" s="444" t="s">
        <v>713</v>
      </c>
      <c r="C69" s="445" t="s">
        <v>5</v>
      </c>
      <c r="D69" s="446" t="s">
        <v>217</v>
      </c>
      <c r="E69" s="207"/>
      <c r="F69" s="207"/>
      <c r="G69" s="207" t="s">
        <v>789</v>
      </c>
    </row>
    <row r="70" spans="1:7" ht="33">
      <c r="A70" s="279"/>
      <c r="B70" s="444" t="s">
        <v>714</v>
      </c>
      <c r="C70" s="445" t="s">
        <v>5</v>
      </c>
      <c r="D70" s="446" t="s">
        <v>218</v>
      </c>
      <c r="E70" s="207"/>
      <c r="F70" s="207"/>
      <c r="G70" s="207" t="s">
        <v>954</v>
      </c>
    </row>
    <row r="71" spans="1:7" ht="33">
      <c r="A71" s="279"/>
      <c r="B71" s="444" t="s">
        <v>715</v>
      </c>
      <c r="C71" s="445" t="s">
        <v>5</v>
      </c>
      <c r="D71" s="446" t="s">
        <v>716</v>
      </c>
      <c r="E71" s="207"/>
      <c r="F71" s="207"/>
      <c r="G71" s="207"/>
    </row>
    <row r="72" spans="1:7" ht="33">
      <c r="A72" s="279"/>
      <c r="B72" s="444" t="s">
        <v>717</v>
      </c>
      <c r="C72" s="445" t="s">
        <v>5</v>
      </c>
      <c r="D72" s="446" t="s">
        <v>718</v>
      </c>
      <c r="E72" s="207"/>
      <c r="F72" s="207"/>
      <c r="G72" s="207"/>
    </row>
    <row r="73" spans="1:7" ht="16.5">
      <c r="A73" s="279"/>
      <c r="B73" s="444" t="s">
        <v>719</v>
      </c>
      <c r="C73" s="445" t="s">
        <v>5</v>
      </c>
      <c r="D73" s="446" t="s">
        <v>219</v>
      </c>
      <c r="E73" s="207"/>
      <c r="F73" s="207"/>
      <c r="G73" s="207"/>
    </row>
    <row r="74" spans="1:7" ht="33">
      <c r="A74" s="279"/>
      <c r="B74" s="444" t="s">
        <v>720</v>
      </c>
      <c r="C74" s="445" t="s">
        <v>5</v>
      </c>
      <c r="D74" s="446" t="s">
        <v>220</v>
      </c>
      <c r="E74" s="207"/>
      <c r="F74" s="207"/>
      <c r="G74" s="207"/>
    </row>
    <row r="75" spans="1:7" ht="33">
      <c r="A75" s="279"/>
      <c r="B75" s="444" t="s">
        <v>721</v>
      </c>
      <c r="C75" s="445" t="s">
        <v>5</v>
      </c>
      <c r="D75" s="446" t="s">
        <v>221</v>
      </c>
      <c r="E75" s="207"/>
      <c r="F75" s="207"/>
      <c r="G75" s="207"/>
    </row>
    <row r="76" spans="1:7" ht="16.5">
      <c r="A76" s="279"/>
      <c r="B76" s="444" t="s">
        <v>722</v>
      </c>
      <c r="C76" s="445" t="s">
        <v>5</v>
      </c>
      <c r="D76" s="446" t="s">
        <v>222</v>
      </c>
      <c r="E76" s="207"/>
      <c r="F76" s="207"/>
      <c r="G76" s="207"/>
    </row>
    <row r="77" spans="1:7" ht="16.5">
      <c r="A77" s="279"/>
      <c r="B77" s="444" t="s">
        <v>723</v>
      </c>
      <c r="C77" s="445" t="s">
        <v>5</v>
      </c>
      <c r="D77" s="446" t="s">
        <v>223</v>
      </c>
      <c r="E77" s="207"/>
      <c r="F77" s="207"/>
      <c r="G77" s="207"/>
    </row>
    <row r="78" spans="1:7" ht="16.5">
      <c r="A78" s="207"/>
      <c r="B78" s="444" t="s">
        <v>724</v>
      </c>
      <c r="C78" s="445" t="s">
        <v>5</v>
      </c>
      <c r="D78" s="446" t="s">
        <v>224</v>
      </c>
      <c r="E78" s="207"/>
      <c r="F78" s="207"/>
      <c r="G78" s="207"/>
    </row>
    <row r="79" spans="1:7" ht="33">
      <c r="A79" s="207"/>
      <c r="B79" s="444" t="s">
        <v>725</v>
      </c>
      <c r="C79" s="445" t="s">
        <v>5</v>
      </c>
      <c r="D79" s="446" t="s">
        <v>225</v>
      </c>
      <c r="E79" s="207"/>
      <c r="F79" s="207"/>
      <c r="G79" s="207"/>
    </row>
    <row r="80" spans="1:7" ht="33">
      <c r="A80" s="207"/>
      <c r="B80" s="444" t="s">
        <v>726</v>
      </c>
      <c r="C80" s="445" t="s">
        <v>5</v>
      </c>
      <c r="D80" s="446" t="s">
        <v>226</v>
      </c>
      <c r="E80" s="207"/>
      <c r="F80" s="207"/>
      <c r="G80" s="207"/>
    </row>
    <row r="81" spans="1:7" ht="33">
      <c r="A81" s="207"/>
      <c r="B81" s="444" t="s">
        <v>727</v>
      </c>
      <c r="C81" s="445" t="s">
        <v>5</v>
      </c>
      <c r="D81" s="446" t="s">
        <v>227</v>
      </c>
      <c r="E81" s="207"/>
      <c r="F81" s="207"/>
      <c r="G81" s="207"/>
    </row>
    <row r="82" spans="1:7" ht="33">
      <c r="A82" s="207"/>
      <c r="B82" s="444" t="s">
        <v>728</v>
      </c>
      <c r="C82" s="445" t="s">
        <v>5</v>
      </c>
      <c r="D82" s="446" t="s">
        <v>228</v>
      </c>
      <c r="E82" s="207"/>
      <c r="F82" s="207"/>
      <c r="G82" s="207"/>
    </row>
    <row r="83" spans="1:7" ht="33">
      <c r="A83" s="207"/>
      <c r="B83" s="444" t="s">
        <v>729</v>
      </c>
      <c r="C83" s="445" t="s">
        <v>5</v>
      </c>
      <c r="D83" s="446" t="s">
        <v>730</v>
      </c>
      <c r="E83" s="207"/>
      <c r="F83" s="207"/>
      <c r="G83" s="207"/>
    </row>
    <row r="84" spans="1:7" ht="33">
      <c r="A84" s="207"/>
      <c r="B84" s="444" t="s">
        <v>731</v>
      </c>
      <c r="C84" s="445" t="s">
        <v>5</v>
      </c>
      <c r="D84" s="446" t="s">
        <v>732</v>
      </c>
      <c r="E84" s="207"/>
      <c r="F84" s="207"/>
      <c r="G84" s="207"/>
    </row>
    <row r="85" spans="1:7" ht="33">
      <c r="A85" s="207"/>
      <c r="B85" s="444" t="s">
        <v>733</v>
      </c>
      <c r="C85" s="445" t="s">
        <v>5</v>
      </c>
      <c r="D85" s="446" t="s">
        <v>734</v>
      </c>
      <c r="E85" s="207"/>
      <c r="F85" s="207"/>
      <c r="G85" s="207"/>
    </row>
    <row r="86" spans="1:7" ht="33">
      <c r="A86" s="207"/>
      <c r="B86" s="444" t="s">
        <v>735</v>
      </c>
      <c r="C86" s="445" t="s">
        <v>5</v>
      </c>
      <c r="D86" s="446" t="s">
        <v>736</v>
      </c>
      <c r="E86" s="207"/>
      <c r="F86" s="207"/>
      <c r="G86" s="207"/>
    </row>
    <row r="87" spans="1:7" ht="16.5">
      <c r="A87" s="207"/>
      <c r="B87" s="444" t="s">
        <v>737</v>
      </c>
      <c r="C87" s="445" t="s">
        <v>5</v>
      </c>
      <c r="D87" s="446" t="s">
        <v>229</v>
      </c>
      <c r="E87" s="207"/>
      <c r="F87" s="207"/>
      <c r="G87" s="207"/>
    </row>
    <row r="88" spans="1:7" ht="16.5">
      <c r="A88" s="207"/>
      <c r="B88" s="444" t="s">
        <v>738</v>
      </c>
      <c r="C88" s="445" t="s">
        <v>5</v>
      </c>
      <c r="D88" s="446" t="s">
        <v>230</v>
      </c>
      <c r="E88" s="207"/>
      <c r="F88" s="207"/>
      <c r="G88" s="207"/>
    </row>
    <row r="89" spans="1:7" ht="16.5">
      <c r="A89" s="207"/>
      <c r="B89" s="444" t="s">
        <v>739</v>
      </c>
      <c r="C89" s="445" t="s">
        <v>5</v>
      </c>
      <c r="D89" s="446" t="s">
        <v>231</v>
      </c>
      <c r="E89" s="207"/>
      <c r="F89" s="207"/>
      <c r="G89" s="207"/>
    </row>
    <row r="90" spans="1:7" ht="16.5">
      <c r="A90" s="207"/>
      <c r="B90" s="90" t="s">
        <v>232</v>
      </c>
      <c r="C90" s="298" t="s">
        <v>151</v>
      </c>
      <c r="D90" s="303" t="s">
        <v>233</v>
      </c>
      <c r="E90" s="207"/>
      <c r="F90" s="207"/>
      <c r="G90" s="207"/>
    </row>
    <row r="91" spans="1:7" ht="16.5">
      <c r="A91" s="207"/>
      <c r="B91" s="90" t="s">
        <v>740</v>
      </c>
      <c r="C91" s="298" t="s">
        <v>151</v>
      </c>
      <c r="D91" s="303" t="s">
        <v>234</v>
      </c>
      <c r="E91" s="207"/>
      <c r="F91" s="207"/>
      <c r="G91" s="207"/>
    </row>
    <row r="92" spans="1:7" ht="33">
      <c r="A92" s="207"/>
      <c r="B92" s="90" t="s">
        <v>235</v>
      </c>
      <c r="C92" s="298" t="s">
        <v>151</v>
      </c>
      <c r="D92" s="303" t="s">
        <v>236</v>
      </c>
      <c r="E92" s="207"/>
      <c r="F92" s="207"/>
      <c r="G92" s="207"/>
    </row>
    <row r="93" spans="1:7" ht="33">
      <c r="A93" s="207"/>
      <c r="B93" s="90" t="s">
        <v>237</v>
      </c>
      <c r="C93" s="298" t="s">
        <v>151</v>
      </c>
      <c r="D93" s="303" t="s">
        <v>238</v>
      </c>
      <c r="E93" s="207"/>
      <c r="F93" s="207"/>
      <c r="G93" s="207"/>
    </row>
    <row r="94" spans="1:7" ht="33">
      <c r="A94" s="207"/>
      <c r="B94" s="90" t="s">
        <v>239</v>
      </c>
      <c r="C94" s="298" t="s">
        <v>151</v>
      </c>
      <c r="D94" s="303" t="s">
        <v>240</v>
      </c>
      <c r="E94" s="207"/>
      <c r="F94" s="207"/>
      <c r="G94" s="207"/>
    </row>
    <row r="95" spans="1:7" ht="33">
      <c r="A95" s="207"/>
      <c r="B95" s="90" t="s">
        <v>243</v>
      </c>
      <c r="C95" s="298" t="s">
        <v>151</v>
      </c>
      <c r="D95" s="303" t="s">
        <v>241</v>
      </c>
      <c r="E95" s="207"/>
      <c r="F95" s="207"/>
      <c r="G95" s="207"/>
    </row>
    <row r="96" spans="1:7" ht="33">
      <c r="A96" s="207"/>
      <c r="B96" s="90" t="s">
        <v>245</v>
      </c>
      <c r="C96" s="298" t="s">
        <v>151</v>
      </c>
      <c r="D96" s="303" t="s">
        <v>242</v>
      </c>
      <c r="E96" s="207"/>
      <c r="F96" s="207"/>
      <c r="G96" s="207"/>
    </row>
    <row r="97" spans="1:7" ht="16.5">
      <c r="A97" s="207"/>
      <c r="B97" s="90" t="s">
        <v>247</v>
      </c>
      <c r="C97" s="298" t="s">
        <v>151</v>
      </c>
      <c r="D97" s="303" t="s">
        <v>244</v>
      </c>
      <c r="E97" s="207"/>
      <c r="F97" s="207"/>
      <c r="G97" s="207"/>
    </row>
    <row r="98" spans="1:7" ht="16.5">
      <c r="A98" s="207"/>
      <c r="B98" s="90" t="s">
        <v>248</v>
      </c>
      <c r="C98" s="298" t="s">
        <v>151</v>
      </c>
      <c r="D98" s="303" t="s">
        <v>246</v>
      </c>
      <c r="E98" s="207"/>
      <c r="F98" s="207"/>
      <c r="G98" s="207"/>
    </row>
    <row r="99" spans="1:7" ht="16.5">
      <c r="A99" s="207"/>
      <c r="B99" s="90" t="s">
        <v>252</v>
      </c>
      <c r="C99" s="298" t="s">
        <v>151</v>
      </c>
      <c r="D99" s="303" t="s">
        <v>249</v>
      </c>
      <c r="E99" s="207"/>
      <c r="F99" s="207"/>
      <c r="G99" s="207"/>
    </row>
    <row r="100" spans="1:7" ht="33">
      <c r="A100" s="207"/>
      <c r="B100" s="90" t="s">
        <v>741</v>
      </c>
      <c r="C100" s="298" t="s">
        <v>151</v>
      </c>
      <c r="D100" s="303" t="s">
        <v>251</v>
      </c>
      <c r="E100" s="207"/>
      <c r="F100" s="207"/>
      <c r="G100" s="207"/>
    </row>
    <row r="101" spans="1:7" ht="33">
      <c r="A101" s="207"/>
      <c r="B101" s="90" t="s">
        <v>742</v>
      </c>
      <c r="C101" s="298" t="s">
        <v>151</v>
      </c>
      <c r="D101" s="303" t="s">
        <v>250</v>
      </c>
      <c r="E101" s="207"/>
      <c r="F101" s="207"/>
      <c r="G101" s="207"/>
    </row>
    <row r="102" spans="1:7" ht="16.5">
      <c r="A102" s="207"/>
      <c r="B102" s="90" t="s">
        <v>743</v>
      </c>
      <c r="C102" s="298" t="s">
        <v>151</v>
      </c>
      <c r="D102" s="303" t="s">
        <v>253</v>
      </c>
      <c r="E102" s="207"/>
      <c r="F102" s="207"/>
      <c r="G102" s="207"/>
    </row>
    <row r="103" spans="1:7" ht="33">
      <c r="A103" s="207"/>
      <c r="B103" s="90" t="s">
        <v>254</v>
      </c>
      <c r="C103" s="298" t="s">
        <v>151</v>
      </c>
      <c r="D103" s="303" t="s">
        <v>744</v>
      </c>
      <c r="E103" s="207"/>
      <c r="F103" s="207"/>
      <c r="G103" s="207"/>
    </row>
    <row r="104" spans="1:7" ht="33">
      <c r="A104" s="207"/>
      <c r="B104" s="90" t="s">
        <v>256</v>
      </c>
      <c r="C104" s="298" t="s">
        <v>151</v>
      </c>
      <c r="D104" s="303" t="s">
        <v>745</v>
      </c>
      <c r="E104" s="207"/>
      <c r="F104" s="207"/>
      <c r="G104" s="207"/>
    </row>
    <row r="105" spans="1:7" ht="33">
      <c r="A105" s="207"/>
      <c r="B105" s="90" t="s">
        <v>746</v>
      </c>
      <c r="C105" s="298" t="s">
        <v>151</v>
      </c>
      <c r="D105" s="303" t="s">
        <v>255</v>
      </c>
      <c r="E105" s="207"/>
      <c r="F105" s="207"/>
      <c r="G105" s="207"/>
    </row>
    <row r="106" spans="1:7" ht="33">
      <c r="A106" s="207"/>
      <c r="B106" s="90" t="s">
        <v>747</v>
      </c>
      <c r="C106" s="298" t="s">
        <v>151</v>
      </c>
      <c r="D106" s="303" t="s">
        <v>257</v>
      </c>
      <c r="E106" s="207"/>
      <c r="F106" s="207"/>
      <c r="G106" s="207"/>
    </row>
    <row r="107" spans="1:7" ht="33">
      <c r="A107" s="207"/>
      <c r="B107" s="90" t="s">
        <v>259</v>
      </c>
      <c r="C107" s="298" t="s">
        <v>151</v>
      </c>
      <c r="D107" s="303" t="s">
        <v>258</v>
      </c>
      <c r="E107" s="207"/>
      <c r="F107" s="207"/>
      <c r="G107" s="207"/>
    </row>
    <row r="108" spans="1:7" ht="33">
      <c r="A108" s="207"/>
      <c r="B108" s="90" t="s">
        <v>748</v>
      </c>
      <c r="C108" s="298" t="s">
        <v>151</v>
      </c>
      <c r="D108" s="303" t="s">
        <v>260</v>
      </c>
      <c r="E108" s="207"/>
      <c r="F108" s="207"/>
      <c r="G108" s="207"/>
    </row>
    <row r="109" spans="1:7" ht="33">
      <c r="A109" s="207"/>
      <c r="B109" s="90" t="s">
        <v>749</v>
      </c>
      <c r="C109" s="298" t="s">
        <v>151</v>
      </c>
      <c r="D109" s="303" t="s">
        <v>261</v>
      </c>
      <c r="E109" s="207"/>
      <c r="F109" s="207"/>
      <c r="G109" s="207"/>
    </row>
    <row r="110" spans="1:7" ht="33">
      <c r="A110" s="207"/>
      <c r="B110" s="90" t="s">
        <v>750</v>
      </c>
      <c r="C110" s="298" t="s">
        <v>151</v>
      </c>
      <c r="D110" s="303" t="s">
        <v>262</v>
      </c>
      <c r="E110" s="207"/>
      <c r="F110" s="207"/>
      <c r="G110" s="207"/>
    </row>
    <row r="111" spans="1:7" ht="33">
      <c r="A111" s="207"/>
      <c r="B111" s="90" t="s">
        <v>751</v>
      </c>
      <c r="C111" s="298" t="s">
        <v>151</v>
      </c>
      <c r="D111" s="303" t="s">
        <v>263</v>
      </c>
      <c r="E111" s="207"/>
      <c r="F111" s="207"/>
      <c r="G111" s="207"/>
    </row>
    <row r="112" spans="1:7" ht="33">
      <c r="A112" s="207"/>
      <c r="B112" s="90" t="s">
        <v>264</v>
      </c>
      <c r="C112" s="298" t="s">
        <v>151</v>
      </c>
      <c r="D112" s="303" t="s">
        <v>752</v>
      </c>
      <c r="E112" s="207"/>
      <c r="F112" s="207"/>
      <c r="G112" s="207"/>
    </row>
    <row r="113" spans="1:7" ht="33">
      <c r="A113" s="207"/>
      <c r="B113" s="90" t="s">
        <v>266</v>
      </c>
      <c r="C113" s="298" t="s">
        <v>151</v>
      </c>
      <c r="D113" s="303" t="s">
        <v>753</v>
      </c>
      <c r="E113" s="207"/>
      <c r="F113" s="207"/>
      <c r="G113" s="207"/>
    </row>
    <row r="114" spans="1:7" ht="33">
      <c r="A114" s="207"/>
      <c r="B114" s="90" t="s">
        <v>269</v>
      </c>
      <c r="C114" s="298" t="s">
        <v>151</v>
      </c>
      <c r="D114" s="303" t="s">
        <v>265</v>
      </c>
      <c r="E114" s="207"/>
      <c r="F114" s="207"/>
      <c r="G114" s="207"/>
    </row>
    <row r="115" spans="1:7" ht="16.5">
      <c r="A115" s="207"/>
      <c r="B115" s="90" t="s">
        <v>270</v>
      </c>
      <c r="C115" s="298" t="s">
        <v>151</v>
      </c>
      <c r="D115" s="303" t="s">
        <v>267</v>
      </c>
      <c r="E115" s="207"/>
      <c r="F115" s="207"/>
      <c r="G115" s="207"/>
    </row>
    <row r="116" spans="1:7" ht="16.5">
      <c r="A116" s="207"/>
      <c r="B116" s="90" t="s">
        <v>754</v>
      </c>
      <c r="C116" s="298" t="s">
        <v>151</v>
      </c>
      <c r="D116" s="303" t="s">
        <v>268</v>
      </c>
      <c r="E116" s="207"/>
      <c r="F116" s="207"/>
      <c r="G116" s="207"/>
    </row>
    <row r="117" spans="1:7" ht="33">
      <c r="A117" s="207"/>
      <c r="B117" s="91" t="s">
        <v>271</v>
      </c>
      <c r="C117" s="299" t="s">
        <v>152</v>
      </c>
      <c r="D117" s="304" t="s">
        <v>241</v>
      </c>
      <c r="E117" s="207"/>
      <c r="F117" s="207"/>
      <c r="G117" s="207"/>
    </row>
    <row r="118" spans="1:7" ht="33">
      <c r="A118" s="207"/>
      <c r="B118" s="91" t="s">
        <v>272</v>
      </c>
      <c r="C118" s="299" t="s">
        <v>152</v>
      </c>
      <c r="D118" s="304" t="s">
        <v>242</v>
      </c>
      <c r="E118" s="207"/>
      <c r="F118" s="207"/>
      <c r="G118" s="207"/>
    </row>
    <row r="119" spans="1:7" ht="16.5">
      <c r="A119" s="207"/>
      <c r="B119" s="91" t="s">
        <v>273</v>
      </c>
      <c r="C119" s="299" t="s">
        <v>152</v>
      </c>
      <c r="D119" s="304" t="s">
        <v>244</v>
      </c>
      <c r="E119" s="207"/>
      <c r="F119" s="207"/>
      <c r="G119" s="207"/>
    </row>
    <row r="120" spans="1:7" ht="16.5">
      <c r="A120" s="207"/>
      <c r="B120" s="91" t="s">
        <v>274</v>
      </c>
      <c r="C120" s="299" t="s">
        <v>152</v>
      </c>
      <c r="D120" s="304" t="s">
        <v>249</v>
      </c>
      <c r="E120" s="207"/>
      <c r="F120" s="207"/>
      <c r="G120" s="207"/>
    </row>
    <row r="121" spans="1:7" ht="33">
      <c r="A121" s="207"/>
      <c r="B121" s="91" t="s">
        <v>755</v>
      </c>
      <c r="C121" s="299" t="s">
        <v>152</v>
      </c>
      <c r="D121" s="304" t="s">
        <v>250</v>
      </c>
      <c r="E121" s="207"/>
      <c r="F121" s="207"/>
      <c r="G121" s="207"/>
    </row>
    <row r="122" spans="1:7" ht="33">
      <c r="A122" s="207"/>
      <c r="B122" s="91" t="s">
        <v>756</v>
      </c>
      <c r="C122" s="299" t="s">
        <v>152</v>
      </c>
      <c r="D122" s="304" t="s">
        <v>251</v>
      </c>
      <c r="E122" s="207"/>
      <c r="F122" s="207"/>
      <c r="G122" s="207"/>
    </row>
    <row r="123" spans="1:7" ht="16.5">
      <c r="A123" s="207"/>
      <c r="B123" s="91" t="s">
        <v>757</v>
      </c>
      <c r="C123" s="299" t="s">
        <v>152</v>
      </c>
      <c r="D123" s="304" t="s">
        <v>253</v>
      </c>
      <c r="E123" s="207"/>
      <c r="F123" s="207"/>
      <c r="G123" s="207"/>
    </row>
    <row r="124" spans="1:7" ht="33">
      <c r="A124" s="207"/>
      <c r="B124" s="91" t="s">
        <v>275</v>
      </c>
      <c r="C124" s="299" t="s">
        <v>152</v>
      </c>
      <c r="D124" s="304" t="s">
        <v>744</v>
      </c>
      <c r="E124" s="207"/>
      <c r="F124" s="207"/>
      <c r="G124" s="207"/>
    </row>
    <row r="125" spans="1:7" ht="33">
      <c r="A125" s="207"/>
      <c r="B125" s="91" t="s">
        <v>276</v>
      </c>
      <c r="C125" s="299" t="s">
        <v>152</v>
      </c>
      <c r="D125" s="304" t="s">
        <v>745</v>
      </c>
      <c r="E125" s="207"/>
      <c r="F125" s="207"/>
      <c r="G125" s="207"/>
    </row>
    <row r="126" spans="1:7" ht="33">
      <c r="A126" s="207"/>
      <c r="B126" s="91" t="s">
        <v>758</v>
      </c>
      <c r="C126" s="299" t="s">
        <v>152</v>
      </c>
      <c r="D126" s="304" t="s">
        <v>255</v>
      </c>
      <c r="E126" s="207"/>
      <c r="F126" s="207"/>
      <c r="G126" s="207"/>
    </row>
    <row r="127" spans="1:7" ht="33">
      <c r="A127" s="207"/>
      <c r="B127" s="91" t="s">
        <v>759</v>
      </c>
      <c r="C127" s="299" t="s">
        <v>152</v>
      </c>
      <c r="D127" s="304" t="s">
        <v>257</v>
      </c>
      <c r="E127" s="207"/>
      <c r="F127" s="207"/>
      <c r="G127" s="207"/>
    </row>
    <row r="128" spans="1:7" ht="33">
      <c r="A128" s="207"/>
      <c r="B128" s="91" t="s">
        <v>277</v>
      </c>
      <c r="C128" s="299" t="s">
        <v>152</v>
      </c>
      <c r="D128" s="304" t="s">
        <v>258</v>
      </c>
      <c r="E128" s="207"/>
      <c r="F128" s="207"/>
      <c r="G128" s="207"/>
    </row>
    <row r="129" spans="1:7" ht="33">
      <c r="A129" s="207"/>
      <c r="B129" s="91" t="s">
        <v>760</v>
      </c>
      <c r="C129" s="299" t="s">
        <v>152</v>
      </c>
      <c r="D129" s="304" t="s">
        <v>260</v>
      </c>
      <c r="E129" s="207"/>
      <c r="F129" s="207"/>
      <c r="G129" s="207"/>
    </row>
    <row r="130" spans="1:7" ht="33">
      <c r="A130" s="207"/>
      <c r="B130" s="91" t="s">
        <v>761</v>
      </c>
      <c r="C130" s="299" t="s">
        <v>152</v>
      </c>
      <c r="D130" s="304" t="s">
        <v>261</v>
      </c>
      <c r="E130" s="207"/>
      <c r="F130" s="207"/>
      <c r="G130" s="207"/>
    </row>
    <row r="131" spans="1:7" ht="33">
      <c r="A131" s="207"/>
      <c r="B131" s="91" t="s">
        <v>762</v>
      </c>
      <c r="C131" s="299" t="s">
        <v>152</v>
      </c>
      <c r="D131" s="304" t="s">
        <v>262</v>
      </c>
      <c r="E131" s="207"/>
      <c r="F131" s="207"/>
      <c r="G131" s="207"/>
    </row>
    <row r="132" spans="1:7" ht="33">
      <c r="A132" s="207"/>
      <c r="B132" s="91" t="s">
        <v>763</v>
      </c>
      <c r="C132" s="299" t="s">
        <v>152</v>
      </c>
      <c r="D132" s="304" t="s">
        <v>263</v>
      </c>
      <c r="E132" s="207"/>
      <c r="F132" s="207"/>
      <c r="G132" s="207"/>
    </row>
    <row r="133" spans="1:7" ht="33">
      <c r="A133" s="207"/>
      <c r="B133" s="91" t="s">
        <v>278</v>
      </c>
      <c r="C133" s="299" t="s">
        <v>152</v>
      </c>
      <c r="D133" s="304" t="s">
        <v>764</v>
      </c>
      <c r="E133" s="207"/>
      <c r="F133" s="207"/>
      <c r="G133" s="207"/>
    </row>
    <row r="134" spans="1:7" ht="33">
      <c r="A134" s="207"/>
      <c r="B134" s="91" t="s">
        <v>279</v>
      </c>
      <c r="C134" s="299" t="s">
        <v>152</v>
      </c>
      <c r="D134" s="304" t="s">
        <v>765</v>
      </c>
      <c r="E134" s="207"/>
      <c r="F134" s="207"/>
      <c r="G134" s="207"/>
    </row>
    <row r="135" spans="1:7" ht="33">
      <c r="A135" s="207"/>
      <c r="B135" s="91" t="s">
        <v>280</v>
      </c>
      <c r="C135" s="299" t="s">
        <v>152</v>
      </c>
      <c r="D135" s="304" t="s">
        <v>265</v>
      </c>
      <c r="E135" s="207"/>
      <c r="F135" s="207"/>
      <c r="G135" s="207"/>
    </row>
    <row r="136" spans="1:7" ht="16.5">
      <c r="A136" s="207"/>
      <c r="B136" s="91" t="s">
        <v>281</v>
      </c>
      <c r="C136" s="299" t="s">
        <v>152</v>
      </c>
      <c r="D136" s="304" t="s">
        <v>267</v>
      </c>
      <c r="E136" s="207"/>
      <c r="F136" s="207"/>
      <c r="G136" s="207"/>
    </row>
    <row r="137" spans="1:7" ht="16.5">
      <c r="A137" s="207"/>
      <c r="B137" s="91" t="s">
        <v>766</v>
      </c>
      <c r="C137" s="299" t="s">
        <v>152</v>
      </c>
      <c r="D137" s="304" t="s">
        <v>268</v>
      </c>
      <c r="E137" s="207"/>
      <c r="F137" s="207"/>
      <c r="G137" s="207"/>
    </row>
    <row r="138" spans="1:7" ht="16.5">
      <c r="A138" s="207"/>
      <c r="B138" s="447" t="s">
        <v>344</v>
      </c>
      <c r="C138" s="448" t="s">
        <v>153</v>
      </c>
      <c r="D138" s="449" t="s">
        <v>345</v>
      </c>
      <c r="E138" s="207"/>
      <c r="F138" s="207"/>
      <c r="G138" s="207"/>
    </row>
    <row r="139" spans="1:7" ht="16.5">
      <c r="A139" s="207"/>
      <c r="B139" s="447" t="s">
        <v>346</v>
      </c>
      <c r="C139" s="448" t="s">
        <v>153</v>
      </c>
      <c r="D139" s="449" t="s">
        <v>347</v>
      </c>
      <c r="E139" s="207"/>
      <c r="F139" s="207"/>
      <c r="G139" s="207"/>
    </row>
    <row r="140" spans="1:7" ht="16.5">
      <c r="A140" s="207"/>
      <c r="B140" s="447" t="s">
        <v>348</v>
      </c>
      <c r="C140" s="448" t="s">
        <v>153</v>
      </c>
      <c r="D140" s="449" t="s">
        <v>349</v>
      </c>
      <c r="E140" s="207"/>
      <c r="F140" s="207"/>
      <c r="G140" s="207"/>
    </row>
    <row r="141" spans="1:7" ht="16.5">
      <c r="A141" s="207"/>
      <c r="B141" s="447" t="s">
        <v>350</v>
      </c>
      <c r="C141" s="448" t="s">
        <v>153</v>
      </c>
      <c r="D141" s="449" t="s">
        <v>351</v>
      </c>
      <c r="E141" s="207"/>
      <c r="F141" s="207"/>
      <c r="G141" s="207"/>
    </row>
    <row r="142" spans="1:7" ht="16.5">
      <c r="A142" s="207"/>
      <c r="B142" s="447" t="s">
        <v>352</v>
      </c>
      <c r="C142" s="448" t="s">
        <v>153</v>
      </c>
      <c r="D142" s="449" t="s">
        <v>353</v>
      </c>
      <c r="E142" s="207"/>
      <c r="F142" s="207"/>
      <c r="G142" s="207"/>
    </row>
    <row r="143" spans="1:7" ht="16.5">
      <c r="A143" s="207"/>
      <c r="B143" s="447" t="s">
        <v>955</v>
      </c>
      <c r="C143" s="448" t="s">
        <v>153</v>
      </c>
      <c r="D143" s="449" t="s">
        <v>355</v>
      </c>
      <c r="E143" s="207"/>
      <c r="F143" s="207"/>
      <c r="G143" s="207"/>
    </row>
    <row r="144" spans="1:7" ht="33">
      <c r="A144" s="207"/>
      <c r="B144" s="447" t="s">
        <v>956</v>
      </c>
      <c r="C144" s="448" t="s">
        <v>153</v>
      </c>
      <c r="D144" s="449" t="s">
        <v>957</v>
      </c>
      <c r="E144" s="207"/>
      <c r="F144" s="207"/>
      <c r="G144" s="207"/>
    </row>
    <row r="145" spans="1:7" ht="33">
      <c r="A145" s="207"/>
      <c r="B145" s="447" t="s">
        <v>958</v>
      </c>
      <c r="C145" s="448" t="s">
        <v>153</v>
      </c>
      <c r="D145" s="449" t="s">
        <v>959</v>
      </c>
      <c r="E145" s="207"/>
      <c r="F145" s="207"/>
      <c r="G145" s="207"/>
    </row>
    <row r="146" spans="1:7" ht="33">
      <c r="A146" s="207"/>
      <c r="B146" s="447" t="s">
        <v>960</v>
      </c>
      <c r="C146" s="448" t="s">
        <v>153</v>
      </c>
      <c r="D146" s="449" t="s">
        <v>961</v>
      </c>
      <c r="E146" s="207"/>
      <c r="F146" s="207"/>
      <c r="G146" s="207"/>
    </row>
    <row r="147" spans="1:7" ht="16.5">
      <c r="A147" s="207"/>
      <c r="B147" s="447" t="s">
        <v>962</v>
      </c>
      <c r="C147" s="448" t="s">
        <v>153</v>
      </c>
      <c r="D147" s="449" t="s">
        <v>963</v>
      </c>
      <c r="E147" s="207"/>
      <c r="F147" s="207"/>
      <c r="G147" s="207"/>
    </row>
    <row r="148" spans="1:7" ht="16.5">
      <c r="A148" s="207"/>
      <c r="B148" s="447" t="s">
        <v>964</v>
      </c>
      <c r="C148" s="448" t="s">
        <v>153</v>
      </c>
      <c r="D148" s="449" t="s">
        <v>965</v>
      </c>
      <c r="E148" s="207"/>
      <c r="F148" s="207"/>
      <c r="G148" s="207"/>
    </row>
    <row r="149" spans="1:7" ht="16.5">
      <c r="A149" s="207"/>
      <c r="B149" s="450" t="s">
        <v>966</v>
      </c>
      <c r="C149" s="451" t="s">
        <v>612</v>
      </c>
      <c r="D149" s="452" t="s">
        <v>614</v>
      </c>
      <c r="E149" s="207"/>
      <c r="F149" s="207"/>
      <c r="G149" s="207"/>
    </row>
    <row r="150" spans="1:7" ht="33">
      <c r="A150" s="207"/>
      <c r="B150" s="453" t="s">
        <v>967</v>
      </c>
      <c r="C150" s="451" t="s">
        <v>612</v>
      </c>
      <c r="D150" s="452" t="s">
        <v>613</v>
      </c>
      <c r="E150" s="207"/>
      <c r="F150" s="207"/>
      <c r="G150" s="207"/>
    </row>
    <row r="151" spans="1:7" ht="33">
      <c r="A151" s="207"/>
      <c r="B151" s="453" t="s">
        <v>968</v>
      </c>
      <c r="C151" s="451" t="s">
        <v>612</v>
      </c>
      <c r="D151" s="452" t="s">
        <v>969</v>
      </c>
      <c r="E151" s="207"/>
      <c r="F151" s="207"/>
      <c r="G151" s="207"/>
    </row>
    <row r="152" spans="1:7" ht="16.5">
      <c r="A152" s="207"/>
      <c r="B152" s="450" t="s">
        <v>970</v>
      </c>
      <c r="C152" s="451" t="s">
        <v>612</v>
      </c>
      <c r="D152" s="452" t="s">
        <v>971</v>
      </c>
      <c r="E152" s="207"/>
      <c r="F152" s="207"/>
      <c r="G152" s="207"/>
    </row>
    <row r="153" spans="1:7" ht="33">
      <c r="A153" s="207"/>
      <c r="B153" s="450" t="s">
        <v>972</v>
      </c>
      <c r="C153" s="451" t="s">
        <v>612</v>
      </c>
      <c r="D153" s="452" t="s">
        <v>973</v>
      </c>
      <c r="E153" s="207"/>
      <c r="F153" s="207"/>
      <c r="G153" s="207"/>
    </row>
    <row r="154" spans="1:7" ht="33">
      <c r="A154" s="207"/>
      <c r="B154" s="450" t="s">
        <v>974</v>
      </c>
      <c r="C154" s="451" t="s">
        <v>612</v>
      </c>
      <c r="D154" s="452" t="s">
        <v>975</v>
      </c>
      <c r="E154" s="207"/>
      <c r="F154" s="207"/>
      <c r="G154" s="207"/>
    </row>
    <row r="155" spans="1:7" ht="33">
      <c r="A155" s="207"/>
      <c r="B155" s="454" t="s">
        <v>570</v>
      </c>
      <c r="C155" s="455" t="s">
        <v>583</v>
      </c>
      <c r="D155" s="456" t="s">
        <v>589</v>
      </c>
      <c r="E155" s="207"/>
      <c r="F155" s="207"/>
      <c r="G155" s="207"/>
    </row>
    <row r="156" spans="1:7" ht="16.5">
      <c r="A156" s="207"/>
      <c r="B156" s="454" t="s">
        <v>571</v>
      </c>
      <c r="C156" s="455" t="s">
        <v>583</v>
      </c>
      <c r="D156" s="456" t="s">
        <v>769</v>
      </c>
      <c r="E156" s="207"/>
      <c r="F156" s="207"/>
      <c r="G156" s="207"/>
    </row>
    <row r="157" spans="1:7" ht="16.5">
      <c r="A157" s="207"/>
      <c r="B157" s="454" t="s">
        <v>572</v>
      </c>
      <c r="C157" s="455" t="s">
        <v>583</v>
      </c>
      <c r="D157" s="456" t="s">
        <v>770</v>
      </c>
      <c r="E157" s="207"/>
      <c r="F157" s="207"/>
      <c r="G157" s="207"/>
    </row>
    <row r="158" spans="1:7" ht="16.5">
      <c r="A158" s="207"/>
      <c r="B158" s="454" t="s">
        <v>573</v>
      </c>
      <c r="C158" s="455" t="s">
        <v>583</v>
      </c>
      <c r="D158" s="456" t="s">
        <v>590</v>
      </c>
      <c r="E158" s="207"/>
      <c r="F158" s="84"/>
      <c r="G158" s="207"/>
    </row>
    <row r="159" spans="1:7" ht="16.5">
      <c r="A159" s="207"/>
      <c r="B159" s="454" t="s">
        <v>574</v>
      </c>
      <c r="C159" s="455" t="s">
        <v>583</v>
      </c>
      <c r="D159" s="456" t="s">
        <v>591</v>
      </c>
      <c r="E159" s="207"/>
      <c r="F159" s="322"/>
      <c r="G159" s="322"/>
    </row>
    <row r="160" spans="1:7" ht="33">
      <c r="A160" s="207"/>
      <c r="B160" s="454" t="s">
        <v>575</v>
      </c>
      <c r="C160" s="455" t="s">
        <v>583</v>
      </c>
      <c r="D160" s="456" t="s">
        <v>771</v>
      </c>
      <c r="E160" s="207"/>
      <c r="F160" s="322"/>
      <c r="G160" s="322"/>
    </row>
    <row r="161" spans="1:7" ht="33">
      <c r="A161" s="207"/>
      <c r="B161" s="454" t="s">
        <v>576</v>
      </c>
      <c r="C161" s="455" t="s">
        <v>583</v>
      </c>
      <c r="D161" s="456" t="s">
        <v>772</v>
      </c>
      <c r="E161" s="207"/>
      <c r="F161" s="322"/>
      <c r="G161" s="322"/>
    </row>
    <row r="162" spans="1:7" ht="16.5">
      <c r="A162" s="207"/>
      <c r="B162" s="454" t="s">
        <v>577</v>
      </c>
      <c r="C162" s="455" t="s">
        <v>583</v>
      </c>
      <c r="D162" s="456" t="s">
        <v>592</v>
      </c>
      <c r="E162" s="207"/>
      <c r="F162" s="322"/>
      <c r="G162" s="322"/>
    </row>
    <row r="163" spans="1:7" ht="33">
      <c r="A163" s="207"/>
      <c r="B163" s="454" t="s">
        <v>578</v>
      </c>
      <c r="C163" s="455" t="s">
        <v>583</v>
      </c>
      <c r="D163" s="456" t="s">
        <v>773</v>
      </c>
      <c r="E163" s="207"/>
    </row>
    <row r="164" spans="1:7" ht="33">
      <c r="A164" s="207"/>
      <c r="B164" s="454" t="s">
        <v>579</v>
      </c>
      <c r="C164" s="455" t="s">
        <v>583</v>
      </c>
      <c r="D164" s="456" t="s">
        <v>774</v>
      </c>
      <c r="E164" s="207"/>
    </row>
    <row r="165" spans="1:7" ht="16.5">
      <c r="A165" s="207"/>
      <c r="B165" s="454" t="s">
        <v>580</v>
      </c>
      <c r="C165" s="455" t="s">
        <v>583</v>
      </c>
      <c r="D165" s="456" t="s">
        <v>593</v>
      </c>
      <c r="E165" s="207"/>
    </row>
    <row r="166" spans="1:7" ht="16.5">
      <c r="A166" s="207"/>
      <c r="B166" s="454" t="s">
        <v>581</v>
      </c>
      <c r="C166" s="455" t="s">
        <v>583</v>
      </c>
      <c r="D166" s="456" t="s">
        <v>594</v>
      </c>
      <c r="E166" s="207"/>
    </row>
    <row r="167" spans="1:7" ht="16.5">
      <c r="A167" s="207"/>
      <c r="B167" s="454" t="s">
        <v>582</v>
      </c>
      <c r="C167" s="455" t="s">
        <v>583</v>
      </c>
      <c r="D167" s="456" t="s">
        <v>595</v>
      </c>
      <c r="E167" s="207"/>
    </row>
    <row r="168" spans="1:7" ht="16.5">
      <c r="A168" s="207"/>
      <c r="B168" s="457" t="s">
        <v>775</v>
      </c>
      <c r="C168" s="455" t="s">
        <v>583</v>
      </c>
      <c r="D168" s="458" t="s">
        <v>776</v>
      </c>
      <c r="E168" s="207"/>
    </row>
    <row r="169" spans="1:7" ht="16.5">
      <c r="A169" s="207"/>
      <c r="B169" s="457" t="s">
        <v>777</v>
      </c>
      <c r="C169" s="455" t="s">
        <v>583</v>
      </c>
      <c r="D169" s="458" t="s">
        <v>778</v>
      </c>
      <c r="E169" s="207"/>
    </row>
    <row r="170" spans="1:7" ht="16.5">
      <c r="A170" s="207"/>
      <c r="B170" s="457" t="s">
        <v>779</v>
      </c>
      <c r="C170" s="455" t="s">
        <v>583</v>
      </c>
      <c r="D170" s="458" t="s">
        <v>780</v>
      </c>
      <c r="E170" s="207"/>
    </row>
    <row r="171" spans="1:7" ht="16.5">
      <c r="A171" s="207"/>
      <c r="B171" s="457" t="s">
        <v>781</v>
      </c>
      <c r="C171" s="455" t="s">
        <v>583</v>
      </c>
      <c r="D171" s="458" t="s">
        <v>782</v>
      </c>
      <c r="E171" s="207"/>
    </row>
    <row r="172" spans="1:7" ht="16.5">
      <c r="A172" s="207"/>
      <c r="B172" s="457" t="s">
        <v>976</v>
      </c>
      <c r="C172" s="455" t="s">
        <v>583</v>
      </c>
      <c r="D172" s="458" t="s">
        <v>977</v>
      </c>
      <c r="E172" s="207"/>
    </row>
    <row r="173" spans="1:7" ht="16.5">
      <c r="A173" s="207"/>
      <c r="B173" s="129"/>
      <c r="C173" s="459"/>
      <c r="D173" s="460"/>
      <c r="E173" s="207"/>
    </row>
    <row r="174" spans="1:7" ht="16.5">
      <c r="A174" s="207"/>
      <c r="B174" s="129"/>
      <c r="C174" s="459"/>
      <c r="D174" s="460"/>
      <c r="E174" s="207"/>
    </row>
    <row r="175" spans="1:7" ht="16.5">
      <c r="A175" s="207"/>
      <c r="B175" s="129"/>
      <c r="C175" s="459"/>
      <c r="D175" s="460"/>
      <c r="E175" s="207"/>
    </row>
    <row r="176" spans="1:7" ht="16.5">
      <c r="A176" s="207"/>
      <c r="B176" s="129"/>
      <c r="C176" s="459"/>
      <c r="D176" s="460"/>
      <c r="E176" s="207"/>
    </row>
    <row r="177" spans="1:5" ht="16.5">
      <c r="A177" s="207"/>
      <c r="B177" s="129"/>
      <c r="C177" s="459"/>
      <c r="D177" s="460"/>
      <c r="E177" s="207"/>
    </row>
  </sheetData>
  <sheetProtection password="ECDB" sheet="1" objects="1" scenarios="1"/>
  <dataValidations count="2">
    <dataValidation type="list" allowBlank="1" showInputMessage="1" showErrorMessage="1" sqref="D77 D61:D62 D38 D54">
      <formula1>$B:$B</formula1>
    </dataValidation>
    <dataValidation type="list" allowBlank="1" showInputMessage="1" showErrorMessage="1" sqref="A3:A4">
      <formula1>$A:$A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8"/>
  <sheetViews>
    <sheetView topLeftCell="C1" zoomScale="89" workbookViewId="0">
      <selection activeCell="G84" sqref="G84:G86"/>
    </sheetView>
  </sheetViews>
  <sheetFormatPr defaultColWidth="10.75" defaultRowHeight="15.5"/>
  <cols>
    <col min="1" max="1" width="13.25" style="1" bestFit="1" customWidth="1"/>
    <col min="2" max="2" width="9.08203125" style="1" bestFit="1" customWidth="1"/>
    <col min="3" max="3" width="23" style="1" bestFit="1" customWidth="1"/>
    <col min="4" max="4" width="7.33203125" style="1" bestFit="1" customWidth="1"/>
    <col min="5" max="5" width="23.33203125" style="1" bestFit="1" customWidth="1"/>
    <col min="6" max="6" width="8.08203125" style="1" bestFit="1" customWidth="1"/>
    <col min="7" max="7" width="15.33203125" style="123" customWidth="1"/>
    <col min="8" max="8" width="15.33203125" style="1" customWidth="1"/>
    <col min="9" max="10" width="15.33203125" style="123" customWidth="1"/>
    <col min="11" max="11" width="10.75" style="1"/>
    <col min="12" max="12" width="21.75" style="1" bestFit="1" customWidth="1"/>
    <col min="13" max="16384" width="10.75" style="1"/>
  </cols>
  <sheetData>
    <row r="2" spans="1:12" s="124" customFormat="1" ht="43.5" customHeight="1">
      <c r="A2" s="119" t="s">
        <v>10</v>
      </c>
      <c r="B2" s="119" t="s">
        <v>11</v>
      </c>
      <c r="C2" s="119" t="s">
        <v>1</v>
      </c>
      <c r="D2" s="119" t="s">
        <v>285</v>
      </c>
      <c r="E2" s="119" t="s">
        <v>311</v>
      </c>
      <c r="F2" s="119" t="s">
        <v>286</v>
      </c>
      <c r="G2" s="120" t="s">
        <v>339</v>
      </c>
      <c r="H2" s="119" t="s">
        <v>287</v>
      </c>
      <c r="I2" s="120" t="s">
        <v>288</v>
      </c>
      <c r="J2" s="121" t="s">
        <v>289</v>
      </c>
    </row>
    <row r="3" spans="1:12">
      <c r="A3" s="19">
        <f>MONTH(Table146[[#This Row],[Ngày]])</f>
        <v>1</v>
      </c>
      <c r="B3" s="237">
        <v>43466</v>
      </c>
      <c r="C3" s="95" t="s">
        <v>303</v>
      </c>
      <c r="D3" s="95"/>
      <c r="E3" s="95" t="s">
        <v>312</v>
      </c>
      <c r="F3" s="96" t="s">
        <v>291</v>
      </c>
      <c r="G3" s="106"/>
      <c r="H3" s="97">
        <f>SUM(H4:H9)</f>
        <v>1</v>
      </c>
      <c r="I3" s="111"/>
      <c r="J3" s="112">
        <f>SUM(G4:G9)</f>
        <v>0</v>
      </c>
    </row>
    <row r="4" spans="1:12">
      <c r="A4" s="19">
        <f>MONTH(Table146[[#This Row],[Ngày]])</f>
        <v>1</v>
      </c>
      <c r="B4" s="237">
        <v>43466</v>
      </c>
      <c r="C4" s="19" t="s">
        <v>303</v>
      </c>
      <c r="D4" s="19"/>
      <c r="E4" s="42" t="s">
        <v>294</v>
      </c>
      <c r="F4" s="98" t="s">
        <v>295</v>
      </c>
      <c r="G4" s="107"/>
      <c r="H4" s="99">
        <v>0.24752475247524752</v>
      </c>
      <c r="I4" s="113">
        <f>IFERROR((G4/J3)/H4,0)</f>
        <v>0</v>
      </c>
      <c r="J4" s="114"/>
    </row>
    <row r="5" spans="1:12">
      <c r="A5" s="19">
        <f>MONTH(Table146[[#This Row],[Ngày]])</f>
        <v>1</v>
      </c>
      <c r="B5" s="237">
        <v>43466</v>
      </c>
      <c r="C5" s="19" t="s">
        <v>303</v>
      </c>
      <c r="D5" s="19"/>
      <c r="E5" s="19" t="s">
        <v>290</v>
      </c>
      <c r="F5" s="58" t="s">
        <v>291</v>
      </c>
      <c r="G5" s="108"/>
      <c r="H5" s="99">
        <v>0.49504950495049505</v>
      </c>
      <c r="I5" s="113">
        <f>IFERROR((G5/J3)/H5,0)</f>
        <v>0</v>
      </c>
      <c r="J5" s="115"/>
    </row>
    <row r="6" spans="1:12">
      <c r="A6" s="255">
        <f>MONTH(Table146[[#This Row],[Ngày]])</f>
        <v>1</v>
      </c>
      <c r="B6" s="237">
        <v>43466</v>
      </c>
      <c r="C6" s="19" t="s">
        <v>303</v>
      </c>
      <c r="D6" s="19"/>
      <c r="E6" s="19" t="s">
        <v>312</v>
      </c>
      <c r="F6" s="58" t="s">
        <v>291</v>
      </c>
      <c r="G6" s="108"/>
      <c r="H6" s="99">
        <v>0.24752475247524752</v>
      </c>
      <c r="I6" s="117"/>
      <c r="J6" s="115"/>
      <c r="L6" s="256"/>
    </row>
    <row r="7" spans="1:12">
      <c r="A7" s="19">
        <f>MONTH(Table146[[#This Row],[Ngày]])</f>
        <v>1</v>
      </c>
      <c r="B7" s="237">
        <v>43466</v>
      </c>
      <c r="C7" s="19" t="s">
        <v>303</v>
      </c>
      <c r="D7" s="19"/>
      <c r="E7" s="19" t="s">
        <v>296</v>
      </c>
      <c r="F7" s="58" t="s">
        <v>295</v>
      </c>
      <c r="G7" s="109"/>
      <c r="H7" s="99">
        <v>1.9801980198019802E-3</v>
      </c>
      <c r="I7" s="113">
        <f>IFERROR((G7/J3)/H7,0)</f>
        <v>0</v>
      </c>
      <c r="J7" s="115"/>
      <c r="L7" s="122"/>
    </row>
    <row r="8" spans="1:12">
      <c r="A8" s="19">
        <f>MONTH(Table146[[#This Row],[Ngày]])</f>
        <v>1</v>
      </c>
      <c r="B8" s="237">
        <v>43466</v>
      </c>
      <c r="C8" s="19" t="s">
        <v>303</v>
      </c>
      <c r="D8" s="19"/>
      <c r="E8" s="19" t="s">
        <v>293</v>
      </c>
      <c r="F8" s="58" t="s">
        <v>295</v>
      </c>
      <c r="G8" s="108"/>
      <c r="H8" s="99">
        <v>1.9801980198019802E-3</v>
      </c>
      <c r="I8" s="113">
        <f>IFERROR((G8/J3)/H8,0)</f>
        <v>0</v>
      </c>
      <c r="J8" s="115"/>
      <c r="L8" s="122"/>
    </row>
    <row r="9" spans="1:12">
      <c r="A9" s="19">
        <f>MONTH(Table146[[#This Row],[Ngày]])</f>
        <v>1</v>
      </c>
      <c r="B9" s="237">
        <v>43466</v>
      </c>
      <c r="C9" s="19" t="s">
        <v>303</v>
      </c>
      <c r="D9" s="19"/>
      <c r="E9" s="19" t="s">
        <v>297</v>
      </c>
      <c r="F9" s="58" t="s">
        <v>295</v>
      </c>
      <c r="G9" s="108"/>
      <c r="H9" s="99">
        <v>5.9405940594059407E-3</v>
      </c>
      <c r="I9" s="113">
        <f>IFERROR((G9/J3)/H9,0)</f>
        <v>0</v>
      </c>
      <c r="J9" s="115"/>
    </row>
    <row r="10" spans="1:12">
      <c r="A10" s="19">
        <f>MONTH(Table146[[#This Row],[Ngày]])</f>
        <v>1</v>
      </c>
      <c r="B10" s="237">
        <v>43466</v>
      </c>
      <c r="C10" s="95" t="s">
        <v>307</v>
      </c>
      <c r="D10" s="95"/>
      <c r="E10" s="95" t="s">
        <v>312</v>
      </c>
      <c r="F10" s="96" t="s">
        <v>291</v>
      </c>
      <c r="G10" s="106"/>
      <c r="H10" s="97">
        <f>SUM(H11:H17)</f>
        <v>1</v>
      </c>
      <c r="I10" s="111"/>
      <c r="J10" s="112">
        <f>SUM(G11:G17)</f>
        <v>102.997</v>
      </c>
    </row>
    <row r="11" spans="1:12">
      <c r="A11" s="19">
        <f>MONTH(Table146[[#This Row],[Ngày]])</f>
        <v>1</v>
      </c>
      <c r="B11" s="237">
        <v>43466</v>
      </c>
      <c r="C11" s="19" t="s">
        <v>307</v>
      </c>
      <c r="D11" s="19"/>
      <c r="E11" s="42" t="s">
        <v>298</v>
      </c>
      <c r="F11" s="98" t="s">
        <v>295</v>
      </c>
      <c r="G11" s="107">
        <f>34470/1000</f>
        <v>34.47</v>
      </c>
      <c r="H11" s="99">
        <v>0.24752475247524752</v>
      </c>
      <c r="I11" s="113">
        <f>IFERROR((G11/J10)/H11,0)</f>
        <v>1.3520665650455839</v>
      </c>
      <c r="J11" s="114"/>
    </row>
    <row r="12" spans="1:12">
      <c r="A12" s="19">
        <f>MONTH(Table146[[#This Row],[Ngày]])</f>
        <v>1</v>
      </c>
      <c r="B12" s="237">
        <v>43466</v>
      </c>
      <c r="C12" s="19" t="s">
        <v>307</v>
      </c>
      <c r="D12" s="19"/>
      <c r="E12" s="19" t="s">
        <v>290</v>
      </c>
      <c r="F12" s="58" t="s">
        <v>291</v>
      </c>
      <c r="G12" s="108">
        <v>34</v>
      </c>
      <c r="H12" s="99">
        <v>0.49504950495049505</v>
      </c>
      <c r="I12" s="113">
        <f>IFERROR((G12/J10)/H12,0)</f>
        <v>0.66681553831664997</v>
      </c>
      <c r="J12" s="115"/>
      <c r="L12" s="126"/>
    </row>
    <row r="13" spans="1:12">
      <c r="A13" s="19">
        <f>MONTH(Table146[[#This Row],[Ngày]])</f>
        <v>1</v>
      </c>
      <c r="B13" s="237">
        <v>43466</v>
      </c>
      <c r="C13" s="19" t="s">
        <v>307</v>
      </c>
      <c r="D13" s="19"/>
      <c r="E13" s="19" t="s">
        <v>312</v>
      </c>
      <c r="F13" s="58" t="s">
        <v>291</v>
      </c>
      <c r="G13" s="108"/>
      <c r="H13" s="99">
        <v>0.24752475247524752</v>
      </c>
      <c r="I13" s="113">
        <f>IFERROR((G13/J10)/H13,0)</f>
        <v>0</v>
      </c>
      <c r="J13" s="115"/>
      <c r="L13" s="122"/>
    </row>
    <row r="14" spans="1:12">
      <c r="A14" s="255">
        <f>MONTH(Table146[[#This Row],[Ngày]])</f>
        <v>1</v>
      </c>
      <c r="B14" s="237">
        <v>43466</v>
      </c>
      <c r="C14" s="19" t="s">
        <v>307</v>
      </c>
      <c r="D14" s="19"/>
      <c r="E14" s="19" t="s">
        <v>299</v>
      </c>
      <c r="F14" s="58" t="s">
        <v>291</v>
      </c>
      <c r="G14" s="108">
        <v>34</v>
      </c>
      <c r="H14" s="99">
        <v>0</v>
      </c>
      <c r="I14" s="117"/>
      <c r="J14" s="115"/>
      <c r="L14" s="122"/>
    </row>
    <row r="15" spans="1:12">
      <c r="A15" s="19">
        <f>MONTH(Table146[[#This Row],[Ngày]])</f>
        <v>1</v>
      </c>
      <c r="B15" s="237">
        <v>43466</v>
      </c>
      <c r="C15" s="19" t="s">
        <v>307</v>
      </c>
      <c r="D15" s="19"/>
      <c r="E15" s="19" t="s">
        <v>296</v>
      </c>
      <c r="F15" s="58" t="s">
        <v>291</v>
      </c>
      <c r="G15" s="108">
        <v>0.17599999999999999</v>
      </c>
      <c r="H15" s="99">
        <v>1.9801980198019802E-3</v>
      </c>
      <c r="I15" s="113">
        <f>IFERROR((G15/J10)/H15,0)</f>
        <v>0.86293775546860574</v>
      </c>
      <c r="J15" s="115"/>
      <c r="L15" s="15"/>
    </row>
    <row r="16" spans="1:12">
      <c r="A16" s="19">
        <f>MONTH(Table146[[#This Row],[Ngày]])</f>
        <v>1</v>
      </c>
      <c r="B16" s="237">
        <v>43466</v>
      </c>
      <c r="C16" s="19" t="s">
        <v>307</v>
      </c>
      <c r="D16" s="19"/>
      <c r="E16" s="19" t="s">
        <v>293</v>
      </c>
      <c r="F16" s="58" t="s">
        <v>295</v>
      </c>
      <c r="G16" s="108">
        <v>0.17599999999999999</v>
      </c>
      <c r="H16" s="99">
        <v>1.9801980198019802E-3</v>
      </c>
      <c r="I16" s="113">
        <f>IFERROR((G16/J10)/H16,0)</f>
        <v>0.86293775546860574</v>
      </c>
      <c r="J16" s="115"/>
    </row>
    <row r="17" spans="1:10">
      <c r="A17" s="19">
        <f>MONTH(Table146[[#This Row],[Ngày]])</f>
        <v>1</v>
      </c>
      <c r="B17" s="237">
        <v>43466</v>
      </c>
      <c r="C17" s="19" t="s">
        <v>307</v>
      </c>
      <c r="D17" s="19"/>
      <c r="E17" s="19" t="s">
        <v>297</v>
      </c>
      <c r="F17" s="58" t="s">
        <v>295</v>
      </c>
      <c r="G17" s="108">
        <v>0.17499999999999999</v>
      </c>
      <c r="H17" s="99">
        <v>5.9405940594059407E-3</v>
      </c>
      <c r="I17" s="113">
        <f>IFERROR((G17/J10)/H17,0)</f>
        <v>0.28601156667993566</v>
      </c>
      <c r="J17" s="115"/>
    </row>
    <row r="18" spans="1:10">
      <c r="A18" s="19">
        <f>MONTH(Table146[[#This Row],[Ngày]])</f>
        <v>1</v>
      </c>
      <c r="B18" s="237">
        <v>43466</v>
      </c>
      <c r="C18" s="95" t="s">
        <v>308</v>
      </c>
      <c r="D18" s="95"/>
      <c r="E18" s="95" t="s">
        <v>313</v>
      </c>
      <c r="F18" s="96" t="s">
        <v>291</v>
      </c>
      <c r="G18" s="106"/>
      <c r="H18" s="97">
        <f>SUM(H19:H25)</f>
        <v>0.99999999999999989</v>
      </c>
      <c r="I18" s="111"/>
      <c r="J18" s="112">
        <f>SUM(G19:G25)</f>
        <v>0</v>
      </c>
    </row>
    <row r="19" spans="1:10">
      <c r="A19" s="19">
        <f>MONTH(Table146[[#This Row],[Ngày]])</f>
        <v>1</v>
      </c>
      <c r="B19" s="237">
        <v>43466</v>
      </c>
      <c r="C19" s="19" t="s">
        <v>308</v>
      </c>
      <c r="D19" s="19"/>
      <c r="E19" s="42" t="s">
        <v>298</v>
      </c>
      <c r="F19" s="98" t="s">
        <v>295</v>
      </c>
      <c r="G19" s="107"/>
      <c r="H19" s="99">
        <v>0.33057851239669422</v>
      </c>
      <c r="I19" s="113">
        <f>IFERROR((G19/J18)/H19,0)</f>
        <v>0</v>
      </c>
      <c r="J19" s="114"/>
    </row>
    <row r="20" spans="1:10">
      <c r="A20" s="19">
        <f>MONTH(Table146[[#This Row],[Ngày]])</f>
        <v>1</v>
      </c>
      <c r="B20" s="237">
        <v>43466</v>
      </c>
      <c r="C20" s="19" t="s">
        <v>308</v>
      </c>
      <c r="D20" s="19"/>
      <c r="E20" s="19" t="s">
        <v>290</v>
      </c>
      <c r="F20" s="58" t="s">
        <v>291</v>
      </c>
      <c r="G20" s="108"/>
      <c r="H20" s="99">
        <v>0</v>
      </c>
      <c r="I20" s="113">
        <f>IFERROR((G20/J18)/H20,0)</f>
        <v>0</v>
      </c>
      <c r="J20" s="115"/>
    </row>
    <row r="21" spans="1:10">
      <c r="A21" s="19">
        <f>MONTH(Table146[[#This Row],[Ngày]])</f>
        <v>1</v>
      </c>
      <c r="B21" s="237">
        <v>43466</v>
      </c>
      <c r="C21" s="19" t="s">
        <v>308</v>
      </c>
      <c r="D21" s="19"/>
      <c r="E21" s="19" t="s">
        <v>299</v>
      </c>
      <c r="F21" s="58" t="s">
        <v>291</v>
      </c>
      <c r="G21" s="108"/>
      <c r="H21" s="99">
        <v>0.33057851239669422</v>
      </c>
      <c r="I21" s="113">
        <f>IFERROR((G21/J18)/H21,0)</f>
        <v>0</v>
      </c>
      <c r="J21" s="115"/>
    </row>
    <row r="22" spans="1:10">
      <c r="A22" s="19">
        <f>MONTH(Table146[[#This Row],[Ngày]])</f>
        <v>1</v>
      </c>
      <c r="B22" s="237">
        <v>43466</v>
      </c>
      <c r="C22" s="19" t="s">
        <v>308</v>
      </c>
      <c r="D22" s="19"/>
      <c r="E22" s="19" t="s">
        <v>309</v>
      </c>
      <c r="F22" s="58" t="s">
        <v>291</v>
      </c>
      <c r="G22" s="108"/>
      <c r="H22" s="99">
        <v>0.33057851239669422</v>
      </c>
      <c r="I22" s="113">
        <f>IFERROR((G22/J18)/H22,0)</f>
        <v>0</v>
      </c>
      <c r="J22" s="115"/>
    </row>
    <row r="23" spans="1:10">
      <c r="A23" s="19">
        <f>MONTH(Table146[[#This Row],[Ngày]])</f>
        <v>1</v>
      </c>
      <c r="B23" s="237">
        <v>43466</v>
      </c>
      <c r="C23" s="19" t="s">
        <v>308</v>
      </c>
      <c r="D23" s="19"/>
      <c r="E23" s="19" t="s">
        <v>296</v>
      </c>
      <c r="F23" s="58" t="s">
        <v>295</v>
      </c>
      <c r="G23" s="108"/>
      <c r="H23" s="99">
        <v>1.652892561983471E-3</v>
      </c>
      <c r="I23" s="113">
        <f>IFERROR((G23/J18)/H23,0)</f>
        <v>0</v>
      </c>
      <c r="J23" s="115"/>
    </row>
    <row r="24" spans="1:10">
      <c r="A24" s="19">
        <f>MONTH(Table146[[#This Row],[Ngày]])</f>
        <v>1</v>
      </c>
      <c r="B24" s="237">
        <v>43466</v>
      </c>
      <c r="C24" s="19" t="s">
        <v>308</v>
      </c>
      <c r="D24" s="19"/>
      <c r="E24" s="19" t="s">
        <v>293</v>
      </c>
      <c r="F24" s="58" t="s">
        <v>295</v>
      </c>
      <c r="G24" s="108"/>
      <c r="H24" s="99">
        <v>1.652892561983471E-3</v>
      </c>
      <c r="I24" s="113">
        <f>IFERROR((G24/J18)/H24,0)</f>
        <v>0</v>
      </c>
      <c r="J24" s="115"/>
    </row>
    <row r="25" spans="1:10">
      <c r="A25" s="19">
        <f>MONTH(Table146[[#This Row],[Ngày]])</f>
        <v>1</v>
      </c>
      <c r="B25" s="237">
        <v>43466</v>
      </c>
      <c r="C25" s="19" t="s">
        <v>308</v>
      </c>
      <c r="D25" s="19"/>
      <c r="E25" s="19" t="s">
        <v>297</v>
      </c>
      <c r="F25" s="58" t="s">
        <v>295</v>
      </c>
      <c r="G25" s="108"/>
      <c r="H25" s="99">
        <v>4.9586776859504135E-3</v>
      </c>
      <c r="I25" s="113">
        <f>IFERROR((G25/J18)/H25,0)</f>
        <v>0</v>
      </c>
      <c r="J25" s="115"/>
    </row>
    <row r="26" spans="1:10">
      <c r="A26" s="19">
        <f>MONTH(Table146[[#This Row],[Ngày]])</f>
        <v>1</v>
      </c>
      <c r="B26" s="237">
        <v>43466</v>
      </c>
      <c r="C26" s="95" t="s">
        <v>302</v>
      </c>
      <c r="D26" s="95"/>
      <c r="E26" s="95" t="s">
        <v>316</v>
      </c>
      <c r="F26" s="96"/>
      <c r="G26" s="106"/>
      <c r="H26" s="97">
        <f>SUM(H27:H30)</f>
        <v>1</v>
      </c>
      <c r="I26" s="111"/>
      <c r="J26" s="112">
        <f>SUM(G27:G30)</f>
        <v>0</v>
      </c>
    </row>
    <row r="27" spans="1:10">
      <c r="A27" s="19">
        <f>MONTH(Table146[[#This Row],[Ngày]])</f>
        <v>1</v>
      </c>
      <c r="B27" s="237">
        <v>43466</v>
      </c>
      <c r="C27" s="19" t="s">
        <v>302</v>
      </c>
      <c r="D27" s="19"/>
      <c r="E27" s="42" t="s">
        <v>300</v>
      </c>
      <c r="F27" s="98" t="s">
        <v>295</v>
      </c>
      <c r="G27" s="107"/>
      <c r="H27" s="99">
        <v>0.62305295950155759</v>
      </c>
      <c r="I27" s="113">
        <f>IFERROR((G27/J26)/H27,0)</f>
        <v>0</v>
      </c>
      <c r="J27" s="114"/>
    </row>
    <row r="28" spans="1:10">
      <c r="A28" s="19">
        <f>MONTH(Table146[[#This Row],[Ngày]])</f>
        <v>1</v>
      </c>
      <c r="B28" s="237">
        <v>43466</v>
      </c>
      <c r="C28" s="19" t="s">
        <v>302</v>
      </c>
      <c r="D28" s="19"/>
      <c r="E28" s="19" t="s">
        <v>290</v>
      </c>
      <c r="F28" s="58" t="s">
        <v>291</v>
      </c>
      <c r="G28" s="108"/>
      <c r="H28" s="99">
        <v>0.12461059190031153</v>
      </c>
      <c r="I28" s="113">
        <f>IFERROR((G28/J26)/H28,0)</f>
        <v>0</v>
      </c>
      <c r="J28" s="115"/>
    </row>
    <row r="29" spans="1:10">
      <c r="A29" s="19">
        <f>MONTH(Table146[[#This Row],[Ngày]])</f>
        <v>1</v>
      </c>
      <c r="B29" s="237">
        <v>43466</v>
      </c>
      <c r="C29" s="19" t="s">
        <v>302</v>
      </c>
      <c r="D29" s="19"/>
      <c r="E29" s="19" t="s">
        <v>299</v>
      </c>
      <c r="F29" s="58" t="s">
        <v>291</v>
      </c>
      <c r="G29" s="108"/>
      <c r="H29" s="99">
        <v>0.24922118380062305</v>
      </c>
      <c r="I29" s="113">
        <f>IFERROR((G29/J26)/H29,0)</f>
        <v>0</v>
      </c>
      <c r="J29" s="115"/>
    </row>
    <row r="30" spans="1:10">
      <c r="A30" s="19">
        <f>MONTH(Table146[[#This Row],[Ngày]])</f>
        <v>1</v>
      </c>
      <c r="B30" s="237">
        <v>43466</v>
      </c>
      <c r="C30" s="19" t="s">
        <v>302</v>
      </c>
      <c r="D30" s="19"/>
      <c r="E30" s="19" t="s">
        <v>297</v>
      </c>
      <c r="F30" s="58" t="s">
        <v>295</v>
      </c>
      <c r="G30" s="108"/>
      <c r="H30" s="99">
        <v>3.1152647975077881E-3</v>
      </c>
      <c r="I30" s="113">
        <f>IFERROR((G30/J26)/H30,0)</f>
        <v>0</v>
      </c>
      <c r="J30" s="115"/>
    </row>
    <row r="31" spans="1:10">
      <c r="A31" s="19">
        <f>MONTH(Table146[[#This Row],[Ngày]])</f>
        <v>1</v>
      </c>
      <c r="B31" s="237">
        <v>43466</v>
      </c>
      <c r="C31" s="95" t="s">
        <v>304</v>
      </c>
      <c r="D31" s="95"/>
      <c r="E31" s="95" t="s">
        <v>315</v>
      </c>
      <c r="F31" s="96"/>
      <c r="G31" s="106"/>
      <c r="H31" s="97">
        <f>SUM(H32:H38)</f>
        <v>0.99999999999999989</v>
      </c>
      <c r="I31" s="111"/>
      <c r="J31" s="112">
        <f>SUM(G32:G38)</f>
        <v>0</v>
      </c>
    </row>
    <row r="32" spans="1:10">
      <c r="A32" s="19">
        <f>MONTH(Table146[[#This Row],[Ngày]])</f>
        <v>1</v>
      </c>
      <c r="B32" s="237">
        <v>43466</v>
      </c>
      <c r="C32" s="19" t="s">
        <v>304</v>
      </c>
      <c r="D32" s="19"/>
      <c r="E32" s="42" t="s">
        <v>301</v>
      </c>
      <c r="F32" s="98" t="s">
        <v>295</v>
      </c>
      <c r="G32" s="107"/>
      <c r="H32" s="99">
        <v>0.33003300330033003</v>
      </c>
      <c r="I32" s="113">
        <f>IFERROR((G32/J31)/H32,0)</f>
        <v>0</v>
      </c>
      <c r="J32" s="114"/>
    </row>
    <row r="33" spans="1:10">
      <c r="A33" s="19">
        <f>MONTH(Table146[[#This Row],[Ngày]])</f>
        <v>1</v>
      </c>
      <c r="B33" s="237">
        <v>43466</v>
      </c>
      <c r="C33" s="19" t="s">
        <v>304</v>
      </c>
      <c r="D33" s="19"/>
      <c r="E33" s="19" t="s">
        <v>290</v>
      </c>
      <c r="F33" s="58" t="s">
        <v>291</v>
      </c>
      <c r="G33" s="108"/>
      <c r="H33" s="99">
        <v>0.33003300330033003</v>
      </c>
      <c r="I33" s="113">
        <f>IFERROR((G33/J31)/H33,0)</f>
        <v>0</v>
      </c>
      <c r="J33" s="115"/>
    </row>
    <row r="34" spans="1:10">
      <c r="A34" s="19">
        <f>MONTH(Table146[[#This Row],[Ngày]])</f>
        <v>1</v>
      </c>
      <c r="B34" s="237">
        <v>43466</v>
      </c>
      <c r="C34" s="19" t="s">
        <v>304</v>
      </c>
      <c r="D34" s="19"/>
      <c r="E34" s="19" t="s">
        <v>299</v>
      </c>
      <c r="F34" s="58" t="s">
        <v>291</v>
      </c>
      <c r="G34" s="108"/>
      <c r="H34" s="99">
        <v>0.33003300330033003</v>
      </c>
      <c r="I34" s="113">
        <f>IFERROR((G34/J31)/H34,0)</f>
        <v>0</v>
      </c>
      <c r="J34" s="115"/>
    </row>
    <row r="35" spans="1:10">
      <c r="A35" s="19">
        <f>MONTH(Table146[[#This Row],[Ngày]])</f>
        <v>1</v>
      </c>
      <c r="B35" s="237">
        <v>43466</v>
      </c>
      <c r="C35" s="19" t="s">
        <v>304</v>
      </c>
      <c r="D35" s="19"/>
      <c r="E35" s="19" t="s">
        <v>292</v>
      </c>
      <c r="F35" s="58" t="s">
        <v>291</v>
      </c>
      <c r="G35" s="108"/>
      <c r="H35" s="99">
        <v>0</v>
      </c>
      <c r="I35" s="113">
        <f>IFERROR((G35/J31)/H35,0)</f>
        <v>0</v>
      </c>
      <c r="J35" s="115"/>
    </row>
    <row r="36" spans="1:10">
      <c r="A36" s="19">
        <f>MONTH(Table146[[#This Row],[Ngày]])</f>
        <v>1</v>
      </c>
      <c r="B36" s="237">
        <v>43466</v>
      </c>
      <c r="C36" s="19" t="s">
        <v>304</v>
      </c>
      <c r="D36" s="19"/>
      <c r="E36" s="19" t="s">
        <v>296</v>
      </c>
      <c r="F36" s="58" t="s">
        <v>295</v>
      </c>
      <c r="G36" s="108"/>
      <c r="H36" s="99">
        <v>1.6501650165016502E-3</v>
      </c>
      <c r="I36" s="113">
        <f>IFERROR((G36/J31)/H36,0)</f>
        <v>0</v>
      </c>
      <c r="J36" s="115"/>
    </row>
    <row r="37" spans="1:10">
      <c r="A37" s="19">
        <f>MONTH(Table146[[#This Row],[Ngày]])</f>
        <v>1</v>
      </c>
      <c r="B37" s="237">
        <v>43466</v>
      </c>
      <c r="C37" s="19" t="s">
        <v>304</v>
      </c>
      <c r="D37" s="19"/>
      <c r="E37" s="19" t="s">
        <v>293</v>
      </c>
      <c r="F37" s="58" t="s">
        <v>295</v>
      </c>
      <c r="G37" s="108"/>
      <c r="H37" s="99">
        <v>1.6501650165016502E-3</v>
      </c>
      <c r="I37" s="113">
        <f>IFERROR((G37/J31)/H37,0)</f>
        <v>0</v>
      </c>
      <c r="J37" s="115"/>
    </row>
    <row r="38" spans="1:10">
      <c r="A38" s="19">
        <f>MONTH(Table146[[#This Row],[Ngày]])</f>
        <v>1</v>
      </c>
      <c r="B38" s="237">
        <v>43466</v>
      </c>
      <c r="C38" s="19" t="s">
        <v>304</v>
      </c>
      <c r="D38" s="19"/>
      <c r="E38" s="19" t="s">
        <v>297</v>
      </c>
      <c r="F38" s="58" t="s">
        <v>295</v>
      </c>
      <c r="G38" s="108"/>
      <c r="H38" s="99">
        <v>6.6006600660066007E-3</v>
      </c>
      <c r="I38" s="113">
        <f>IFERROR((G38/J31)/H38,0)</f>
        <v>0</v>
      </c>
      <c r="J38" s="115"/>
    </row>
    <row r="39" spans="1:10">
      <c r="A39" s="19">
        <f>MONTH(Table146[[#This Row],[Ngày]])</f>
        <v>1</v>
      </c>
      <c r="B39" s="237">
        <v>43466</v>
      </c>
      <c r="C39" s="95" t="s">
        <v>305</v>
      </c>
      <c r="D39" s="95"/>
      <c r="E39" s="95" t="s">
        <v>314</v>
      </c>
      <c r="F39" s="96"/>
      <c r="G39" s="106"/>
      <c r="H39" s="97">
        <f>SUM(H40:H43)</f>
        <v>1</v>
      </c>
      <c r="I39" s="111"/>
      <c r="J39" s="112">
        <f>SUM(G40:G43)</f>
        <v>0</v>
      </c>
    </row>
    <row r="40" spans="1:10">
      <c r="A40" s="19">
        <f>MONTH(Table146[[#This Row],[Ngày]])</f>
        <v>1</v>
      </c>
      <c r="B40" s="237">
        <v>43466</v>
      </c>
      <c r="C40" s="19" t="s">
        <v>305</v>
      </c>
      <c r="D40" s="19"/>
      <c r="E40" s="42" t="s">
        <v>326</v>
      </c>
      <c r="F40" s="98" t="s">
        <v>295</v>
      </c>
      <c r="G40" s="107"/>
      <c r="H40" s="99">
        <v>0.76923076923076927</v>
      </c>
      <c r="I40" s="113">
        <f>IFERROR((G40/J39)/H40,0)</f>
        <v>0</v>
      </c>
      <c r="J40" s="114"/>
    </row>
    <row r="41" spans="1:10">
      <c r="A41" s="19">
        <f>MONTH(Table146[[#This Row],[Ngày]])</f>
        <v>1</v>
      </c>
      <c r="B41" s="237">
        <v>43466</v>
      </c>
      <c r="C41" s="19" t="s">
        <v>305</v>
      </c>
      <c r="D41" s="19"/>
      <c r="E41" s="19" t="s">
        <v>292</v>
      </c>
      <c r="F41" s="58" t="s">
        <v>291</v>
      </c>
      <c r="G41" s="107"/>
      <c r="H41" s="99">
        <v>0</v>
      </c>
      <c r="I41" s="113">
        <f>IFERROR((G41/J39)/H41,0)</f>
        <v>0</v>
      </c>
      <c r="J41" s="114"/>
    </row>
    <row r="42" spans="1:10">
      <c r="A42" s="19">
        <f>MONTH(Table146[[#This Row],[Ngày]])</f>
        <v>1</v>
      </c>
      <c r="B42" s="237">
        <v>43466</v>
      </c>
      <c r="C42" s="19" t="s">
        <v>305</v>
      </c>
      <c r="D42" s="19"/>
      <c r="E42" s="19" t="s">
        <v>290</v>
      </c>
      <c r="F42" s="58" t="s">
        <v>291</v>
      </c>
      <c r="G42" s="108"/>
      <c r="H42" s="99">
        <v>7.6923076923076927E-2</v>
      </c>
      <c r="I42" s="113">
        <f>IFERROR((G42/J39)/H42,0)</f>
        <v>0</v>
      </c>
      <c r="J42" s="115"/>
    </row>
    <row r="43" spans="1:10">
      <c r="A43" s="19">
        <f>MONTH(Table146[[#This Row],[Ngày]])</f>
        <v>1</v>
      </c>
      <c r="B43" s="237">
        <v>43466</v>
      </c>
      <c r="C43" s="19" t="s">
        <v>305</v>
      </c>
      <c r="D43" s="19"/>
      <c r="E43" s="19" t="s">
        <v>299</v>
      </c>
      <c r="F43" s="58" t="s">
        <v>291</v>
      </c>
      <c r="G43" s="108"/>
      <c r="H43" s="99">
        <v>0.15384615384615385</v>
      </c>
      <c r="I43" s="113">
        <f>IFERROR((G43/J39)/H43,0)</f>
        <v>0</v>
      </c>
      <c r="J43" s="115"/>
    </row>
    <row r="44" spans="1:10">
      <c r="A44" s="19">
        <f>MONTH(Table146[[#This Row],[Ngày]])</f>
        <v>1</v>
      </c>
      <c r="B44" s="237">
        <v>43466</v>
      </c>
      <c r="C44" s="95" t="s">
        <v>306</v>
      </c>
      <c r="D44" s="102"/>
      <c r="E44" s="95" t="s">
        <v>314</v>
      </c>
      <c r="F44" s="103"/>
      <c r="G44" s="106"/>
      <c r="H44" s="100">
        <f>SUM(H45:H48)</f>
        <v>1</v>
      </c>
      <c r="I44" s="116"/>
      <c r="J44" s="112">
        <f>SUM(G45:G48)</f>
        <v>0</v>
      </c>
    </row>
    <row r="45" spans="1:10">
      <c r="A45" s="19">
        <f>MONTH(Table146[[#This Row],[Ngày]])</f>
        <v>1</v>
      </c>
      <c r="B45" s="237">
        <v>43466</v>
      </c>
      <c r="C45" s="19" t="s">
        <v>306</v>
      </c>
      <c r="D45" s="19"/>
      <c r="E45" s="42" t="s">
        <v>327</v>
      </c>
      <c r="F45" s="98" t="s">
        <v>295</v>
      </c>
      <c r="G45" s="107"/>
      <c r="H45" s="99">
        <v>0.76923076923076927</v>
      </c>
      <c r="I45" s="117">
        <f>IFERROR((G45/J44)/H45,0)</f>
        <v>0</v>
      </c>
      <c r="J45" s="114"/>
    </row>
    <row r="46" spans="1:10">
      <c r="A46" s="19">
        <f>MONTH(Table146[[#This Row],[Ngày]])</f>
        <v>1</v>
      </c>
      <c r="B46" s="237">
        <v>43466</v>
      </c>
      <c r="C46" s="19" t="s">
        <v>306</v>
      </c>
      <c r="D46" s="19"/>
      <c r="E46" s="19" t="s">
        <v>292</v>
      </c>
      <c r="F46" s="58" t="s">
        <v>291</v>
      </c>
      <c r="G46" s="107"/>
      <c r="H46" s="99">
        <v>0</v>
      </c>
      <c r="I46" s="117">
        <f>IFERROR((G46/J44)/H46,0)</f>
        <v>0</v>
      </c>
      <c r="J46" s="114"/>
    </row>
    <row r="47" spans="1:10">
      <c r="A47" s="19">
        <f>MONTH(Table146[[#This Row],[Ngày]])</f>
        <v>1</v>
      </c>
      <c r="B47" s="237">
        <v>43466</v>
      </c>
      <c r="C47" s="19" t="s">
        <v>306</v>
      </c>
      <c r="D47" s="19"/>
      <c r="E47" s="19" t="s">
        <v>290</v>
      </c>
      <c r="F47" s="58" t="s">
        <v>291</v>
      </c>
      <c r="G47" s="108"/>
      <c r="H47" s="99">
        <v>7.6923076923076927E-2</v>
      </c>
      <c r="I47" s="117">
        <f>IFERROR((G47/J44)/H47,0)</f>
        <v>0</v>
      </c>
      <c r="J47" s="115"/>
    </row>
    <row r="48" spans="1:10">
      <c r="A48" s="19">
        <f>MONTH(Table146[[#This Row],[Ngày]])</f>
        <v>1</v>
      </c>
      <c r="B48" s="237">
        <v>43466</v>
      </c>
      <c r="C48" s="19" t="s">
        <v>306</v>
      </c>
      <c r="D48" s="101"/>
      <c r="E48" s="101" t="s">
        <v>299</v>
      </c>
      <c r="F48" s="104" t="s">
        <v>291</v>
      </c>
      <c r="G48" s="110"/>
      <c r="H48" s="105">
        <v>0.15384615384615385</v>
      </c>
      <c r="I48" s="117">
        <f>IFERROR((G48/J44)/H48,0)</f>
        <v>0</v>
      </c>
      <c r="J48" s="118"/>
    </row>
    <row r="49" spans="1:10">
      <c r="A49" s="19">
        <f>MONTH(Table146[[#This Row],[Ngày]])</f>
        <v>1</v>
      </c>
      <c r="B49" s="237">
        <v>43466</v>
      </c>
      <c r="C49" s="95" t="s">
        <v>6</v>
      </c>
      <c r="D49" s="102"/>
      <c r="E49" s="95" t="s">
        <v>310</v>
      </c>
      <c r="F49" s="103"/>
      <c r="G49" s="106"/>
      <c r="H49" s="100">
        <f>SUM(H50:H53)</f>
        <v>1.7425742574257426</v>
      </c>
      <c r="I49" s="116"/>
      <c r="J49" s="112">
        <f>G49</f>
        <v>0</v>
      </c>
    </row>
    <row r="50" spans="1:10" ht="16" thickBot="1">
      <c r="A50" s="19">
        <f>MONTH(Table146[[#This Row],[Ngày]])</f>
        <v>1</v>
      </c>
      <c r="B50" s="238">
        <v>43466</v>
      </c>
      <c r="C50" s="230" t="s">
        <v>6</v>
      </c>
      <c r="D50" s="230"/>
      <c r="E50" s="231" t="s">
        <v>309</v>
      </c>
      <c r="F50" s="232" t="s">
        <v>295</v>
      </c>
      <c r="G50" s="233"/>
      <c r="H50" s="234"/>
      <c r="I50" s="235">
        <f>IFERROR((G50/J49)/H50,0)</f>
        <v>0</v>
      </c>
      <c r="J50" s="236"/>
    </row>
    <row r="51" spans="1:10">
      <c r="A51" s="225">
        <f>MONTH(Table146[[#This Row],[Ngày]])</f>
        <v>1</v>
      </c>
      <c r="B51" s="239">
        <v>43467</v>
      </c>
      <c r="C51" s="227" t="s">
        <v>303</v>
      </c>
      <c r="D51" s="227"/>
      <c r="E51" s="227" t="s">
        <v>312</v>
      </c>
      <c r="F51" s="228" t="s">
        <v>291</v>
      </c>
      <c r="G51" s="229"/>
      <c r="H51" s="97">
        <f>SUM(H52:H57)</f>
        <v>1</v>
      </c>
      <c r="I51" s="111"/>
      <c r="J51" s="112">
        <f>SUM(G52:G57)</f>
        <v>26.823000000000004</v>
      </c>
    </row>
    <row r="52" spans="1:10">
      <c r="A52" s="225">
        <f>MONTH(Table146[[#This Row],[Ngày]])</f>
        <v>1</v>
      </c>
      <c r="B52" s="239">
        <v>43467</v>
      </c>
      <c r="C52" s="19" t="s">
        <v>303</v>
      </c>
      <c r="D52" s="19"/>
      <c r="E52" s="42" t="s">
        <v>294</v>
      </c>
      <c r="F52" s="98" t="s">
        <v>295</v>
      </c>
      <c r="G52" s="107">
        <v>10.55</v>
      </c>
      <c r="H52" s="99">
        <v>0.24752475247524752</v>
      </c>
      <c r="I52" s="113">
        <f>IFERROR((G52/J51)/H52,0)</f>
        <v>1.5890094322037056</v>
      </c>
      <c r="J52" s="114"/>
    </row>
    <row r="53" spans="1:10">
      <c r="A53" s="225">
        <f>MONTH(Table146[[#This Row],[Ngày]])</f>
        <v>1</v>
      </c>
      <c r="B53" s="239">
        <v>43467</v>
      </c>
      <c r="C53" s="19" t="s">
        <v>303</v>
      </c>
      <c r="D53" s="19"/>
      <c r="E53" s="19" t="s">
        <v>290</v>
      </c>
      <c r="F53" s="58" t="s">
        <v>291</v>
      </c>
      <c r="G53" s="108">
        <v>16</v>
      </c>
      <c r="H53" s="99">
        <v>0.49504950495049505</v>
      </c>
      <c r="I53" s="113">
        <f>IFERROR((G53/J51)/H53,0)</f>
        <v>1.2049360623345635</v>
      </c>
      <c r="J53" s="115"/>
    </row>
    <row r="54" spans="1:10">
      <c r="A54" s="255">
        <f>MONTH(Table146[[#This Row],[Ngày]])</f>
        <v>1</v>
      </c>
      <c r="B54" s="239">
        <v>43467</v>
      </c>
      <c r="C54" s="19" t="s">
        <v>303</v>
      </c>
      <c r="D54" s="19"/>
      <c r="E54" s="19" t="s">
        <v>312</v>
      </c>
      <c r="F54" s="58" t="s">
        <v>291</v>
      </c>
      <c r="G54" s="108"/>
      <c r="H54" s="99">
        <v>0.24752475247524752</v>
      </c>
      <c r="I54" s="113">
        <f>IFERROR((G54/J51)/H54,0)</f>
        <v>0</v>
      </c>
      <c r="J54" s="115"/>
    </row>
    <row r="55" spans="1:10">
      <c r="A55" s="225">
        <f>MONTH(Table146[[#This Row],[Ngày]])</f>
        <v>1</v>
      </c>
      <c r="B55" s="239">
        <v>43467</v>
      </c>
      <c r="C55" s="19" t="s">
        <v>303</v>
      </c>
      <c r="D55" s="19"/>
      <c r="E55" s="19" t="s">
        <v>296</v>
      </c>
      <c r="F55" s="58" t="s">
        <v>295</v>
      </c>
      <c r="G55" s="109">
        <v>5.8999999999999997E-2</v>
      </c>
      <c r="H55" s="99">
        <v>1.9801980198019802E-3</v>
      </c>
      <c r="I55" s="113">
        <f>IFERROR((G55/J51)/H55,0)</f>
        <v>1.1108004324646754</v>
      </c>
      <c r="J55" s="115"/>
    </row>
    <row r="56" spans="1:10">
      <c r="A56" s="225">
        <f>MONTH(Table146[[#This Row],[Ngày]])</f>
        <v>1</v>
      </c>
      <c r="B56" s="239">
        <v>43467</v>
      </c>
      <c r="C56" s="19" t="s">
        <v>303</v>
      </c>
      <c r="D56" s="19"/>
      <c r="E56" s="19" t="s">
        <v>293</v>
      </c>
      <c r="F56" s="58" t="s">
        <v>295</v>
      </c>
      <c r="G56" s="108">
        <v>0.05</v>
      </c>
      <c r="H56" s="99">
        <v>1.9801980198019802E-3</v>
      </c>
      <c r="I56" s="113">
        <f>IFERROR((G56/J51)/H56,0)</f>
        <v>0.94135629869887771</v>
      </c>
      <c r="J56" s="115"/>
    </row>
    <row r="57" spans="1:10">
      <c r="A57" s="225">
        <f>MONTH(Table146[[#This Row],[Ngày]])</f>
        <v>1</v>
      </c>
      <c r="B57" s="239">
        <v>43467</v>
      </c>
      <c r="C57" s="19" t="s">
        <v>303</v>
      </c>
      <c r="D57" s="19"/>
      <c r="E57" s="19" t="s">
        <v>297</v>
      </c>
      <c r="F57" s="58" t="s">
        <v>295</v>
      </c>
      <c r="G57" s="108">
        <v>0.16400000000000001</v>
      </c>
      <c r="H57" s="99">
        <v>5.9405940594059407E-3</v>
      </c>
      <c r="I57" s="113">
        <f>IFERROR((G57/J51)/H57,0)</f>
        <v>1.0292162199107731</v>
      </c>
      <c r="J57" s="115"/>
    </row>
    <row r="58" spans="1:10">
      <c r="A58" s="225">
        <f>MONTH(Table146[[#This Row],[Ngày]])</f>
        <v>1</v>
      </c>
      <c r="B58" s="239">
        <v>43467</v>
      </c>
      <c r="C58" s="102" t="s">
        <v>307</v>
      </c>
      <c r="D58" s="102"/>
      <c r="E58" s="102" t="s">
        <v>312</v>
      </c>
      <c r="F58" s="103" t="s">
        <v>291</v>
      </c>
      <c r="G58" s="106"/>
      <c r="H58" s="97">
        <f>SUM(H59:H65)</f>
        <v>1</v>
      </c>
      <c r="I58" s="111"/>
      <c r="J58" s="112">
        <f>SUM(G59:G65)</f>
        <v>174.86800000000002</v>
      </c>
    </row>
    <row r="59" spans="1:10">
      <c r="A59" s="225">
        <f>MONTH(Table146[[#This Row],[Ngày]])</f>
        <v>1</v>
      </c>
      <c r="B59" s="239">
        <v>43467</v>
      </c>
      <c r="C59" s="19" t="s">
        <v>307</v>
      </c>
      <c r="D59" s="19"/>
      <c r="E59" s="42" t="s">
        <v>298</v>
      </c>
      <c r="F59" s="98" t="s">
        <v>295</v>
      </c>
      <c r="G59" s="107">
        <f>57410/1000</f>
        <v>57.41</v>
      </c>
      <c r="H59" s="99">
        <v>0.2479338842975207</v>
      </c>
      <c r="I59" s="113">
        <f>IFERROR((G59/J58)/H59,0)</f>
        <v>1.3241626064612542</v>
      </c>
      <c r="J59" s="114"/>
    </row>
    <row r="60" spans="1:10">
      <c r="A60" s="225">
        <f>MONTH(Table146[[#This Row],[Ngày]])</f>
        <v>1</v>
      </c>
      <c r="B60" s="239">
        <v>43467</v>
      </c>
      <c r="C60" s="19" t="s">
        <v>307</v>
      </c>
      <c r="D60" s="19"/>
      <c r="E60" s="19" t="s">
        <v>290</v>
      </c>
      <c r="F60" s="58" t="s">
        <v>291</v>
      </c>
      <c r="G60" s="108">
        <v>58</v>
      </c>
      <c r="H60" s="99">
        <v>0.49586776859504139</v>
      </c>
      <c r="I60" s="113">
        <f>IFERROR((G60/J58)/H60,0)</f>
        <v>0.66888548314538188</v>
      </c>
      <c r="J60" s="115"/>
    </row>
    <row r="61" spans="1:10">
      <c r="A61" s="225">
        <f>MONTH(Table146[[#This Row],[Ngày]])</f>
        <v>1</v>
      </c>
      <c r="B61" s="239">
        <v>43467</v>
      </c>
      <c r="C61" s="19" t="s">
        <v>307</v>
      </c>
      <c r="D61" s="19"/>
      <c r="E61" s="19" t="s">
        <v>299</v>
      </c>
      <c r="F61" s="58" t="s">
        <v>291</v>
      </c>
      <c r="G61" s="108">
        <v>58</v>
      </c>
      <c r="H61" s="99">
        <v>0.2479338842975207</v>
      </c>
      <c r="I61" s="113">
        <f>IFERROR((G61/J58)/H61,0)</f>
        <v>1.3377709662907638</v>
      </c>
      <c r="J61" s="115"/>
    </row>
    <row r="62" spans="1:10">
      <c r="A62" s="225">
        <f>MONTH(Table146[[#This Row],[Ngày]])</f>
        <v>1</v>
      </c>
      <c r="B62" s="239">
        <v>43467</v>
      </c>
      <c r="C62" s="19" t="s">
        <v>307</v>
      </c>
      <c r="D62" s="19"/>
      <c r="E62" s="19" t="s">
        <v>292</v>
      </c>
      <c r="F62" s="58" t="s">
        <v>291</v>
      </c>
      <c r="G62" s="108"/>
      <c r="H62" s="99">
        <v>0</v>
      </c>
      <c r="I62" s="113">
        <f>IFERROR((G62/J58)/H62,0)</f>
        <v>0</v>
      </c>
      <c r="J62" s="115"/>
    </row>
    <row r="63" spans="1:10">
      <c r="A63" s="225">
        <f>MONTH(Table146[[#This Row],[Ngày]])</f>
        <v>1</v>
      </c>
      <c r="B63" s="239">
        <v>43467</v>
      </c>
      <c r="C63" s="19" t="s">
        <v>307</v>
      </c>
      <c r="D63" s="19"/>
      <c r="E63" s="19" t="s">
        <v>296</v>
      </c>
      <c r="F63" s="58" t="s">
        <v>295</v>
      </c>
      <c r="G63" s="108">
        <v>0.29299999999999998</v>
      </c>
      <c r="H63" s="99">
        <v>1.652892561983471E-3</v>
      </c>
      <c r="I63" s="113">
        <f>IFERROR((G63/J58)/H63,0)</f>
        <v>1.0137074822151564</v>
      </c>
      <c r="J63" s="115"/>
    </row>
    <row r="64" spans="1:10">
      <c r="A64" s="225">
        <f>MONTH(Table146[[#This Row],[Ngày]])</f>
        <v>1</v>
      </c>
      <c r="B64" s="239">
        <v>43467</v>
      </c>
      <c r="C64" s="19" t="s">
        <v>307</v>
      </c>
      <c r="D64" s="19"/>
      <c r="E64" s="19" t="s">
        <v>293</v>
      </c>
      <c r="F64" s="58" t="s">
        <v>295</v>
      </c>
      <c r="G64" s="108">
        <v>0.3</v>
      </c>
      <c r="H64" s="99">
        <v>1.652892561983471E-3</v>
      </c>
      <c r="I64" s="113">
        <f>IFERROR((G64/J58)/H64,0)</f>
        <v>1.0379257497083514</v>
      </c>
      <c r="J64" s="115"/>
    </row>
    <row r="65" spans="1:10">
      <c r="A65" s="225">
        <f>MONTH(Table146[[#This Row],[Ngày]])</f>
        <v>1</v>
      </c>
      <c r="B65" s="239">
        <v>43467</v>
      </c>
      <c r="C65" s="19" t="s">
        <v>307</v>
      </c>
      <c r="D65" s="19"/>
      <c r="E65" s="19" t="s">
        <v>297</v>
      </c>
      <c r="F65" s="58" t="s">
        <v>295</v>
      </c>
      <c r="G65" s="108">
        <v>0.86499999999999999</v>
      </c>
      <c r="H65" s="99">
        <v>4.9586776859504135E-3</v>
      </c>
      <c r="I65" s="113">
        <f>IFERROR((G65/J58)/H65,0)</f>
        <v>0.99756197055302642</v>
      </c>
      <c r="J65" s="115"/>
    </row>
    <row r="66" spans="1:10">
      <c r="A66" s="225">
        <f>MONTH(Table146[[#This Row],[Ngày]])</f>
        <v>1</v>
      </c>
      <c r="B66" s="239">
        <v>43467</v>
      </c>
      <c r="C66" s="102" t="s">
        <v>308</v>
      </c>
      <c r="D66" s="102"/>
      <c r="E66" s="102" t="s">
        <v>313</v>
      </c>
      <c r="F66" s="103" t="s">
        <v>291</v>
      </c>
      <c r="G66" s="106"/>
      <c r="H66" s="97">
        <f>SUM(H67:H73)</f>
        <v>0.99999999999999989</v>
      </c>
      <c r="I66" s="111"/>
      <c r="J66" s="112">
        <f>SUM(G67:G73)</f>
        <v>193.279</v>
      </c>
    </row>
    <row r="67" spans="1:10">
      <c r="A67" s="225">
        <f>MONTH(Table146[[#This Row],[Ngày]])</f>
        <v>1</v>
      </c>
      <c r="B67" s="239">
        <v>43467</v>
      </c>
      <c r="C67" s="19" t="s">
        <v>308</v>
      </c>
      <c r="D67" s="19"/>
      <c r="E67" s="42" t="s">
        <v>298</v>
      </c>
      <c r="F67" s="98" t="s">
        <v>295</v>
      </c>
      <c r="G67" s="107">
        <f>63650/1000</f>
        <v>63.65</v>
      </c>
      <c r="H67" s="99">
        <v>0.33057851239669422</v>
      </c>
      <c r="I67" s="113">
        <f>IFERROR((G67/J66)/H67,0)</f>
        <v>0.99618297900961816</v>
      </c>
      <c r="J67" s="114"/>
    </row>
    <row r="68" spans="1:10">
      <c r="A68" s="225">
        <f>MONTH(Table146[[#This Row],[Ngày]])</f>
        <v>1</v>
      </c>
      <c r="B68" s="239">
        <v>43467</v>
      </c>
      <c r="C68" s="19" t="s">
        <v>308</v>
      </c>
      <c r="D68" s="19"/>
      <c r="E68" s="19" t="s">
        <v>290</v>
      </c>
      <c r="F68" s="58" t="s">
        <v>291</v>
      </c>
      <c r="G68" s="108"/>
      <c r="H68" s="99">
        <v>0</v>
      </c>
      <c r="I68" s="113">
        <f>IFERROR((G68/J66)/H68,0)</f>
        <v>0</v>
      </c>
      <c r="J68" s="115"/>
    </row>
    <row r="69" spans="1:10">
      <c r="A69" s="225">
        <f>MONTH(Table146[[#This Row],[Ngày]])</f>
        <v>1</v>
      </c>
      <c r="B69" s="239">
        <v>43467</v>
      </c>
      <c r="C69" s="19" t="s">
        <v>308</v>
      </c>
      <c r="D69" s="19"/>
      <c r="E69" s="19" t="s">
        <v>299</v>
      </c>
      <c r="F69" s="58" t="s">
        <v>291</v>
      </c>
      <c r="G69" s="108">
        <v>64</v>
      </c>
      <c r="H69" s="99">
        <v>0.33057851239669422</v>
      </c>
      <c r="I69" s="113">
        <f>IFERROR((G69/J66)/H69,0)</f>
        <v>1.0016608115729075</v>
      </c>
      <c r="J69" s="115"/>
    </row>
    <row r="70" spans="1:10">
      <c r="A70" s="225">
        <f>MONTH(Table146[[#This Row],[Ngày]])</f>
        <v>1</v>
      </c>
      <c r="B70" s="239">
        <v>43467</v>
      </c>
      <c r="C70" s="19" t="s">
        <v>308</v>
      </c>
      <c r="D70" s="19"/>
      <c r="E70" s="19" t="s">
        <v>309</v>
      </c>
      <c r="F70" s="58" t="s">
        <v>291</v>
      </c>
      <c r="G70" s="108">
        <v>64</v>
      </c>
      <c r="H70" s="99">
        <v>0.33057851239669422</v>
      </c>
      <c r="I70" s="113">
        <f>IFERROR((G70/J66)/H70,0)</f>
        <v>1.0016608115729075</v>
      </c>
      <c r="J70" s="115"/>
    </row>
    <row r="71" spans="1:10">
      <c r="A71" s="225">
        <f>MONTH(Table146[[#This Row],[Ngày]])</f>
        <v>1</v>
      </c>
      <c r="B71" s="239">
        <v>43467</v>
      </c>
      <c r="C71" s="19" t="s">
        <v>308</v>
      </c>
      <c r="D71" s="19"/>
      <c r="E71" s="19" t="s">
        <v>296</v>
      </c>
      <c r="F71" s="58" t="s">
        <v>295</v>
      </c>
      <c r="G71" s="108">
        <v>0.32300000000000001</v>
      </c>
      <c r="H71" s="99">
        <v>1.652892561983471E-3</v>
      </c>
      <c r="I71" s="113">
        <f>IFERROR((G71/J66)/H71,0)</f>
        <v>1.0110513816814035</v>
      </c>
      <c r="J71" s="115"/>
    </row>
    <row r="72" spans="1:10">
      <c r="A72" s="225">
        <f>MONTH(Table146[[#This Row],[Ngày]])</f>
        <v>1</v>
      </c>
      <c r="B72" s="239">
        <v>43467</v>
      </c>
      <c r="C72" s="19" t="s">
        <v>308</v>
      </c>
      <c r="D72" s="19"/>
      <c r="E72" s="19" t="s">
        <v>293</v>
      </c>
      <c r="F72" s="58" t="s">
        <v>295</v>
      </c>
      <c r="G72" s="108">
        <v>0.32500000000000001</v>
      </c>
      <c r="H72" s="99">
        <v>1.652892561983471E-3</v>
      </c>
      <c r="I72" s="113">
        <f>IFERROR((G72/J66)/H72,0)</f>
        <v>1.0173117617537342</v>
      </c>
      <c r="J72" s="115"/>
    </row>
    <row r="73" spans="1:10">
      <c r="A73" s="225">
        <f>MONTH(Table146[[#This Row],[Ngày]])</f>
        <v>1</v>
      </c>
      <c r="B73" s="239">
        <v>43467</v>
      </c>
      <c r="C73" s="19" t="s">
        <v>308</v>
      </c>
      <c r="D73" s="19"/>
      <c r="E73" s="19" t="s">
        <v>297</v>
      </c>
      <c r="F73" s="58" t="s">
        <v>295</v>
      </c>
      <c r="G73" s="108">
        <v>0.98099999999999998</v>
      </c>
      <c r="H73" s="99">
        <v>4.9586776859504135E-3</v>
      </c>
      <c r="I73" s="113">
        <f>IFERROR((G73/J66)/H73,0)</f>
        <v>1.0235721418260648</v>
      </c>
      <c r="J73" s="115"/>
    </row>
    <row r="74" spans="1:10">
      <c r="A74" s="225">
        <f>MONTH(Table146[[#This Row],[Ngày]])</f>
        <v>1</v>
      </c>
      <c r="B74" s="239">
        <v>43467</v>
      </c>
      <c r="C74" s="102" t="s">
        <v>302</v>
      </c>
      <c r="D74" s="102"/>
      <c r="E74" s="102" t="s">
        <v>316</v>
      </c>
      <c r="F74" s="103"/>
      <c r="G74" s="106">
        <f>SUM(G75:G78)</f>
        <v>0</v>
      </c>
      <c r="H74" s="97">
        <f>SUM(H75:H78)</f>
        <v>1</v>
      </c>
      <c r="I74" s="111"/>
      <c r="J74" s="112">
        <f>SUM(G75:G78)</f>
        <v>0</v>
      </c>
    </row>
    <row r="75" spans="1:10">
      <c r="A75" s="225">
        <f>MONTH(Table146[[#This Row],[Ngày]])</f>
        <v>1</v>
      </c>
      <c r="B75" s="239">
        <v>43467</v>
      </c>
      <c r="C75" s="19" t="s">
        <v>302</v>
      </c>
      <c r="D75" s="19"/>
      <c r="E75" s="42" t="s">
        <v>300</v>
      </c>
      <c r="F75" s="98" t="s">
        <v>295</v>
      </c>
      <c r="G75" s="107"/>
      <c r="H75" s="99">
        <v>0.62305295950155759</v>
      </c>
      <c r="I75" s="113">
        <f>IFERROR((G75/J74)/H75,0)</f>
        <v>0</v>
      </c>
      <c r="J75" s="114"/>
    </row>
    <row r="76" spans="1:10">
      <c r="A76" s="225">
        <f>MONTH(Table146[[#This Row],[Ngày]])</f>
        <v>1</v>
      </c>
      <c r="B76" s="239">
        <v>43467</v>
      </c>
      <c r="C76" s="19" t="s">
        <v>302</v>
      </c>
      <c r="D76" s="19"/>
      <c r="E76" s="19" t="s">
        <v>290</v>
      </c>
      <c r="F76" s="58" t="s">
        <v>291</v>
      </c>
      <c r="G76" s="108"/>
      <c r="H76" s="99">
        <v>0.12461059190031153</v>
      </c>
      <c r="I76" s="113">
        <f>IFERROR((G76/J74)/H76,0)</f>
        <v>0</v>
      </c>
      <c r="J76" s="115"/>
    </row>
    <row r="77" spans="1:10">
      <c r="A77" s="225">
        <f>MONTH(Table146[[#This Row],[Ngày]])</f>
        <v>1</v>
      </c>
      <c r="B77" s="239">
        <v>43467</v>
      </c>
      <c r="C77" s="19" t="s">
        <v>302</v>
      </c>
      <c r="D77" s="19"/>
      <c r="E77" s="19" t="s">
        <v>299</v>
      </c>
      <c r="F77" s="58" t="s">
        <v>291</v>
      </c>
      <c r="G77" s="108"/>
      <c r="H77" s="99">
        <v>0.24922118380062305</v>
      </c>
      <c r="I77" s="113">
        <f>IFERROR((G77/J74)/H77,0)</f>
        <v>0</v>
      </c>
      <c r="J77" s="115"/>
    </row>
    <row r="78" spans="1:10">
      <c r="A78" s="225">
        <f>MONTH(Table146[[#This Row],[Ngày]])</f>
        <v>1</v>
      </c>
      <c r="B78" s="239">
        <v>43467</v>
      </c>
      <c r="C78" s="19" t="s">
        <v>302</v>
      </c>
      <c r="D78" s="19"/>
      <c r="E78" s="19" t="s">
        <v>297</v>
      </c>
      <c r="F78" s="58" t="s">
        <v>295</v>
      </c>
      <c r="G78" s="108"/>
      <c r="H78" s="99">
        <v>3.1152647975077881E-3</v>
      </c>
      <c r="I78" s="113">
        <f>IFERROR((G78/J74)/H78,0)</f>
        <v>0</v>
      </c>
      <c r="J78" s="115"/>
    </row>
    <row r="79" spans="1:10">
      <c r="A79" s="225">
        <f>MONTH(Table146[[#This Row],[Ngày]])</f>
        <v>1</v>
      </c>
      <c r="B79" s="239">
        <v>43467</v>
      </c>
      <c r="C79" s="102" t="s">
        <v>304</v>
      </c>
      <c r="D79" s="102"/>
      <c r="E79" s="102" t="s">
        <v>315</v>
      </c>
      <c r="F79" s="103"/>
      <c r="G79" s="106">
        <f>SUM(G80:G86)</f>
        <v>0</v>
      </c>
      <c r="H79" s="97">
        <f>SUM(H80:H86)</f>
        <v>0.99999999999999989</v>
      </c>
      <c r="I79" s="111"/>
      <c r="J79" s="112">
        <f>SUM(G80:G86)</f>
        <v>0</v>
      </c>
    </row>
    <row r="80" spans="1:10">
      <c r="A80" s="225">
        <f>MONTH(Table146[[#This Row],[Ngày]])</f>
        <v>1</v>
      </c>
      <c r="B80" s="239">
        <v>43467</v>
      </c>
      <c r="C80" s="19" t="s">
        <v>304</v>
      </c>
      <c r="D80" s="19"/>
      <c r="E80" s="42" t="s">
        <v>301</v>
      </c>
      <c r="F80" s="98" t="s">
        <v>295</v>
      </c>
      <c r="G80" s="107"/>
      <c r="H80" s="99">
        <v>0.33003300330033003</v>
      </c>
      <c r="I80" s="113">
        <f>IFERROR((G80/J79)/H80,0)</f>
        <v>0</v>
      </c>
      <c r="J80" s="114"/>
    </row>
    <row r="81" spans="1:10">
      <c r="A81" s="225">
        <f>MONTH(Table146[[#This Row],[Ngày]])</f>
        <v>1</v>
      </c>
      <c r="B81" s="239">
        <v>43467</v>
      </c>
      <c r="C81" s="19" t="s">
        <v>304</v>
      </c>
      <c r="D81" s="19"/>
      <c r="E81" s="19" t="s">
        <v>290</v>
      </c>
      <c r="F81" s="58" t="s">
        <v>291</v>
      </c>
      <c r="G81" s="108"/>
      <c r="H81" s="99">
        <v>0.33003300330033003</v>
      </c>
      <c r="I81" s="113">
        <f>IFERROR((G81/J79)/H81,0)</f>
        <v>0</v>
      </c>
      <c r="J81" s="115"/>
    </row>
    <row r="82" spans="1:10">
      <c r="A82" s="225">
        <f>MONTH(Table146[[#This Row],[Ngày]])</f>
        <v>1</v>
      </c>
      <c r="B82" s="239">
        <v>43467</v>
      </c>
      <c r="C82" s="19" t="s">
        <v>304</v>
      </c>
      <c r="D82" s="19"/>
      <c r="E82" s="19" t="s">
        <v>299</v>
      </c>
      <c r="F82" s="58" t="s">
        <v>291</v>
      </c>
      <c r="G82" s="108"/>
      <c r="H82" s="99">
        <v>0.33003300330033003</v>
      </c>
      <c r="I82" s="113">
        <f>IFERROR((G82/J79)/H82,0)</f>
        <v>0</v>
      </c>
      <c r="J82" s="115"/>
    </row>
    <row r="83" spans="1:10">
      <c r="A83" s="225">
        <f>MONTH(Table146[[#This Row],[Ngày]])</f>
        <v>1</v>
      </c>
      <c r="B83" s="239">
        <v>43467</v>
      </c>
      <c r="C83" s="19" t="s">
        <v>304</v>
      </c>
      <c r="D83" s="19"/>
      <c r="E83" s="19" t="s">
        <v>292</v>
      </c>
      <c r="F83" s="58" t="s">
        <v>291</v>
      </c>
      <c r="G83" s="108"/>
      <c r="H83" s="99">
        <v>0</v>
      </c>
      <c r="I83" s="113">
        <f>IFERROR((G83/J79)/H83,0)</f>
        <v>0</v>
      </c>
      <c r="J83" s="115"/>
    </row>
    <row r="84" spans="1:10">
      <c r="A84" s="225">
        <f>MONTH(Table146[[#This Row],[Ngày]])</f>
        <v>1</v>
      </c>
      <c r="B84" s="239">
        <v>43467</v>
      </c>
      <c r="C84" s="19" t="s">
        <v>304</v>
      </c>
      <c r="D84" s="19"/>
      <c r="E84" s="19" t="s">
        <v>296</v>
      </c>
      <c r="F84" s="58" t="s">
        <v>295</v>
      </c>
      <c r="G84" s="108"/>
      <c r="H84" s="99">
        <v>1.6501650165016502E-3</v>
      </c>
      <c r="I84" s="113">
        <f>IFERROR((G84/J79)/H84,0)</f>
        <v>0</v>
      </c>
      <c r="J84" s="115"/>
    </row>
    <row r="85" spans="1:10">
      <c r="A85" s="225">
        <f>MONTH(Table146[[#This Row],[Ngày]])</f>
        <v>1</v>
      </c>
      <c r="B85" s="239">
        <v>43467</v>
      </c>
      <c r="C85" s="19" t="s">
        <v>304</v>
      </c>
      <c r="D85" s="19"/>
      <c r="E85" s="19" t="s">
        <v>293</v>
      </c>
      <c r="F85" s="58" t="s">
        <v>295</v>
      </c>
      <c r="G85" s="108"/>
      <c r="H85" s="99">
        <v>1.6501650165016502E-3</v>
      </c>
      <c r="I85" s="113">
        <f>IFERROR((G85/J79)/H85,0)</f>
        <v>0</v>
      </c>
      <c r="J85" s="115"/>
    </row>
    <row r="86" spans="1:10">
      <c r="A86" s="225">
        <f>MONTH(Table146[[#This Row],[Ngày]])</f>
        <v>1</v>
      </c>
      <c r="B86" s="239">
        <v>43467</v>
      </c>
      <c r="C86" s="19" t="s">
        <v>304</v>
      </c>
      <c r="D86" s="19"/>
      <c r="E86" s="19" t="s">
        <v>297</v>
      </c>
      <c r="F86" s="58" t="s">
        <v>295</v>
      </c>
      <c r="G86" s="108"/>
      <c r="H86" s="99">
        <v>6.6006600660066007E-3</v>
      </c>
      <c r="I86" s="113">
        <f>IFERROR((G86/J79)/H86,0)</f>
        <v>0</v>
      </c>
      <c r="J86" s="115"/>
    </row>
    <row r="87" spans="1:10">
      <c r="A87" s="225">
        <f>MONTH(Table146[[#This Row],[Ngày]])</f>
        <v>1</v>
      </c>
      <c r="B87" s="239">
        <v>43467</v>
      </c>
      <c r="C87" s="102" t="s">
        <v>305</v>
      </c>
      <c r="D87" s="102"/>
      <c r="E87" s="102" t="s">
        <v>314</v>
      </c>
      <c r="F87" s="103"/>
      <c r="G87" s="106">
        <f>SUM(G88:G91)</f>
        <v>0</v>
      </c>
      <c r="H87" s="97">
        <f>SUM(H88:H91)</f>
        <v>1</v>
      </c>
      <c r="I87" s="111"/>
      <c r="J87" s="112">
        <f>SUM(G88:G91)</f>
        <v>0</v>
      </c>
    </row>
    <row r="88" spans="1:10">
      <c r="A88" s="225">
        <f>MONTH(Table146[[#This Row],[Ngày]])</f>
        <v>1</v>
      </c>
      <c r="B88" s="239">
        <v>43467</v>
      </c>
      <c r="C88" s="19" t="s">
        <v>305</v>
      </c>
      <c r="D88" s="19"/>
      <c r="E88" s="42" t="s">
        <v>326</v>
      </c>
      <c r="F88" s="98" t="s">
        <v>295</v>
      </c>
      <c r="G88" s="107"/>
      <c r="H88" s="99">
        <v>0.76923076923076927</v>
      </c>
      <c r="I88" s="113">
        <f>IFERROR((G88/J87)/H88,0)</f>
        <v>0</v>
      </c>
      <c r="J88" s="114"/>
    </row>
    <row r="89" spans="1:10">
      <c r="A89" s="225">
        <f>MONTH(Table146[[#This Row],[Ngày]])</f>
        <v>1</v>
      </c>
      <c r="B89" s="239">
        <v>43467</v>
      </c>
      <c r="C89" s="19" t="s">
        <v>305</v>
      </c>
      <c r="D89" s="19"/>
      <c r="E89" s="19" t="s">
        <v>292</v>
      </c>
      <c r="F89" s="58" t="s">
        <v>291</v>
      </c>
      <c r="G89" s="107"/>
      <c r="H89" s="99">
        <v>0</v>
      </c>
      <c r="I89" s="113">
        <f>IFERROR((G89/J87)/H89,0)</f>
        <v>0</v>
      </c>
      <c r="J89" s="114"/>
    </row>
    <row r="90" spans="1:10">
      <c r="A90" s="225">
        <f>MONTH(Table146[[#This Row],[Ngày]])</f>
        <v>1</v>
      </c>
      <c r="B90" s="239">
        <v>43467</v>
      </c>
      <c r="C90" s="19" t="s">
        <v>305</v>
      </c>
      <c r="D90" s="19"/>
      <c r="E90" s="19" t="s">
        <v>290</v>
      </c>
      <c r="F90" s="58" t="s">
        <v>291</v>
      </c>
      <c r="G90" s="108"/>
      <c r="H90" s="99">
        <v>7.6923076923076927E-2</v>
      </c>
      <c r="I90" s="113">
        <f>IFERROR((G90/J87)/H90,0)</f>
        <v>0</v>
      </c>
      <c r="J90" s="115"/>
    </row>
    <row r="91" spans="1:10">
      <c r="A91" s="225">
        <f>MONTH(Table146[[#This Row],[Ngày]])</f>
        <v>1</v>
      </c>
      <c r="B91" s="239">
        <v>43467</v>
      </c>
      <c r="C91" s="19" t="s">
        <v>305</v>
      </c>
      <c r="D91" s="19"/>
      <c r="E91" s="19" t="s">
        <v>299</v>
      </c>
      <c r="F91" s="58" t="s">
        <v>291</v>
      </c>
      <c r="G91" s="108"/>
      <c r="H91" s="99">
        <v>0.15384615384615385</v>
      </c>
      <c r="I91" s="113">
        <f>IFERROR((G91/J87)/H91,0)</f>
        <v>0</v>
      </c>
      <c r="J91" s="115"/>
    </row>
    <row r="92" spans="1:10">
      <c r="A92" s="225">
        <f>MONTH(Table146[[#This Row],[Ngày]])</f>
        <v>1</v>
      </c>
      <c r="B92" s="239">
        <v>43467</v>
      </c>
      <c r="C92" s="102" t="s">
        <v>306</v>
      </c>
      <c r="D92" s="102"/>
      <c r="E92" s="102" t="s">
        <v>314</v>
      </c>
      <c r="F92" s="103"/>
      <c r="G92" s="106">
        <f>SUM(G93:G96)</f>
        <v>0</v>
      </c>
      <c r="H92" s="100">
        <f>SUM(H93:H96)</f>
        <v>1</v>
      </c>
      <c r="I92" s="116"/>
      <c r="J92" s="112">
        <f>SUM(G93:G96)</f>
        <v>0</v>
      </c>
    </row>
    <row r="93" spans="1:10">
      <c r="A93" s="225">
        <f>MONTH(Table146[[#This Row],[Ngày]])</f>
        <v>1</v>
      </c>
      <c r="B93" s="239">
        <v>43467</v>
      </c>
      <c r="C93" s="19" t="s">
        <v>306</v>
      </c>
      <c r="D93" s="19"/>
      <c r="E93" s="42" t="s">
        <v>327</v>
      </c>
      <c r="F93" s="98" t="s">
        <v>295</v>
      </c>
      <c r="G93" s="107"/>
      <c r="H93" s="99">
        <v>0.76923076923076927</v>
      </c>
      <c r="I93" s="117">
        <f>IFERROR((G93/J92)/H93,0)</f>
        <v>0</v>
      </c>
      <c r="J93" s="114"/>
    </row>
    <row r="94" spans="1:10">
      <c r="A94" s="225">
        <f>MONTH(Table146[[#This Row],[Ngày]])</f>
        <v>1</v>
      </c>
      <c r="B94" s="239">
        <v>43467</v>
      </c>
      <c r="C94" s="19" t="s">
        <v>306</v>
      </c>
      <c r="D94" s="19"/>
      <c r="E94" s="19" t="s">
        <v>292</v>
      </c>
      <c r="F94" s="58" t="s">
        <v>291</v>
      </c>
      <c r="G94" s="107"/>
      <c r="H94" s="99">
        <v>0</v>
      </c>
      <c r="I94" s="117">
        <f>IFERROR((G94/J92)/H94,0)</f>
        <v>0</v>
      </c>
      <c r="J94" s="114"/>
    </row>
    <row r="95" spans="1:10">
      <c r="A95" s="225">
        <f>MONTH(Table146[[#This Row],[Ngày]])</f>
        <v>1</v>
      </c>
      <c r="B95" s="239">
        <v>43467</v>
      </c>
      <c r="C95" s="19" t="s">
        <v>306</v>
      </c>
      <c r="D95" s="19"/>
      <c r="E95" s="19" t="s">
        <v>290</v>
      </c>
      <c r="F95" s="58" t="s">
        <v>291</v>
      </c>
      <c r="G95" s="108"/>
      <c r="H95" s="99">
        <v>7.6923076923076927E-2</v>
      </c>
      <c r="I95" s="117">
        <f>IFERROR((G95/J92)/H95,0)</f>
        <v>0</v>
      </c>
      <c r="J95" s="115"/>
    </row>
    <row r="96" spans="1:10">
      <c r="A96" s="225">
        <f>MONTH(Table146[[#This Row],[Ngày]])</f>
        <v>1</v>
      </c>
      <c r="B96" s="239">
        <v>43467</v>
      </c>
      <c r="C96" s="19" t="s">
        <v>306</v>
      </c>
      <c r="D96" s="19"/>
      <c r="E96" s="19" t="s">
        <v>299</v>
      </c>
      <c r="F96" s="58" t="s">
        <v>291</v>
      </c>
      <c r="G96" s="110"/>
      <c r="H96" s="105">
        <v>0.15384615384615385</v>
      </c>
      <c r="I96" s="117">
        <f>IFERROR((G96/J92)/H96,0)</f>
        <v>0</v>
      </c>
      <c r="J96" s="118"/>
    </row>
    <row r="97" spans="1:10">
      <c r="A97" s="225">
        <f>MONTH(Table146[[#This Row],[Ngày]])</f>
        <v>1</v>
      </c>
      <c r="B97" s="239">
        <v>43467</v>
      </c>
      <c r="C97" s="102" t="s">
        <v>6</v>
      </c>
      <c r="D97" s="102"/>
      <c r="E97" s="102" t="s">
        <v>310</v>
      </c>
      <c r="F97" s="103"/>
      <c r="G97" s="106"/>
      <c r="H97" s="100">
        <f>SUM(H98:H101)</f>
        <v>0</v>
      </c>
      <c r="I97" s="116"/>
      <c r="J97" s="112">
        <f>G97</f>
        <v>0</v>
      </c>
    </row>
    <row r="98" spans="1:10" ht="16" thickBot="1">
      <c r="A98" s="226">
        <f>MONTH(Table146[[#This Row],[Ngày]])</f>
        <v>1</v>
      </c>
      <c r="B98" s="238">
        <v>43467</v>
      </c>
      <c r="C98" s="230" t="s">
        <v>6</v>
      </c>
      <c r="D98" s="230"/>
      <c r="E98" s="231" t="s">
        <v>309</v>
      </c>
      <c r="F98" s="232" t="s">
        <v>295</v>
      </c>
      <c r="G98" s="233"/>
      <c r="H98" s="234"/>
      <c r="I98" s="235">
        <f>IFERROR((G98/J97)/H98,0)</f>
        <v>0</v>
      </c>
      <c r="J98" s="23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6"/>
  <sheetViews>
    <sheetView topLeftCell="A22" workbookViewId="0">
      <selection activeCell="K15" sqref="K15"/>
    </sheetView>
  </sheetViews>
  <sheetFormatPr defaultColWidth="11.33203125" defaultRowHeight="15.5"/>
  <cols>
    <col min="1" max="1" width="6.4140625" style="245" customWidth="1"/>
    <col min="2" max="2" width="7.75" style="245" bestFit="1" customWidth="1"/>
    <col min="3" max="3" width="8.08203125" style="251" bestFit="1" customWidth="1"/>
    <col min="4" max="4" width="24.08203125" bestFit="1" customWidth="1"/>
    <col min="5" max="5" width="7" customWidth="1"/>
    <col min="6" max="6" width="10.33203125" style="224" customWidth="1"/>
    <col min="7" max="13" width="10.33203125" style="262" customWidth="1"/>
  </cols>
  <sheetData>
    <row r="2" spans="1:13" ht="26.25" customHeight="1">
      <c r="A2" s="240" t="s">
        <v>10</v>
      </c>
      <c r="B2" s="240" t="s">
        <v>338</v>
      </c>
      <c r="C2" s="247" t="s">
        <v>11</v>
      </c>
      <c r="D2" s="252" t="s">
        <v>2</v>
      </c>
      <c r="E2" s="252" t="s">
        <v>286</v>
      </c>
      <c r="F2" s="252" t="s">
        <v>13</v>
      </c>
      <c r="G2" s="263" t="s">
        <v>319</v>
      </c>
      <c r="H2" s="254" t="s">
        <v>320</v>
      </c>
      <c r="I2" s="254" t="s">
        <v>321</v>
      </c>
      <c r="J2" s="253" t="s">
        <v>322</v>
      </c>
      <c r="K2" s="253" t="s">
        <v>323</v>
      </c>
      <c r="L2" s="264" t="s">
        <v>324</v>
      </c>
      <c r="M2" s="257" t="s">
        <v>325</v>
      </c>
    </row>
    <row r="3" spans="1:13">
      <c r="A3" s="241">
        <f>MONTH(C3)</f>
        <v>1</v>
      </c>
      <c r="B3" s="241">
        <f>WEEKNUM(Table3[[#This Row],[Ngày]])</f>
        <v>1</v>
      </c>
      <c r="C3" s="248">
        <v>43466</v>
      </c>
      <c r="D3" s="127" t="s">
        <v>294</v>
      </c>
      <c r="E3" s="128" t="s">
        <v>295</v>
      </c>
      <c r="F3" s="220"/>
      <c r="G3" s="265"/>
      <c r="H3" s="130">
        <f>SUMIFS('DATA PHOI TRON'!$J:$J,'DATA PHOI TRON'!$B:$B,Table3[[#This Row],[Ngày]],'DATA PHOI TRON'!$E:$E,Table3[[#This Row],[Tên NVL/BTP/TP]])</f>
        <v>0</v>
      </c>
      <c r="I3" s="130"/>
      <c r="J3" s="130"/>
      <c r="K3" s="130">
        <f>SUMIFS('DATA PHOI TRON'!$G:$G,'DATA PHOI TRON'!$B:$B,Table3[[#This Row],[Ngày]],'DATA PHOI TRON'!$E:$E,Table3[[#This Row],[Tên NVL/BTP/TP]])</f>
        <v>0</v>
      </c>
      <c r="L3" s="266"/>
      <c r="M3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4" spans="1:13">
      <c r="A4" s="241">
        <f t="shared" ref="A4:A16" si="0">MONTH(C4)</f>
        <v>1</v>
      </c>
      <c r="B4" s="241">
        <f>WEEKNUM(Table3[[#This Row],[Ngày]])</f>
        <v>1</v>
      </c>
      <c r="C4" s="248">
        <v>43466</v>
      </c>
      <c r="D4" s="127" t="s">
        <v>298</v>
      </c>
      <c r="E4" s="128" t="s">
        <v>295</v>
      </c>
      <c r="F4" s="220"/>
      <c r="G4" s="265"/>
      <c r="H4" s="130">
        <f>SUMIFS('DATA PHOI TRON'!$J:$J,'DATA PHOI TRON'!$B:$B,Table3[[#This Row],[Ngày]],'DATA PHOI TRON'!$E:$E,Table3[[#This Row],[Tên NVL/BTP/TP]])</f>
        <v>0</v>
      </c>
      <c r="I4" s="130">
        <v>34.47</v>
      </c>
      <c r="J4" s="130"/>
      <c r="K4" s="130">
        <f>SUMIFS('DATA PHOI TRON'!$G:$G,'DATA PHOI TRON'!$B:$B,Table3[[#This Row],[Ngày]],'DATA PHOI TRON'!$E:$E,Table3[[#This Row],[Tên NVL/BTP/TP]])</f>
        <v>34.47</v>
      </c>
      <c r="L4" s="266"/>
      <c r="M4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5" spans="1:13">
      <c r="A5" s="241">
        <f t="shared" si="0"/>
        <v>1</v>
      </c>
      <c r="B5" s="241">
        <f>WEEKNUM(Table3[[#This Row],[Ngày]])</f>
        <v>1</v>
      </c>
      <c r="C5" s="248">
        <v>43466</v>
      </c>
      <c r="D5" s="127" t="s">
        <v>300</v>
      </c>
      <c r="E5" s="128" t="s">
        <v>295</v>
      </c>
      <c r="F5" s="220"/>
      <c r="G5" s="265"/>
      <c r="H5" s="130">
        <f>SUMIFS('DATA PHOI TRON'!$J:$J,'DATA PHOI TRON'!$B:$B,Table3[[#This Row],[Ngày]],'DATA PHOI TRON'!$E:$E,Table3[[#This Row],[Tên NVL/BTP/TP]])</f>
        <v>0</v>
      </c>
      <c r="I5" s="130"/>
      <c r="J5" s="130"/>
      <c r="K5" s="130">
        <f>SUMIFS('DATA PHOI TRON'!$G:$G,'DATA PHOI TRON'!$B:$B,Table3[[#This Row],[Ngày]],'DATA PHOI TRON'!$E:$E,Table3[[#This Row],[Tên NVL/BTP/TP]])</f>
        <v>0</v>
      </c>
      <c r="L5" s="266"/>
      <c r="M5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6" spans="1:13">
      <c r="A6" s="241">
        <f t="shared" si="0"/>
        <v>1</v>
      </c>
      <c r="B6" s="241">
        <f>WEEKNUM(Table3[[#This Row],[Ngày]])</f>
        <v>1</v>
      </c>
      <c r="C6" s="248">
        <v>43466</v>
      </c>
      <c r="D6" s="127" t="s">
        <v>301</v>
      </c>
      <c r="E6" s="128" t="s">
        <v>295</v>
      </c>
      <c r="F6" s="220"/>
      <c r="G6" s="265"/>
      <c r="H6" s="130">
        <f>SUMIFS('DATA PHOI TRON'!$J:$J,'DATA PHOI TRON'!$B:$B,Table3[[#This Row],[Ngày]],'DATA PHOI TRON'!$E:$E,Table3[[#This Row],[Tên NVL/BTP/TP]])</f>
        <v>0</v>
      </c>
      <c r="I6" s="130"/>
      <c r="J6" s="130"/>
      <c r="K6" s="130">
        <f>SUMIFS('DATA PHOI TRON'!$G:$G,'DATA PHOI TRON'!$B:$B,Table3[[#This Row],[Ngày]],'DATA PHOI TRON'!$E:$E,Table3[[#This Row],[Tên NVL/BTP/TP]])</f>
        <v>0</v>
      </c>
      <c r="L6" s="266"/>
      <c r="M6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7" spans="1:13">
      <c r="A7" s="241">
        <f t="shared" si="0"/>
        <v>1</v>
      </c>
      <c r="B7" s="241">
        <f>WEEKNUM(Table3[[#This Row],[Ngày]])</f>
        <v>1</v>
      </c>
      <c r="C7" s="248">
        <v>43466</v>
      </c>
      <c r="D7" s="127" t="s">
        <v>328</v>
      </c>
      <c r="E7" s="128" t="s">
        <v>295</v>
      </c>
      <c r="F7" s="220"/>
      <c r="G7" s="265"/>
      <c r="H7" s="130">
        <f>SUMIFS('DATA PHOI TRON'!$J:$J,'DATA PHOI TRON'!$B:$B,Table3[[#This Row],[Ngày]],'DATA PHOI TRON'!$E:$E,Table3[[#This Row],[Tên NVL/BTP/TP]])</f>
        <v>0</v>
      </c>
      <c r="I7" s="130"/>
      <c r="J7" s="130"/>
      <c r="K7" s="130">
        <f>SUMIFS('DATA PHOI TRON'!$G:$G,'DATA PHOI TRON'!$B:$B,Table3[[#This Row],[Ngày]],'DATA PHOI TRON'!$E:$E,Table3[[#This Row],[Tên NVL/BTP/TP]])</f>
        <v>0</v>
      </c>
      <c r="L7" s="266"/>
      <c r="M7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8" spans="1:13">
      <c r="A8" s="241">
        <f t="shared" si="0"/>
        <v>1</v>
      </c>
      <c r="B8" s="241">
        <f>WEEKNUM(Table3[[#This Row],[Ngày]])</f>
        <v>1</v>
      </c>
      <c r="C8" s="248">
        <v>43466</v>
      </c>
      <c r="D8" s="127" t="s">
        <v>326</v>
      </c>
      <c r="E8" s="128" t="s">
        <v>295</v>
      </c>
      <c r="F8" s="220"/>
      <c r="G8" s="265"/>
      <c r="H8" s="130">
        <f>SUMIFS('DATA PHOI TRON'!$J:$J,'DATA PHOI TRON'!$B:$B,Table3[[#This Row],[Ngày]],'DATA PHOI TRON'!$E:$E,Table3[[#This Row],[Tên NVL/BTP/TP]])</f>
        <v>0</v>
      </c>
      <c r="I8" s="130"/>
      <c r="J8" s="130"/>
      <c r="K8" s="130">
        <f>SUMIFS('DATA PHOI TRON'!$G:$G,'DATA PHOI TRON'!$B:$B,Table3[[#This Row],[Ngày]],'DATA PHOI TRON'!$E:$E,Table3[[#This Row],[Tên NVL/BTP/TP]])</f>
        <v>0</v>
      </c>
      <c r="L8" s="266"/>
      <c r="M8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9" spans="1:13">
      <c r="A9" s="241">
        <f t="shared" si="0"/>
        <v>1</v>
      </c>
      <c r="B9" s="241">
        <f>WEEKNUM(Table3[[#This Row],[Ngày]])</f>
        <v>1</v>
      </c>
      <c r="C9" s="248">
        <v>43466</v>
      </c>
      <c r="D9" s="127" t="s">
        <v>327</v>
      </c>
      <c r="E9" s="128" t="s">
        <v>295</v>
      </c>
      <c r="F9" s="220"/>
      <c r="G9" s="265"/>
      <c r="H9" s="130">
        <f>SUMIFS('DATA PHOI TRON'!$J:$J,'DATA PHOI TRON'!$B:$B,Table3[[#This Row],[Ngày]],'DATA PHOI TRON'!$E:$E,Table3[[#This Row],[Tên NVL/BTP/TP]])</f>
        <v>0</v>
      </c>
      <c r="I9" s="130"/>
      <c r="J9" s="130"/>
      <c r="K9" s="130">
        <f>SUMIFS('DATA PHOI TRON'!$G:$G,'DATA PHOI TRON'!$B:$B,Table3[[#This Row],[Ngày]],'DATA PHOI TRON'!$E:$E,Table3[[#This Row],[Tên NVL/BTP/TP]])</f>
        <v>0</v>
      </c>
      <c r="L9" s="266"/>
      <c r="M9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10" spans="1:13">
      <c r="A10" s="241">
        <f t="shared" si="0"/>
        <v>1</v>
      </c>
      <c r="B10" s="241">
        <f>WEEKNUM(Table3[[#This Row],[Ngày]])</f>
        <v>1</v>
      </c>
      <c r="C10" s="248">
        <v>43466</v>
      </c>
      <c r="D10" s="127" t="s">
        <v>312</v>
      </c>
      <c r="E10" s="128" t="s">
        <v>291</v>
      </c>
      <c r="F10" s="220" t="s">
        <v>557</v>
      </c>
      <c r="G10" s="265"/>
      <c r="H10" s="130">
        <f>SUMIFS('DATA PHOI TRON'!$J:$J,'DATA PHOI TRON'!$B:$B,Table3[[#This Row],[Ngày]],'DATA PHOI TRON'!$E:$E,Table3[[#This Row],[Tên NVL/BTP/TP]])</f>
        <v>102.997</v>
      </c>
      <c r="I10" s="130"/>
      <c r="J10" s="130"/>
      <c r="K10" s="130">
        <f>SUMIFS('DATA PHOI TRON'!$G:$G,'DATA PHOI TRON'!$B:$B,Table3[[#This Row],[Ngày]],'DATA PHOI TRON'!$E:$E,Table3[[#This Row],[Tên NVL/BTP/TP]])</f>
        <v>0</v>
      </c>
      <c r="L10" s="266"/>
      <c r="M10" s="258">
        <f>Table3[[#This Row],[Tồn đầu ngày]]+Table3[[#This Row],[Nhập từ sản xuất]]+Table3[[#This Row],[Nhập từ kho]]-Table3[[#This Row],[Xuất cho kho]]-Table3[[#This Row],[Xuất cho sản xuất]]-Table3[[#This Row],[Hao hụt]]</f>
        <v>102.997</v>
      </c>
    </row>
    <row r="11" spans="1:13">
      <c r="A11" s="241">
        <f t="shared" si="0"/>
        <v>1</v>
      </c>
      <c r="B11" s="241">
        <f>WEEKNUM(Table3[[#This Row],[Ngày]])</f>
        <v>1</v>
      </c>
      <c r="C11" s="248">
        <v>43466</v>
      </c>
      <c r="D11" s="127" t="s">
        <v>313</v>
      </c>
      <c r="E11" s="128" t="s">
        <v>291</v>
      </c>
      <c r="F11" s="220"/>
      <c r="G11" s="265"/>
      <c r="H11" s="130">
        <f>SUMIFS('DATA PHOI TRON'!$J:$J,'DATA PHOI TRON'!$B:$B,Table3[[#This Row],[Ngày]],'DATA PHOI TRON'!$E:$E,Table3[[#This Row],[Tên NVL/BTP/TP]])</f>
        <v>0</v>
      </c>
      <c r="I11" s="130"/>
      <c r="J11" s="130"/>
      <c r="K11" s="130">
        <f>SUMIFS('DATA PHOI TRON'!$G:$G,'DATA PHOI TRON'!$B:$B,Table3[[#This Row],[Ngày]],'DATA PHOI TRON'!$E:$E,Table3[[#This Row],[Tên NVL/BTP/TP]])</f>
        <v>0</v>
      </c>
      <c r="L11" s="266"/>
      <c r="M11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12" spans="1:13">
      <c r="A12" s="241">
        <f t="shared" si="0"/>
        <v>1</v>
      </c>
      <c r="B12" s="241">
        <f>WEEKNUM(Table3[[#This Row],[Ngày]])</f>
        <v>1</v>
      </c>
      <c r="C12" s="248">
        <v>43466</v>
      </c>
      <c r="D12" s="127" t="s">
        <v>290</v>
      </c>
      <c r="E12" s="128" t="s">
        <v>291</v>
      </c>
      <c r="F12" s="220"/>
      <c r="G12" s="265">
        <v>168.8</v>
      </c>
      <c r="H12" s="130">
        <f>SUMIFS('DATA PHOI TRON'!$J:$J,'DATA PHOI TRON'!$B:$B,Table3[[#This Row],[Ngày]],'DATA PHOI TRON'!$E:$E,Table3[[#This Row],[Tên NVL/BTP/TP]])</f>
        <v>0</v>
      </c>
      <c r="I12" s="130"/>
      <c r="J12" s="130"/>
      <c r="K12" s="130">
        <f>SUMIFS('DATA PHOI TRON'!$G:$G,'DATA PHOI TRON'!$B:$B,Table3[[#This Row],[Ngày]],'DATA PHOI TRON'!$E:$E,Table3[[#This Row],[Tên NVL/BTP/TP]])</f>
        <v>34</v>
      </c>
      <c r="L12" s="266"/>
      <c r="M12" s="258">
        <f>Table3[[#This Row],[Tồn đầu ngày]]+Table3[[#This Row],[Nhập từ sản xuất]]+Table3[[#This Row],[Nhập từ kho]]-Table3[[#This Row],[Xuất cho kho]]-Table3[[#This Row],[Xuất cho sản xuất]]-Table3[[#This Row],[Hao hụt]]</f>
        <v>134.80000000000001</v>
      </c>
    </row>
    <row r="13" spans="1:13">
      <c r="A13" s="241">
        <f t="shared" si="0"/>
        <v>1</v>
      </c>
      <c r="B13" s="241">
        <f>WEEKNUM(Table3[[#This Row],[Ngày]])</f>
        <v>1</v>
      </c>
      <c r="C13" s="248">
        <v>43466</v>
      </c>
      <c r="D13" s="127" t="s">
        <v>296</v>
      </c>
      <c r="E13" s="128" t="s">
        <v>295</v>
      </c>
      <c r="F13" s="220"/>
      <c r="G13" s="265">
        <f>(1.5+4.5)*29.34/1000</f>
        <v>0.17604</v>
      </c>
      <c r="H13" s="130">
        <f>SUMIFS('DATA PHOI TRON'!$J:$J,'DATA PHOI TRON'!$B:$B,Table3[[#This Row],[Ngày]],'DATA PHOI TRON'!$E:$E,Table3[[#This Row],[Tên NVL/BTP/TP]])</f>
        <v>0</v>
      </c>
      <c r="I13" s="130"/>
      <c r="J13" s="130"/>
      <c r="K13" s="130">
        <f>SUMIFS('DATA PHOI TRON'!$G:$G,'DATA PHOI TRON'!$B:$B,Table3[[#This Row],[Ngày]],'DATA PHOI TRON'!$E:$E,Table3[[#This Row],[Tên NVL/BTP/TP]])</f>
        <v>0.17599999999999999</v>
      </c>
      <c r="L13" s="266"/>
      <c r="M13" s="258">
        <f>Table3[[#This Row],[Tồn đầu ngày]]+Table3[[#This Row],[Nhập từ sản xuất]]+Table3[[#This Row],[Nhập từ kho]]-Table3[[#This Row],[Xuất cho kho]]-Table3[[#This Row],[Xuất cho sản xuất]]-Table3[[#This Row],[Hao hụt]]</f>
        <v>4.0000000000012248E-5</v>
      </c>
    </row>
    <row r="14" spans="1:13">
      <c r="A14" s="241">
        <f t="shared" si="0"/>
        <v>1</v>
      </c>
      <c r="B14" s="241">
        <f>WEEKNUM(Table3[[#This Row],[Ngày]])</f>
        <v>1</v>
      </c>
      <c r="C14" s="248">
        <v>43466</v>
      </c>
      <c r="D14" s="127" t="s">
        <v>293</v>
      </c>
      <c r="E14" s="128" t="s">
        <v>295</v>
      </c>
      <c r="F14" s="220"/>
      <c r="G14" s="265">
        <f>5.5*50/1000</f>
        <v>0.27500000000000002</v>
      </c>
      <c r="H14" s="130">
        <f>SUMIFS('DATA PHOI TRON'!$J:$J,'DATA PHOI TRON'!$B:$B,Table3[[#This Row],[Ngày]],'DATA PHOI TRON'!$E:$E,Table3[[#This Row],[Tên NVL/BTP/TP]])</f>
        <v>0</v>
      </c>
      <c r="I14" s="130"/>
      <c r="J14" s="130"/>
      <c r="K14" s="130">
        <f>SUMIFS('DATA PHOI TRON'!$G:$G,'DATA PHOI TRON'!$B:$B,Table3[[#This Row],[Ngày]],'DATA PHOI TRON'!$E:$E,Table3[[#This Row],[Tên NVL/BTP/TP]])</f>
        <v>0.17599999999999999</v>
      </c>
      <c r="L14" s="266"/>
      <c r="M14" s="258">
        <f>Table3[[#This Row],[Tồn đầu ngày]]+Table3[[#This Row],[Nhập từ sản xuất]]+Table3[[#This Row],[Nhập từ kho]]-Table3[[#This Row],[Xuất cho kho]]-Table3[[#This Row],[Xuất cho sản xuất]]-Table3[[#This Row],[Hao hụt]]</f>
        <v>9.9000000000000032E-2</v>
      </c>
    </row>
    <row r="15" spans="1:13">
      <c r="A15" s="241">
        <f t="shared" si="0"/>
        <v>1</v>
      </c>
      <c r="B15" s="241">
        <f>WEEKNUM(Table3[[#This Row],[Ngày]])</f>
        <v>1</v>
      </c>
      <c r="C15" s="248">
        <v>43466</v>
      </c>
      <c r="D15" s="127" t="s">
        <v>297</v>
      </c>
      <c r="E15" s="128" t="s">
        <v>295</v>
      </c>
      <c r="F15" s="220"/>
      <c r="G15" s="265">
        <f>(156*46.73+199*42.5)/1000</f>
        <v>15.74738</v>
      </c>
      <c r="H15" s="130">
        <f>SUMIFS('DATA PHOI TRON'!$J:$J,'DATA PHOI TRON'!$B:$B,Table3[[#This Row],[Ngày]],'DATA PHOI TRON'!$E:$E,Table3[[#This Row],[Tên NVL/BTP/TP]])</f>
        <v>0</v>
      </c>
      <c r="I15" s="130"/>
      <c r="J15" s="130"/>
      <c r="K15" s="130">
        <f>SUMIFS('DATA PHOI TRON'!$G:$G,'DATA PHOI TRON'!$B:$B,Table3[[#This Row],[Ngày]],'DATA PHOI TRON'!$E:$E,Table3[[#This Row],[Tên NVL/BTP/TP]])</f>
        <v>0.17499999999999999</v>
      </c>
      <c r="L15" s="266"/>
      <c r="M15" s="258">
        <f>Table3[[#This Row],[Tồn đầu ngày]]+Table3[[#This Row],[Nhập từ sản xuất]]+Table3[[#This Row],[Nhập từ kho]]-Table3[[#This Row],[Xuất cho kho]]-Table3[[#This Row],[Xuất cho sản xuất]]-Table3[[#This Row],[Hao hụt]]</f>
        <v>15.572379999999999</v>
      </c>
    </row>
    <row r="16" spans="1:13">
      <c r="A16" s="241">
        <f t="shared" si="0"/>
        <v>1</v>
      </c>
      <c r="B16" s="241">
        <f>WEEKNUM(Table3[[#This Row],[Ngày]])</f>
        <v>1</v>
      </c>
      <c r="C16" s="248">
        <v>43466</v>
      </c>
      <c r="D16" s="127" t="s">
        <v>299</v>
      </c>
      <c r="E16" s="128" t="s">
        <v>291</v>
      </c>
      <c r="F16" s="220"/>
      <c r="G16" s="265"/>
      <c r="H16" s="130">
        <f>SUMIFS('DATA PHOI TRON'!$J:$J,'DATA PHOI TRON'!$B:$B,Table3[[#This Row],[Ngày]],'DATA PHOI TRON'!$E:$E,Table3[[#This Row],[Tên NVL/BTP/TP]])</f>
        <v>0</v>
      </c>
      <c r="I16" s="130">
        <v>34</v>
      </c>
      <c r="J16" s="130"/>
      <c r="K16" s="130">
        <f>SUMIFS('DATA PHOI TRON'!$G:$G,'DATA PHOI TRON'!$B:$B,Table3[[#This Row],[Ngày]],'DATA PHOI TRON'!$E:$E,Table3[[#This Row],[Tên NVL/BTP/TP]])</f>
        <v>34</v>
      </c>
      <c r="L16" s="266"/>
      <c r="M16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17" spans="1:13">
      <c r="A17" s="241">
        <f>MONTH(C17)</f>
        <v>1</v>
      </c>
      <c r="B17" s="241">
        <f>WEEKNUM(Table3[[#This Row],[Ngày]])</f>
        <v>1</v>
      </c>
      <c r="C17" s="248">
        <v>43466</v>
      </c>
      <c r="D17" s="127" t="s">
        <v>292</v>
      </c>
      <c r="E17" s="128" t="s">
        <v>291</v>
      </c>
      <c r="F17" s="220"/>
      <c r="G17" s="265"/>
      <c r="H17" s="130">
        <f>SUMIFS('DATA PHOI TRON'!$J:$J,'DATA PHOI TRON'!$B:$B,Table3[[#This Row],[Ngày]],'DATA PHOI TRON'!$E:$E,Table3[[#This Row],[Tên NVL/BTP/TP]])</f>
        <v>0</v>
      </c>
      <c r="I17" s="130"/>
      <c r="J17" s="130"/>
      <c r="K17" s="130">
        <f>SUMIFS('DATA PHOI TRON'!$G:$G,'DATA PHOI TRON'!$B:$B,Table3[[#This Row],[Ngày]],'DATA PHOI TRON'!$E:$E,Table3[[#This Row],[Tên NVL/BTP/TP]])</f>
        <v>0</v>
      </c>
      <c r="L17" s="266"/>
      <c r="M17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18" spans="1:13">
      <c r="A18" s="242">
        <f>MONTH(C18)</f>
        <v>1</v>
      </c>
      <c r="B18" s="242">
        <f>WEEKNUM(Table3[[#This Row],[Ngày]])</f>
        <v>1</v>
      </c>
      <c r="C18" s="248">
        <v>43466</v>
      </c>
      <c r="D18" s="131" t="s">
        <v>309</v>
      </c>
      <c r="E18" s="128" t="s">
        <v>291</v>
      </c>
      <c r="F18" s="221"/>
      <c r="G18" s="267">
        <v>64</v>
      </c>
      <c r="H18" s="132">
        <f>SUMIFS('DATA PHOI TRON'!$J:$J,'DATA PHOI TRON'!$B:$B,Table3[[#This Row],[Ngày]],'DATA PHOI TRON'!$E:$E,Table3[[#This Row],[Tên NVL/BTP/TP]])</f>
        <v>0</v>
      </c>
      <c r="I18" s="132"/>
      <c r="J18" s="132"/>
      <c r="K18" s="132">
        <f>SUMIFS('DATA PHOI TRON'!$G:$G,'DATA PHOI TRON'!$B:$B,Table3[[#This Row],[Ngày]],'DATA PHOI TRON'!$E:$E,Table3[[#This Row],[Tên NVL/BTP/TP]])</f>
        <v>0</v>
      </c>
      <c r="L18" s="268"/>
      <c r="M18" s="259">
        <f>Table3[[#This Row],[Tồn đầu ngày]]+Table3[[#This Row],[Nhập từ sản xuất]]+Table3[[#This Row],[Nhập từ kho]]-Table3[[#This Row],[Xuất cho kho]]-Table3[[#This Row],[Xuất cho sản xuất]]-Table3[[#This Row],[Hao hụt]]</f>
        <v>64</v>
      </c>
    </row>
    <row r="19" spans="1:13" ht="16" thickBot="1">
      <c r="A19" s="243">
        <f>MONTH(C19)</f>
        <v>1</v>
      </c>
      <c r="B19" s="243">
        <f>WEEKNUM(Table3[[#This Row],[Ngày]])</f>
        <v>1</v>
      </c>
      <c r="C19" s="249">
        <v>43466</v>
      </c>
      <c r="D19" s="215" t="s">
        <v>8</v>
      </c>
      <c r="E19" s="216" t="s">
        <v>291</v>
      </c>
      <c r="F19" s="222"/>
      <c r="G19" s="269"/>
      <c r="H19" s="217">
        <f>SUMIFS('DATA PHOI TRON'!$J:$J,'DATA PHOI TRON'!$B:$B,Table3[[#This Row],[Ngày]],'DATA PHOI TRON'!$E:$E,Table3[[#This Row],[Tên NVL/BTP/TP]])</f>
        <v>0</v>
      </c>
      <c r="I19" s="217"/>
      <c r="J19" s="217"/>
      <c r="K19" s="217">
        <f>SUMIFS('DATA PHOI TRON'!$G:$G,'DATA PHOI TRON'!$B:$B,Table3[[#This Row],[Ngày]],'DATA PHOI TRON'!$E:$E,Table3[[#This Row],[Tên NVL/BTP/TP]])</f>
        <v>0</v>
      </c>
      <c r="L19" s="270"/>
      <c r="M19" s="260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0" spans="1:13">
      <c r="A20" s="244">
        <f t="shared" ref="A20:A36" si="1">MONTH(C20)</f>
        <v>1</v>
      </c>
      <c r="B20" s="246">
        <f>WEEKNUM(Table3[[#This Row],[Ngày]])</f>
        <v>1</v>
      </c>
      <c r="C20" s="250">
        <v>43467</v>
      </c>
      <c r="D20" s="218" t="s">
        <v>294</v>
      </c>
      <c r="E20" s="214" t="s">
        <v>295</v>
      </c>
      <c r="F20" s="223"/>
      <c r="G20" s="271">
        <v>0</v>
      </c>
      <c r="H20" s="219">
        <f>SUMIFS('DATA PHOI TRON'!$J:$J,'DATA PHOI TRON'!$B:$B,Table3[[#This Row],[Ngày]],'DATA PHOI TRON'!$E:$E,Table3[[#This Row],[Tên NVL/BTP/TP]])</f>
        <v>0</v>
      </c>
      <c r="I20" s="219">
        <v>10.55</v>
      </c>
      <c r="J20" s="219"/>
      <c r="K20" s="219">
        <f>SUMIFS('DATA PHOI TRON'!$G:$G,'DATA PHOI TRON'!$B:$B,Table3[[#This Row],[Ngày]],'DATA PHOI TRON'!$E:$E,Table3[[#This Row],[Tên NVL/BTP/TP]])</f>
        <v>10.55</v>
      </c>
      <c r="L20" s="272"/>
      <c r="M20" s="261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1" spans="1:13">
      <c r="A21" s="241">
        <f t="shared" si="1"/>
        <v>1</v>
      </c>
      <c r="B21" s="246">
        <f>WEEKNUM(Table3[[#This Row],[Ngày]])</f>
        <v>1</v>
      </c>
      <c r="C21" s="248">
        <v>43467</v>
      </c>
      <c r="D21" s="127" t="s">
        <v>298</v>
      </c>
      <c r="E21" s="128" t="s">
        <v>295</v>
      </c>
      <c r="F21" s="220"/>
      <c r="G21" s="265">
        <v>0</v>
      </c>
      <c r="H21" s="130">
        <f>SUMIFS('DATA PHOI TRON'!$J:$J,'DATA PHOI TRON'!$B:$B,Table3[[#This Row],[Ngày]],'DATA PHOI TRON'!$E:$E,Table3[[#This Row],[Tên NVL/BTP/TP]])</f>
        <v>0</v>
      </c>
      <c r="I21" s="130">
        <v>121.06</v>
      </c>
      <c r="J21" s="130"/>
      <c r="K21" s="130">
        <f>SUMIFS('DATA PHOI TRON'!$G:$G,'DATA PHOI TRON'!$B:$B,Table3[[#This Row],[Ngày]],'DATA PHOI TRON'!$E:$E,Table3[[#This Row],[Tên NVL/BTP/TP]])</f>
        <v>121.06</v>
      </c>
      <c r="L21" s="266"/>
      <c r="M21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2" spans="1:13">
      <c r="A22" s="241">
        <f t="shared" si="1"/>
        <v>1</v>
      </c>
      <c r="B22" s="246">
        <f>WEEKNUM(Table3[[#This Row],[Ngày]])</f>
        <v>1</v>
      </c>
      <c r="C22" s="248">
        <v>43467</v>
      </c>
      <c r="D22" s="127" t="s">
        <v>300</v>
      </c>
      <c r="E22" s="128" t="s">
        <v>295</v>
      </c>
      <c r="F22" s="220"/>
      <c r="G22" s="265">
        <v>0</v>
      </c>
      <c r="H22" s="130">
        <f>SUMIFS('DATA PHOI TRON'!$J:$J,'DATA PHOI TRON'!$B:$B,Table3[[#This Row],[Ngày]],'DATA PHOI TRON'!$E:$E,Table3[[#This Row],[Tên NVL/BTP/TP]])</f>
        <v>0</v>
      </c>
      <c r="I22" s="130"/>
      <c r="J22" s="130"/>
      <c r="K22" s="130">
        <f>SUMIFS('DATA PHOI TRON'!$G:$G,'DATA PHOI TRON'!$B:$B,Table3[[#This Row],[Ngày]],'DATA PHOI TRON'!$E:$E,Table3[[#This Row],[Tên NVL/BTP/TP]])</f>
        <v>0</v>
      </c>
      <c r="L22" s="266"/>
      <c r="M22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3" spans="1:13">
      <c r="A23" s="241">
        <f t="shared" si="1"/>
        <v>1</v>
      </c>
      <c r="B23" s="246">
        <f>WEEKNUM(Table3[[#This Row],[Ngày]])</f>
        <v>1</v>
      </c>
      <c r="C23" s="248">
        <v>43467</v>
      </c>
      <c r="D23" s="127" t="s">
        <v>301</v>
      </c>
      <c r="E23" s="128" t="s">
        <v>295</v>
      </c>
      <c r="F23" s="220"/>
      <c r="G23" s="265">
        <v>0</v>
      </c>
      <c r="H23" s="130">
        <f>SUMIFS('DATA PHOI TRON'!$J:$J,'DATA PHOI TRON'!$B:$B,Table3[[#This Row],[Ngày]],'DATA PHOI TRON'!$E:$E,Table3[[#This Row],[Tên NVL/BTP/TP]])</f>
        <v>0</v>
      </c>
      <c r="I23" s="130"/>
      <c r="J23" s="130"/>
      <c r="K23" s="130">
        <f>SUMIFS('DATA PHOI TRON'!$G:$G,'DATA PHOI TRON'!$B:$B,Table3[[#This Row],[Ngày]],'DATA PHOI TRON'!$E:$E,Table3[[#This Row],[Tên NVL/BTP/TP]])</f>
        <v>0</v>
      </c>
      <c r="L23" s="266"/>
      <c r="M23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4" spans="1:13">
      <c r="A24" s="241">
        <f t="shared" si="1"/>
        <v>1</v>
      </c>
      <c r="B24" s="246">
        <f>WEEKNUM(Table3[[#This Row],[Ngày]])</f>
        <v>1</v>
      </c>
      <c r="C24" s="248">
        <v>43467</v>
      </c>
      <c r="D24" s="127" t="s">
        <v>328</v>
      </c>
      <c r="E24" s="128" t="s">
        <v>295</v>
      </c>
      <c r="F24" s="220"/>
      <c r="G24" s="265">
        <v>0</v>
      </c>
      <c r="H24" s="130">
        <f>SUMIFS('DATA PHOI TRON'!$J:$J,'DATA PHOI TRON'!$B:$B,Table3[[#This Row],[Ngày]],'DATA PHOI TRON'!$E:$E,Table3[[#This Row],[Tên NVL/BTP/TP]])</f>
        <v>0</v>
      </c>
      <c r="I24" s="130"/>
      <c r="J24" s="130"/>
      <c r="K24" s="130">
        <f>SUMIFS('DATA PHOI TRON'!$G:$G,'DATA PHOI TRON'!$B:$B,Table3[[#This Row],[Ngày]],'DATA PHOI TRON'!$E:$E,Table3[[#This Row],[Tên NVL/BTP/TP]])</f>
        <v>0</v>
      </c>
      <c r="L24" s="266"/>
      <c r="M24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5" spans="1:13">
      <c r="A25" s="241">
        <f t="shared" si="1"/>
        <v>1</v>
      </c>
      <c r="B25" s="246">
        <f>WEEKNUM(Table3[[#This Row],[Ngày]])</f>
        <v>1</v>
      </c>
      <c r="C25" s="248">
        <v>43467</v>
      </c>
      <c r="D25" s="127" t="s">
        <v>326</v>
      </c>
      <c r="E25" s="128" t="s">
        <v>295</v>
      </c>
      <c r="F25" s="220"/>
      <c r="G25" s="265">
        <v>0</v>
      </c>
      <c r="H25" s="130">
        <f>SUMIFS('DATA PHOI TRON'!$J:$J,'DATA PHOI TRON'!$B:$B,Table3[[#This Row],[Ngày]],'DATA PHOI TRON'!$E:$E,Table3[[#This Row],[Tên NVL/BTP/TP]])</f>
        <v>0</v>
      </c>
      <c r="I25" s="130"/>
      <c r="J25" s="130"/>
      <c r="K25" s="130">
        <f>SUMIFS('DATA PHOI TRON'!$G:$G,'DATA PHOI TRON'!$B:$B,Table3[[#This Row],[Ngày]],'DATA PHOI TRON'!$E:$E,Table3[[#This Row],[Tên NVL/BTP/TP]])</f>
        <v>0</v>
      </c>
      <c r="L25" s="266"/>
      <c r="M25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6" spans="1:13">
      <c r="A26" s="241">
        <f t="shared" si="1"/>
        <v>1</v>
      </c>
      <c r="B26" s="246">
        <f>WEEKNUM(Table3[[#This Row],[Ngày]])</f>
        <v>1</v>
      </c>
      <c r="C26" s="248">
        <v>43467</v>
      </c>
      <c r="D26" s="127" t="s">
        <v>327</v>
      </c>
      <c r="E26" s="128" t="s">
        <v>295</v>
      </c>
      <c r="F26" s="220"/>
      <c r="G26" s="265">
        <v>0</v>
      </c>
      <c r="H26" s="130">
        <f>SUMIFS('DATA PHOI TRON'!$J:$J,'DATA PHOI TRON'!$B:$B,Table3[[#This Row],[Ngày]],'DATA PHOI TRON'!$E:$E,Table3[[#This Row],[Tên NVL/BTP/TP]])</f>
        <v>0</v>
      </c>
      <c r="I26" s="130"/>
      <c r="J26" s="130"/>
      <c r="K26" s="130">
        <f>SUMIFS('DATA PHOI TRON'!$G:$G,'DATA PHOI TRON'!$B:$B,Table3[[#This Row],[Ngày]],'DATA PHOI TRON'!$E:$E,Table3[[#This Row],[Tên NVL/BTP/TP]])</f>
        <v>0</v>
      </c>
      <c r="L26" s="266"/>
      <c r="M26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27" spans="1:13">
      <c r="A27" s="241">
        <f t="shared" si="1"/>
        <v>1</v>
      </c>
      <c r="B27" s="246">
        <f>WEEKNUM(Table3[[#This Row],[Ngày]])</f>
        <v>1</v>
      </c>
      <c r="C27" s="248">
        <v>43467</v>
      </c>
      <c r="D27" s="127" t="s">
        <v>312</v>
      </c>
      <c r="E27" s="128" t="s">
        <v>291</v>
      </c>
      <c r="F27" s="220" t="s">
        <v>557</v>
      </c>
      <c r="G27" s="265">
        <v>102.821</v>
      </c>
      <c r="H27" s="130">
        <f>SUMIFS('DATA PHOI TRON'!$J:$J,'DATA PHOI TRON'!$B:$B,Table3[[#This Row],[Ngày]],'DATA PHOI TRON'!$E:$E,Table3[[#This Row],[Tên NVL/BTP/TP]])</f>
        <v>201.69100000000003</v>
      </c>
      <c r="I27" s="130"/>
      <c r="J27" s="130"/>
      <c r="K27" s="130">
        <f>SUMIFS('DATA PHOI TRON'!$G:$G,'DATA PHOI TRON'!$B:$B,Table3[[#This Row],[Ngày]],'DATA PHOI TRON'!$E:$E,Table3[[#This Row],[Tên NVL/BTP/TP]])</f>
        <v>0</v>
      </c>
      <c r="L27" s="266"/>
      <c r="M27" s="258">
        <f>Table3[[#This Row],[Tồn đầu ngày]]+Table3[[#This Row],[Nhập từ sản xuất]]+Table3[[#This Row],[Nhập từ kho]]-Table3[[#This Row],[Xuất cho kho]]-Table3[[#This Row],[Xuất cho sản xuất]]-Table3[[#This Row],[Hao hụt]]</f>
        <v>304.51200000000006</v>
      </c>
    </row>
    <row r="28" spans="1:13">
      <c r="A28" s="241">
        <f t="shared" si="1"/>
        <v>1</v>
      </c>
      <c r="B28" s="246">
        <f>WEEKNUM(Table3[[#This Row],[Ngày]])</f>
        <v>1</v>
      </c>
      <c r="C28" s="248">
        <v>43467</v>
      </c>
      <c r="D28" s="127" t="s">
        <v>313</v>
      </c>
      <c r="E28" s="128" t="s">
        <v>291</v>
      </c>
      <c r="F28" s="220" t="s">
        <v>557</v>
      </c>
      <c r="G28" s="265">
        <v>0</v>
      </c>
      <c r="H28" s="130">
        <f>SUMIFS('DATA PHOI TRON'!$J:$J,'DATA PHOI TRON'!$B:$B,Table3[[#This Row],[Ngày]],'DATA PHOI TRON'!$E:$E,Table3[[#This Row],[Tên NVL/BTP/TP]])</f>
        <v>193.279</v>
      </c>
      <c r="I28" s="130"/>
      <c r="J28" s="130"/>
      <c r="K28" s="130">
        <f>SUMIFS('DATA PHOI TRON'!$G:$G,'DATA PHOI TRON'!$B:$B,Table3[[#This Row],[Ngày]],'DATA PHOI TRON'!$E:$E,Table3[[#This Row],[Tên NVL/BTP/TP]])</f>
        <v>0</v>
      </c>
      <c r="L28" s="266"/>
      <c r="M28" s="258">
        <f>Table3[[#This Row],[Tồn đầu ngày]]+Table3[[#This Row],[Nhập từ sản xuất]]+Table3[[#This Row],[Nhập từ kho]]-Table3[[#This Row],[Xuất cho kho]]-Table3[[#This Row],[Xuất cho sản xuất]]-Table3[[#This Row],[Hao hụt]]</f>
        <v>193.279</v>
      </c>
    </row>
    <row r="29" spans="1:13">
      <c r="A29" s="241">
        <f t="shared" si="1"/>
        <v>1</v>
      </c>
      <c r="B29" s="246">
        <f>WEEKNUM(Table3[[#This Row],[Ngày]])</f>
        <v>1</v>
      </c>
      <c r="C29" s="248">
        <v>43467</v>
      </c>
      <c r="D29" s="127" t="s">
        <v>290</v>
      </c>
      <c r="E29" s="128" t="s">
        <v>291</v>
      </c>
      <c r="F29" s="220"/>
      <c r="G29" s="265">
        <v>134.80000000000001</v>
      </c>
      <c r="H29" s="130">
        <f>SUMIFS('DATA PHOI TRON'!$J:$J,'DATA PHOI TRON'!$B:$B,Table3[[#This Row],[Ngày]],'DATA PHOI TRON'!$E:$E,Table3[[#This Row],[Tên NVL/BTP/TP]])</f>
        <v>0</v>
      </c>
      <c r="I29" s="130"/>
      <c r="J29" s="130"/>
      <c r="K29" s="130">
        <f>SUMIFS('DATA PHOI TRON'!$G:$G,'DATA PHOI TRON'!$B:$B,Table3[[#This Row],[Ngày]],'DATA PHOI TRON'!$E:$E,Table3[[#This Row],[Tên NVL/BTP/TP]])</f>
        <v>74</v>
      </c>
      <c r="L29" s="266"/>
      <c r="M29" s="258">
        <f>Table3[[#This Row],[Tồn đầu ngày]]+Table3[[#This Row],[Nhập từ sản xuất]]+Table3[[#This Row],[Nhập từ kho]]-Table3[[#This Row],[Xuất cho kho]]-Table3[[#This Row],[Xuất cho sản xuất]]-Table3[[#This Row],[Hao hụt]]</f>
        <v>60.800000000000011</v>
      </c>
    </row>
    <row r="30" spans="1:13">
      <c r="A30" s="241">
        <f t="shared" si="1"/>
        <v>1</v>
      </c>
      <c r="B30" s="246">
        <f>WEEKNUM(Table3[[#This Row],[Ngày]])</f>
        <v>1</v>
      </c>
      <c r="C30" s="248">
        <v>43467</v>
      </c>
      <c r="D30" s="127" t="s">
        <v>296</v>
      </c>
      <c r="E30" s="128" t="s">
        <v>295</v>
      </c>
      <c r="F30" s="220"/>
      <c r="G30" s="265">
        <v>0</v>
      </c>
      <c r="H30" s="130">
        <f>SUMIFS('DATA PHOI TRON'!$J:$J,'DATA PHOI TRON'!$B:$B,Table3[[#This Row],[Ngày]],'DATA PHOI TRON'!$E:$E,Table3[[#This Row],[Tên NVL/BTP/TP]])</f>
        <v>0</v>
      </c>
      <c r="I30" s="130">
        <f>(185-4.5)*29.34/1000</f>
        <v>5.2958699999999999</v>
      </c>
      <c r="J30" s="130"/>
      <c r="K30" s="130">
        <f>SUMIFS('DATA PHOI TRON'!$G:$G,'DATA PHOI TRON'!$B:$B,Table3[[#This Row],[Ngày]],'DATA PHOI TRON'!$E:$E,Table3[[#This Row],[Tên NVL/BTP/TP]])</f>
        <v>0.67500000000000004</v>
      </c>
      <c r="L30" s="266"/>
      <c r="M30" s="258">
        <f>Table3[[#This Row],[Tồn đầu ngày]]+Table3[[#This Row],[Nhập từ sản xuất]]+Table3[[#This Row],[Nhập từ kho]]-Table3[[#This Row],[Xuất cho kho]]-Table3[[#This Row],[Xuất cho sản xuất]]-Table3[[#This Row],[Hao hụt]]</f>
        <v>4.62087</v>
      </c>
    </row>
    <row r="31" spans="1:13">
      <c r="A31" s="241">
        <f t="shared" si="1"/>
        <v>1</v>
      </c>
      <c r="B31" s="246">
        <f>WEEKNUM(Table3[[#This Row],[Ngày]])</f>
        <v>1</v>
      </c>
      <c r="C31" s="248">
        <v>43467</v>
      </c>
      <c r="D31" s="127" t="s">
        <v>293</v>
      </c>
      <c r="E31" s="128" t="s">
        <v>295</v>
      </c>
      <c r="F31" s="220"/>
      <c r="G31" s="265">
        <v>9.9000000000000032E-2</v>
      </c>
      <c r="H31" s="130">
        <f>SUMIFS('DATA PHOI TRON'!$J:$J,'DATA PHOI TRON'!$B:$B,Table3[[#This Row],[Ngày]],'DATA PHOI TRON'!$E:$E,Table3[[#This Row],[Tên NVL/BTP/TP]])</f>
        <v>0</v>
      </c>
      <c r="I31" s="130">
        <f>+(108*50)/1000</f>
        <v>5.4</v>
      </c>
      <c r="J31" s="130"/>
      <c r="K31" s="130">
        <f>SUMIFS('DATA PHOI TRON'!$G:$G,'DATA PHOI TRON'!$B:$B,Table3[[#This Row],[Ngày]],'DATA PHOI TRON'!$E:$E,Table3[[#This Row],[Tên NVL/BTP/TP]])</f>
        <v>0.67500000000000004</v>
      </c>
      <c r="L31" s="266"/>
      <c r="M31" s="258">
        <f>Table3[[#This Row],[Tồn đầu ngày]]+Table3[[#This Row],[Nhập từ sản xuất]]+Table3[[#This Row],[Nhập từ kho]]-Table3[[#This Row],[Xuất cho kho]]-Table3[[#This Row],[Xuất cho sản xuất]]-Table3[[#This Row],[Hao hụt]]</f>
        <v>4.8240000000000007</v>
      </c>
    </row>
    <row r="32" spans="1:13">
      <c r="A32" s="241">
        <f t="shared" si="1"/>
        <v>1</v>
      </c>
      <c r="B32" s="246">
        <f>WEEKNUM(Table3[[#This Row],[Ngày]])</f>
        <v>1</v>
      </c>
      <c r="C32" s="248">
        <v>43467</v>
      </c>
      <c r="D32" s="127" t="s">
        <v>297</v>
      </c>
      <c r="E32" s="128" t="s">
        <v>295</v>
      </c>
      <c r="F32" s="220"/>
      <c r="G32" s="265">
        <v>15.572379999999999</v>
      </c>
      <c r="H32" s="130">
        <f>SUMIFS('DATA PHOI TRON'!$J:$J,'DATA PHOI TRON'!$B:$B,Table3[[#This Row],[Ngày]],'DATA PHOI TRON'!$E:$E,Table3[[#This Row],[Tên NVL/BTP/TP]])</f>
        <v>0</v>
      </c>
      <c r="I32" s="130"/>
      <c r="J32" s="130"/>
      <c r="K32" s="130">
        <f>SUMIFS('DATA PHOI TRON'!$G:$G,'DATA PHOI TRON'!$B:$B,Table3[[#This Row],[Ngày]],'DATA PHOI TRON'!$E:$E,Table3[[#This Row],[Tên NVL/BTP/TP]])</f>
        <v>2.0099999999999998</v>
      </c>
      <c r="L32" s="266"/>
      <c r="M32" s="258">
        <f>Table3[[#This Row],[Tồn đầu ngày]]+Table3[[#This Row],[Nhập từ sản xuất]]+Table3[[#This Row],[Nhập từ kho]]-Table3[[#This Row],[Xuất cho kho]]-Table3[[#This Row],[Xuất cho sản xuất]]-Table3[[#This Row],[Hao hụt]]</f>
        <v>13.562379999999999</v>
      </c>
    </row>
    <row r="33" spans="1:13">
      <c r="A33" s="241">
        <f t="shared" si="1"/>
        <v>1</v>
      </c>
      <c r="B33" s="246">
        <f>WEEKNUM(Table3[[#This Row],[Ngày]])</f>
        <v>1</v>
      </c>
      <c r="C33" s="248">
        <v>43467</v>
      </c>
      <c r="D33" s="127" t="s">
        <v>299</v>
      </c>
      <c r="E33" s="128" t="s">
        <v>291</v>
      </c>
      <c r="F33" s="220"/>
      <c r="G33" s="265">
        <v>0</v>
      </c>
      <c r="H33" s="130">
        <f>SUMIFS('DATA PHOI TRON'!$J:$J,'DATA PHOI TRON'!$B:$B,Table3[[#This Row],[Ngày]],'DATA PHOI TRON'!$E:$E,Table3[[#This Row],[Tên NVL/BTP/TP]])</f>
        <v>0</v>
      </c>
      <c r="I33" s="130">
        <v>122</v>
      </c>
      <c r="J33" s="130"/>
      <c r="K33" s="130">
        <f>SUMIFS('DATA PHOI TRON'!$G:$G,'DATA PHOI TRON'!$B:$B,Table3[[#This Row],[Ngày]],'DATA PHOI TRON'!$E:$E,Table3[[#This Row],[Tên NVL/BTP/TP]])</f>
        <v>122</v>
      </c>
      <c r="L33" s="266"/>
      <c r="M33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34" spans="1:13">
      <c r="A34" s="241">
        <f t="shared" si="1"/>
        <v>1</v>
      </c>
      <c r="B34" s="246">
        <f>WEEKNUM(Table3[[#This Row],[Ngày]])</f>
        <v>1</v>
      </c>
      <c r="C34" s="248">
        <v>43467</v>
      </c>
      <c r="D34" s="127" t="s">
        <v>292</v>
      </c>
      <c r="E34" s="128" t="s">
        <v>291</v>
      </c>
      <c r="F34" s="220"/>
      <c r="G34" s="265">
        <v>0</v>
      </c>
      <c r="H34" s="130">
        <f>SUMIFS('DATA PHOI TRON'!$J:$J,'DATA PHOI TRON'!$B:$B,Table3[[#This Row],[Ngày]],'DATA PHOI TRON'!$E:$E,Table3[[#This Row],[Tên NVL/BTP/TP]])</f>
        <v>0</v>
      </c>
      <c r="I34" s="130"/>
      <c r="J34" s="130"/>
      <c r="K34" s="130">
        <f>SUMIFS('DATA PHOI TRON'!$G:$G,'DATA PHOI TRON'!$B:$B,Table3[[#This Row],[Ngày]],'DATA PHOI TRON'!$E:$E,Table3[[#This Row],[Tên NVL/BTP/TP]])</f>
        <v>0</v>
      </c>
      <c r="L34" s="266"/>
      <c r="M34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35" spans="1:13">
      <c r="A35" s="241">
        <f t="shared" si="1"/>
        <v>1</v>
      </c>
      <c r="B35" s="246">
        <f>WEEKNUM(Table3[[#This Row],[Ngày]])</f>
        <v>1</v>
      </c>
      <c r="C35" s="248">
        <v>43467</v>
      </c>
      <c r="D35" s="127" t="s">
        <v>309</v>
      </c>
      <c r="E35" s="128" t="s">
        <v>291</v>
      </c>
      <c r="F35" s="220"/>
      <c r="G35" s="265">
        <v>64</v>
      </c>
      <c r="H35" s="130">
        <f>SUMIFS('DATA PHOI TRON'!$J:$J,'DATA PHOI TRON'!$B:$B,Table3[[#This Row],[Ngày]],'DATA PHOI TRON'!$E:$E,Table3[[#This Row],[Tên NVL/BTP/TP]])</f>
        <v>0</v>
      </c>
      <c r="I35" s="130"/>
      <c r="J35" s="130"/>
      <c r="K35" s="130">
        <f>SUMIFS('DATA PHOI TRON'!$G:$G,'DATA PHOI TRON'!$B:$B,Table3[[#This Row],[Ngày]],'DATA PHOI TRON'!$E:$E,Table3[[#This Row],[Tên NVL/BTP/TP]])</f>
        <v>64</v>
      </c>
      <c r="L35" s="266"/>
      <c r="M35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  <row r="36" spans="1:13">
      <c r="A36" s="242">
        <f t="shared" si="1"/>
        <v>1</v>
      </c>
      <c r="B36" s="246">
        <f>WEEKNUM(Table3[[#This Row],[Ngày]])</f>
        <v>1</v>
      </c>
      <c r="C36" s="248">
        <v>43467</v>
      </c>
      <c r="D36" s="131" t="s">
        <v>8</v>
      </c>
      <c r="E36" s="213" t="s">
        <v>291</v>
      </c>
      <c r="F36" s="221"/>
      <c r="G36" s="267">
        <v>0</v>
      </c>
      <c r="H36" s="132">
        <f>SUMIFS('DATA PHOI TRON'!$J:$J,'DATA PHOI TRON'!$B:$B,Table3[[#This Row],[Ngày]],'DATA PHOI TRON'!$E:$E,Table3[[#This Row],[Tên NVL/BTP/TP]])</f>
        <v>0</v>
      </c>
      <c r="I36" s="132"/>
      <c r="J36" s="132"/>
      <c r="K36" s="132">
        <f>SUMIFS('DATA PHOI TRON'!$G:$G,'DATA PHOI TRON'!$B:$B,Table3[[#This Row],[Ngày]],'DATA PHOI TRON'!$E:$E,Table3[[#This Row],[Tên NVL/BTP/TP]])</f>
        <v>0</v>
      </c>
      <c r="L36" s="268"/>
      <c r="M36" s="258">
        <f>Table3[[#This Row],[Tồn đầu ngày]]+Table3[[#This Row],[Nhập từ sản xuất]]+Table3[[#This Row],[Nhập từ kho]]-Table3[[#This Row],[Xuất cho kho]]-Table3[[#This Row],[Xuất cho sản xuất]]-Table3[[#This Row],[Hao hụt]]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3"/>
  <sheetViews>
    <sheetView tabSelected="1" topLeftCell="K1" zoomScaleNormal="100" workbookViewId="0">
      <selection activeCell="V9" sqref="V9"/>
    </sheetView>
  </sheetViews>
  <sheetFormatPr defaultColWidth="10.75" defaultRowHeight="15.5"/>
  <cols>
    <col min="1" max="1" width="6.08203125" style="210" customWidth="1"/>
    <col min="2" max="2" width="9.25" style="2" customWidth="1"/>
    <col min="3" max="3" width="6.08203125" style="6" bestFit="1" customWidth="1"/>
    <col min="4" max="4" width="17.25" style="6" bestFit="1" customWidth="1"/>
    <col min="5" max="5" width="75.33203125" style="211" customWidth="1"/>
    <col min="6" max="6" width="14.25" style="210" customWidth="1"/>
    <col min="7" max="7" width="8.9140625" style="2" customWidth="1"/>
    <col min="8" max="8" width="29.33203125" style="2" customWidth="1"/>
    <col min="9" max="9" width="23.08203125" style="2" customWidth="1"/>
    <col min="10" max="10" width="19.08203125" style="2" customWidth="1"/>
    <col min="11" max="11" width="6.75" style="6" customWidth="1"/>
    <col min="12" max="24" width="8.75" style="6" customWidth="1"/>
    <col min="25" max="25" width="11.33203125" style="6" bestFit="1" customWidth="1"/>
    <col min="26" max="16384" width="10.75" style="2"/>
  </cols>
  <sheetData>
    <row r="1" spans="1:25" s="1" customFormat="1">
      <c r="A1" s="125">
        <v>0</v>
      </c>
      <c r="B1" s="1">
        <v>1</v>
      </c>
      <c r="C1" s="7">
        <v>2</v>
      </c>
      <c r="D1" s="1">
        <v>3</v>
      </c>
      <c r="E1" s="7">
        <v>4</v>
      </c>
      <c r="F1" s="1">
        <v>5</v>
      </c>
      <c r="G1" s="7">
        <v>6</v>
      </c>
      <c r="H1" s="1">
        <v>7</v>
      </c>
      <c r="I1" s="7">
        <v>8</v>
      </c>
      <c r="J1" s="1">
        <v>9</v>
      </c>
      <c r="K1" s="7">
        <v>10</v>
      </c>
      <c r="L1" s="1">
        <v>11</v>
      </c>
      <c r="M1" s="7">
        <v>12</v>
      </c>
      <c r="N1" s="1">
        <v>13</v>
      </c>
      <c r="O1" s="7">
        <v>14</v>
      </c>
      <c r="P1" s="1">
        <v>15</v>
      </c>
      <c r="Q1" s="7">
        <v>16</v>
      </c>
      <c r="R1" s="1">
        <v>17</v>
      </c>
      <c r="S1" s="7">
        <v>18</v>
      </c>
      <c r="T1" s="1">
        <v>19</v>
      </c>
      <c r="U1" s="7">
        <v>20</v>
      </c>
      <c r="V1" s="1">
        <v>21</v>
      </c>
      <c r="W1" s="7">
        <v>22</v>
      </c>
      <c r="X1" s="1">
        <v>23</v>
      </c>
      <c r="Y1" s="7">
        <v>24</v>
      </c>
    </row>
    <row r="2" spans="1:25" s="123" customFormat="1" ht="39" customHeight="1">
      <c r="A2" s="4" t="s">
        <v>10</v>
      </c>
      <c r="B2" s="206" t="s">
        <v>11</v>
      </c>
      <c r="C2" s="206" t="s">
        <v>12</v>
      </c>
      <c r="D2" s="4" t="s">
        <v>1</v>
      </c>
      <c r="E2" s="209" t="s">
        <v>336</v>
      </c>
      <c r="F2" s="4" t="s">
        <v>335</v>
      </c>
      <c r="G2" s="4" t="s">
        <v>13</v>
      </c>
      <c r="H2" s="4" t="s">
        <v>25</v>
      </c>
      <c r="I2" s="4" t="s">
        <v>14</v>
      </c>
      <c r="J2" s="4" t="s">
        <v>337</v>
      </c>
      <c r="K2" s="4" t="s">
        <v>28</v>
      </c>
      <c r="L2" s="4" t="s">
        <v>15</v>
      </c>
      <c r="M2" s="4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4" t="s">
        <v>26</v>
      </c>
      <c r="T2" s="4" t="s">
        <v>22</v>
      </c>
      <c r="U2" s="4" t="s">
        <v>23</v>
      </c>
      <c r="V2" s="4" t="s">
        <v>24</v>
      </c>
      <c r="W2" s="4" t="s">
        <v>30</v>
      </c>
      <c r="X2" s="4" t="s">
        <v>31</v>
      </c>
      <c r="Y2" s="4" t="s">
        <v>27</v>
      </c>
    </row>
    <row r="3" spans="1:25">
      <c r="A3" s="461">
        <f t="shared" ref="A3:A9" si="0">MONTH(B3)</f>
        <v>2</v>
      </c>
      <c r="B3" s="474">
        <v>43524</v>
      </c>
      <c r="C3" s="462" t="s">
        <v>3</v>
      </c>
      <c r="D3" s="462" t="str">
        <f>IFERROR(VLOOKUP([1]!Table1[[#This Row],[Mã công đoạn]],'[1]MA SO'!$B:$D,2,0),"")</f>
        <v/>
      </c>
      <c r="E3" s="463" t="str">
        <f>IFERROR(VLOOKUP([1]!Table1[[#This Row],[Mã công đoạn]],'[1]MA SO'!$B:$D,3,0),"")</f>
        <v/>
      </c>
      <c r="F3" s="461" t="s">
        <v>577</v>
      </c>
      <c r="G3" s="464" t="s">
        <v>978</v>
      </c>
      <c r="H3" s="464" t="s">
        <v>600</v>
      </c>
      <c r="I3" s="464"/>
      <c r="J3" s="464" t="s">
        <v>513</v>
      </c>
      <c r="K3" s="465" t="s">
        <v>790</v>
      </c>
      <c r="L3" s="466">
        <v>0.30555555555555552</v>
      </c>
      <c r="M3" s="466">
        <v>0.34027777777777773</v>
      </c>
      <c r="N3" s="467">
        <v>6.9444444444444441E-3</v>
      </c>
      <c r="O3" s="468"/>
      <c r="P3" s="469"/>
      <c r="Q3" s="467"/>
      <c r="R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2.7777777777777766E-2</v>
      </c>
      <c r="S3" s="471">
        <v>30</v>
      </c>
      <c r="T3" s="472"/>
      <c r="U3" s="472"/>
      <c r="V3" s="472"/>
      <c r="W3" s="473"/>
      <c r="X3" s="473"/>
      <c r="Y3" s="472"/>
    </row>
    <row r="4" spans="1:25">
      <c r="A4" s="461">
        <f t="shared" si="0"/>
        <v>2</v>
      </c>
      <c r="B4" s="474">
        <v>43524</v>
      </c>
      <c r="C4" s="462" t="s">
        <v>3</v>
      </c>
      <c r="D4" s="462" t="str">
        <f>IFERROR(VLOOKUP([1]!Table1[[#This Row],[Mã công đoạn]],'[1]MA SO'!$B:$D,2,0),"")</f>
        <v/>
      </c>
      <c r="E4" s="463" t="str">
        <f>IFERROR(VLOOKUP([1]!Table1[[#This Row],[Mã công đoạn]],'[1]MA SO'!$B:$D,3,0),"")</f>
        <v/>
      </c>
      <c r="F4" s="461" t="s">
        <v>680</v>
      </c>
      <c r="G4" s="464"/>
      <c r="H4" s="464" t="s">
        <v>600</v>
      </c>
      <c r="I4" s="464"/>
      <c r="J4" s="464" t="s">
        <v>513</v>
      </c>
      <c r="K4" s="465" t="s">
        <v>791</v>
      </c>
      <c r="L4" s="466">
        <v>0.34027777777777773</v>
      </c>
      <c r="M4" s="466">
        <v>0.44444444444444442</v>
      </c>
      <c r="N4" s="467"/>
      <c r="O4" s="468"/>
      <c r="P4" s="469"/>
      <c r="Q4" s="467"/>
      <c r="R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4" s="471"/>
      <c r="T4" s="472"/>
      <c r="U4" s="472"/>
      <c r="V4" s="472"/>
      <c r="W4" s="473"/>
      <c r="X4" s="473"/>
      <c r="Y4" s="472" t="s">
        <v>990</v>
      </c>
    </row>
    <row r="5" spans="1:25">
      <c r="A5" s="461">
        <f t="shared" si="0"/>
        <v>2</v>
      </c>
      <c r="B5" s="474">
        <v>43524</v>
      </c>
      <c r="C5" s="462" t="s">
        <v>3</v>
      </c>
      <c r="D5" s="462" t="str">
        <f>IFERROR(VLOOKUP([1]!Table1[[#This Row],[Mã công đoạn]],'[1]MA SO'!$B:$D,2,0),"")</f>
        <v/>
      </c>
      <c r="E5" s="463" t="str">
        <f>IFERROR(VLOOKUP([1]!Table1[[#This Row],[Mã công đoạn]],'[1]MA SO'!$B:$D,3,0),"")</f>
        <v/>
      </c>
      <c r="F5" s="461" t="s">
        <v>577</v>
      </c>
      <c r="G5" s="464" t="s">
        <v>979</v>
      </c>
      <c r="H5" s="464" t="s">
        <v>600</v>
      </c>
      <c r="I5" s="464"/>
      <c r="J5" s="464" t="s">
        <v>513</v>
      </c>
      <c r="K5" s="465" t="s">
        <v>792</v>
      </c>
      <c r="L5" s="466">
        <v>0.44444444444444442</v>
      </c>
      <c r="M5" s="466">
        <v>0.47916666666666669</v>
      </c>
      <c r="N5" s="467"/>
      <c r="O5" s="468"/>
      <c r="P5" s="469"/>
      <c r="Q5" s="467"/>
      <c r="R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3.4722222222222265E-2</v>
      </c>
      <c r="S5" s="471">
        <v>40</v>
      </c>
      <c r="T5" s="472"/>
      <c r="U5" s="472"/>
      <c r="V5" s="472"/>
      <c r="W5" s="473"/>
      <c r="X5" s="473"/>
      <c r="Y5" s="472"/>
    </row>
    <row r="6" spans="1:25">
      <c r="A6" s="461">
        <f t="shared" si="0"/>
        <v>2</v>
      </c>
      <c r="B6" s="474">
        <v>43524</v>
      </c>
      <c r="C6" s="462" t="s">
        <v>3</v>
      </c>
      <c r="D6" s="462" t="str">
        <f>IFERROR(VLOOKUP([1]!Table1[[#This Row],[Mã công đoạn]],'[1]MA SO'!$B:$D,2,0),"")</f>
        <v/>
      </c>
      <c r="E6" s="463" t="str">
        <f>IFERROR(VLOOKUP([1]!Table1[[#This Row],[Mã công đoạn]],'[1]MA SO'!$B:$D,3,0),"")</f>
        <v/>
      </c>
      <c r="F6" s="461" t="s">
        <v>577</v>
      </c>
      <c r="G6" s="464" t="s">
        <v>979</v>
      </c>
      <c r="H6" s="464" t="s">
        <v>600</v>
      </c>
      <c r="I6" s="464"/>
      <c r="J6" s="464" t="s">
        <v>513</v>
      </c>
      <c r="K6" s="465" t="s">
        <v>793</v>
      </c>
      <c r="L6" s="466">
        <v>0.52083333333333337</v>
      </c>
      <c r="M6" s="466">
        <v>0.6875</v>
      </c>
      <c r="N6" s="467"/>
      <c r="O6" s="468"/>
      <c r="P6" s="469"/>
      <c r="Q6" s="467"/>
      <c r="R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6" s="471">
        <v>180</v>
      </c>
      <c r="T6" s="472"/>
      <c r="U6" s="472"/>
      <c r="V6" s="472"/>
      <c r="W6" s="473"/>
      <c r="X6" s="473"/>
      <c r="Y6" s="472"/>
    </row>
    <row r="7" spans="1:25">
      <c r="A7" s="461">
        <f t="shared" si="0"/>
        <v>2</v>
      </c>
      <c r="B7" s="474">
        <v>43524</v>
      </c>
      <c r="C7" s="462" t="s">
        <v>3</v>
      </c>
      <c r="D7" s="462" t="str">
        <f>IFERROR(VLOOKUP([1]!Table1[[#This Row],[Mã công đoạn]],'[1]MA SO'!$B:$D,2,0),"")</f>
        <v/>
      </c>
      <c r="E7" s="463" t="str">
        <f>IFERROR(VLOOKUP([1]!Table1[[#This Row],[Mã công đoạn]],'[1]MA SO'!$B:$D,3,0),"")</f>
        <v/>
      </c>
      <c r="F7" s="461" t="s">
        <v>577</v>
      </c>
      <c r="G7" s="464" t="s">
        <v>978</v>
      </c>
      <c r="H7" s="464" t="s">
        <v>125</v>
      </c>
      <c r="I7" s="464"/>
      <c r="J7" s="464" t="s">
        <v>512</v>
      </c>
      <c r="K7" s="465" t="s">
        <v>554</v>
      </c>
      <c r="L7" s="466">
        <v>0.30555555555555552</v>
      </c>
      <c r="M7" s="466">
        <v>0.34027777777777773</v>
      </c>
      <c r="N7" s="467">
        <v>6.9444444444444441E-3</v>
      </c>
      <c r="O7" s="468"/>
      <c r="P7" s="469"/>
      <c r="Q7" s="467"/>
      <c r="R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2.7777777777777766E-2</v>
      </c>
      <c r="S7" s="471">
        <v>30</v>
      </c>
      <c r="T7" s="472">
        <v>60</v>
      </c>
      <c r="U7" s="472"/>
      <c r="V7" s="472"/>
      <c r="W7" s="473"/>
      <c r="X7" s="473"/>
      <c r="Y7" s="472"/>
    </row>
    <row r="8" spans="1:25">
      <c r="A8" s="461">
        <f t="shared" si="0"/>
        <v>2</v>
      </c>
      <c r="B8" s="474">
        <v>43524</v>
      </c>
      <c r="C8" s="462" t="s">
        <v>3</v>
      </c>
      <c r="D8" s="462" t="str">
        <f>IFERROR(VLOOKUP([1]!Table1[[#This Row],[Mã công đoạn]],'[1]MA SO'!$B:$D,2,0),"")</f>
        <v/>
      </c>
      <c r="E8" s="463" t="str">
        <f>IFERROR(VLOOKUP([1]!Table1[[#This Row],[Mã công đoạn]],'[1]MA SO'!$B:$D,3,0),"")</f>
        <v/>
      </c>
      <c r="F8" s="461" t="s">
        <v>680</v>
      </c>
      <c r="G8" s="464"/>
      <c r="H8" s="464" t="s">
        <v>125</v>
      </c>
      <c r="I8" s="464"/>
      <c r="J8" s="464" t="s">
        <v>512</v>
      </c>
      <c r="K8" s="465" t="s">
        <v>555</v>
      </c>
      <c r="L8" s="466">
        <v>0.34027777777777773</v>
      </c>
      <c r="M8" s="466">
        <v>0.44444444444444442</v>
      </c>
      <c r="N8" s="467"/>
      <c r="O8" s="468"/>
      <c r="P8" s="469"/>
      <c r="Q8" s="467"/>
      <c r="R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8" s="471"/>
      <c r="T8" s="472"/>
      <c r="U8" s="472"/>
      <c r="V8" s="472"/>
      <c r="W8" s="473"/>
      <c r="X8" s="473"/>
      <c r="Y8" s="472" t="s">
        <v>991</v>
      </c>
    </row>
    <row r="9" spans="1:25">
      <c r="A9" s="461">
        <f t="shared" si="0"/>
        <v>2</v>
      </c>
      <c r="B9" s="474">
        <v>43524</v>
      </c>
      <c r="C9" s="462" t="s">
        <v>3</v>
      </c>
      <c r="D9" s="462" t="str">
        <f>IFERROR(VLOOKUP([1]!Table1[[#This Row],[Mã công đoạn]],'[1]MA SO'!$B:$D,2,0),"")</f>
        <v/>
      </c>
      <c r="E9" s="463" t="str">
        <f>IFERROR(VLOOKUP([1]!Table1[[#This Row],[Mã công đoạn]],'[1]MA SO'!$B:$D,3,0),"")</f>
        <v/>
      </c>
      <c r="F9" s="461" t="s">
        <v>577</v>
      </c>
      <c r="G9" s="464" t="s">
        <v>979</v>
      </c>
      <c r="H9" s="464" t="s">
        <v>125</v>
      </c>
      <c r="I9" s="464"/>
      <c r="J9" s="464" t="s">
        <v>512</v>
      </c>
      <c r="K9" s="465" t="s">
        <v>554</v>
      </c>
      <c r="L9" s="466">
        <v>0.44444444444444442</v>
      </c>
      <c r="M9" s="466">
        <v>0.47916666666666669</v>
      </c>
      <c r="N9" s="467"/>
      <c r="O9" s="468"/>
      <c r="P9" s="469"/>
      <c r="Q9" s="467"/>
      <c r="R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3.4722222222222265E-2</v>
      </c>
      <c r="S9" s="471">
        <v>40</v>
      </c>
      <c r="T9" s="472"/>
      <c r="U9" s="472"/>
      <c r="V9" s="472"/>
      <c r="W9" s="473"/>
      <c r="X9" s="473"/>
      <c r="Y9" s="472"/>
    </row>
    <row r="10" spans="1:25">
      <c r="A10" s="461">
        <f t="shared" ref="A10:A41" si="1">MONTH(B10)</f>
        <v>2</v>
      </c>
      <c r="B10" s="474">
        <v>43524</v>
      </c>
      <c r="C10" s="462" t="s">
        <v>3</v>
      </c>
      <c r="D10" s="462" t="str">
        <f>IFERROR(VLOOKUP([1]!Table1[[#This Row],[Mã công đoạn]],'[1]MA SO'!$B:$D,2,0),"")</f>
        <v/>
      </c>
      <c r="E10" s="463" t="str">
        <f>IFERROR(VLOOKUP([1]!Table1[[#This Row],[Mã công đoạn]],'[1]MA SO'!$B:$D,3,0),"")</f>
        <v/>
      </c>
      <c r="F10" s="461" t="s">
        <v>577</v>
      </c>
      <c r="G10" s="464" t="s">
        <v>979</v>
      </c>
      <c r="H10" s="464" t="s">
        <v>125</v>
      </c>
      <c r="I10" s="464"/>
      <c r="J10" s="464" t="s">
        <v>512</v>
      </c>
      <c r="K10" s="465" t="s">
        <v>555</v>
      </c>
      <c r="L10" s="466">
        <v>0.52083333333333337</v>
      </c>
      <c r="M10" s="466">
        <v>0.6875</v>
      </c>
      <c r="N10" s="467"/>
      <c r="O10" s="468"/>
      <c r="P10" s="469"/>
      <c r="Q10" s="467"/>
      <c r="R1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" s="471">
        <v>180</v>
      </c>
      <c r="T10" s="472"/>
      <c r="U10" s="472"/>
      <c r="V10" s="472"/>
      <c r="W10" s="473"/>
      <c r="X10" s="473"/>
      <c r="Y10" s="472"/>
    </row>
    <row r="11" spans="1:25">
      <c r="A11" s="461">
        <f t="shared" si="1"/>
        <v>2</v>
      </c>
      <c r="B11" s="474">
        <v>43524</v>
      </c>
      <c r="C11" s="462" t="s">
        <v>3</v>
      </c>
      <c r="D11" s="462" t="str">
        <f>IFERROR(VLOOKUP([1]!Table1[[#This Row],[Mã công đoạn]],'[1]MA SO'!$B:$D,2,0),"")</f>
        <v/>
      </c>
      <c r="E11" s="463" t="str">
        <f>IFERROR(VLOOKUP([1]!Table1[[#This Row],[Mã công đoạn]],'[1]MA SO'!$B:$D,3,0),"")</f>
        <v/>
      </c>
      <c r="F11" s="461" t="s">
        <v>578</v>
      </c>
      <c r="G11" s="464" t="s">
        <v>978</v>
      </c>
      <c r="H11" s="464" t="s">
        <v>59</v>
      </c>
      <c r="I11" s="464"/>
      <c r="J11" s="464" t="s">
        <v>510</v>
      </c>
      <c r="K11" s="465" t="s">
        <v>554</v>
      </c>
      <c r="L11" s="466">
        <v>0.30555555555555552</v>
      </c>
      <c r="M11" s="466">
        <v>0.47916666666666669</v>
      </c>
      <c r="N11" s="467">
        <v>6.9444444444444441E-3</v>
      </c>
      <c r="O11" s="468"/>
      <c r="P11" s="469"/>
      <c r="Q11" s="467"/>
      <c r="R1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0.16666666666666671</v>
      </c>
      <c r="S11" s="471">
        <v>80</v>
      </c>
      <c r="T11" s="472">
        <v>65</v>
      </c>
      <c r="U11" s="472"/>
      <c r="V11" s="472"/>
      <c r="W11" s="473"/>
      <c r="X11" s="473"/>
      <c r="Y11" s="472"/>
    </row>
    <row r="12" spans="1:25">
      <c r="A12" s="461">
        <f t="shared" si="1"/>
        <v>2</v>
      </c>
      <c r="B12" s="474">
        <v>43524</v>
      </c>
      <c r="C12" s="462" t="s">
        <v>3</v>
      </c>
      <c r="D12" s="462" t="str">
        <f>IFERROR(VLOOKUP([1]!Table1[[#This Row],[Mã công đoạn]],'[1]MA SO'!$B:$D,2,0),"")</f>
        <v/>
      </c>
      <c r="E12" s="463" t="str">
        <f>IFERROR(VLOOKUP([1]!Table1[[#This Row],[Mã công đoạn]],'[1]MA SO'!$B:$D,3,0),"")</f>
        <v/>
      </c>
      <c r="F12" s="461" t="s">
        <v>578</v>
      </c>
      <c r="G12" s="464" t="s">
        <v>978</v>
      </c>
      <c r="H12" s="464" t="s">
        <v>59</v>
      </c>
      <c r="I12" s="464"/>
      <c r="J12" s="464" t="s">
        <v>510</v>
      </c>
      <c r="K12" s="465" t="s">
        <v>555</v>
      </c>
      <c r="L12" s="466">
        <v>0.52083333333333337</v>
      </c>
      <c r="M12" s="466">
        <v>0.625</v>
      </c>
      <c r="N12" s="467"/>
      <c r="O12" s="468"/>
      <c r="P12" s="469"/>
      <c r="Q12" s="467"/>
      <c r="R1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2" s="471">
        <v>30</v>
      </c>
      <c r="T12" s="472"/>
      <c r="U12" s="472"/>
      <c r="V12" s="472"/>
      <c r="W12" s="473"/>
      <c r="X12" s="473"/>
      <c r="Y12" s="472"/>
    </row>
    <row r="13" spans="1:25">
      <c r="A13" s="461">
        <f t="shared" si="1"/>
        <v>2</v>
      </c>
      <c r="B13" s="474">
        <v>43524</v>
      </c>
      <c r="C13" s="462" t="s">
        <v>3</v>
      </c>
      <c r="D13" s="462" t="str">
        <f>IFERROR(VLOOKUP([1]!Table1[[#This Row],[Mã công đoạn]],'[1]MA SO'!$B:$D,2,0),"")</f>
        <v/>
      </c>
      <c r="E13" s="463" t="str">
        <f>IFERROR(VLOOKUP([1]!Table1[[#This Row],[Mã công đoạn]],'[1]MA SO'!$B:$D,3,0),"")</f>
        <v/>
      </c>
      <c r="F13" s="461" t="s">
        <v>578</v>
      </c>
      <c r="G13" s="464" t="s">
        <v>980</v>
      </c>
      <c r="H13" s="464" t="s">
        <v>59</v>
      </c>
      <c r="I13" s="464"/>
      <c r="J13" s="464" t="s">
        <v>510</v>
      </c>
      <c r="K13" s="465" t="s">
        <v>555</v>
      </c>
      <c r="L13" s="466">
        <v>0.625</v>
      </c>
      <c r="M13" s="466">
        <v>0.64583333333333337</v>
      </c>
      <c r="N13" s="467"/>
      <c r="O13" s="468"/>
      <c r="P13" s="469"/>
      <c r="Q13" s="467"/>
      <c r="R1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13" s="471">
        <v>15</v>
      </c>
      <c r="T13" s="472"/>
      <c r="U13" s="472"/>
      <c r="V13" s="472"/>
      <c r="W13" s="473"/>
      <c r="X13" s="473"/>
      <c r="Y13" s="472"/>
    </row>
    <row r="14" spans="1:25">
      <c r="A14" s="461">
        <f t="shared" si="1"/>
        <v>2</v>
      </c>
      <c r="B14" s="474">
        <v>43524</v>
      </c>
      <c r="C14" s="462" t="s">
        <v>3</v>
      </c>
      <c r="D14" s="462" t="str">
        <f>IFERROR(VLOOKUP([1]!Table1[[#This Row],[Mã công đoạn]],'[1]MA SO'!$B:$D,2,0),"")</f>
        <v/>
      </c>
      <c r="E14" s="463" t="str">
        <f>IFERROR(VLOOKUP([1]!Table1[[#This Row],[Mã công đoạn]],'[1]MA SO'!$B:$D,3,0),"")</f>
        <v/>
      </c>
      <c r="F14" s="461" t="s">
        <v>580</v>
      </c>
      <c r="G14" s="464" t="s">
        <v>978</v>
      </c>
      <c r="H14" s="464" t="s">
        <v>59</v>
      </c>
      <c r="I14" s="464"/>
      <c r="J14" s="464" t="s">
        <v>510</v>
      </c>
      <c r="K14" s="465" t="s">
        <v>555</v>
      </c>
      <c r="L14" s="466">
        <v>0.64583333333333337</v>
      </c>
      <c r="M14" s="466">
        <v>0.66666666666666663</v>
      </c>
      <c r="N14" s="467"/>
      <c r="O14" s="468"/>
      <c r="P14" s="469"/>
      <c r="Q14" s="467"/>
      <c r="R1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14" s="471">
        <v>5</v>
      </c>
      <c r="T14" s="472"/>
      <c r="U14" s="472"/>
      <c r="V14" s="472"/>
      <c r="W14" s="473"/>
      <c r="X14" s="473"/>
      <c r="Y14" s="472"/>
    </row>
    <row r="15" spans="1:25">
      <c r="A15" s="461">
        <f t="shared" si="1"/>
        <v>2</v>
      </c>
      <c r="B15" s="474">
        <v>43524</v>
      </c>
      <c r="C15" s="462" t="s">
        <v>3</v>
      </c>
      <c r="D15" s="462" t="str">
        <f>IFERROR(VLOOKUP([1]!Table1[[#This Row],[Mã công đoạn]],'[1]MA SO'!$B:$D,2,0),"")</f>
        <v/>
      </c>
      <c r="E15" s="463" t="str">
        <f>IFERROR(VLOOKUP([1]!Table1[[#This Row],[Mã công đoạn]],'[1]MA SO'!$B:$D,3,0),"")</f>
        <v/>
      </c>
      <c r="F15" s="461" t="s">
        <v>580</v>
      </c>
      <c r="G15" s="464" t="s">
        <v>979</v>
      </c>
      <c r="H15" s="464" t="s">
        <v>59</v>
      </c>
      <c r="I15" s="464"/>
      <c r="J15" s="464" t="s">
        <v>510</v>
      </c>
      <c r="K15" s="465" t="s">
        <v>555</v>
      </c>
      <c r="L15" s="466">
        <v>0.66666666666666663</v>
      </c>
      <c r="M15" s="466">
        <v>0.6875</v>
      </c>
      <c r="N15" s="467"/>
      <c r="O15" s="468"/>
      <c r="P15" s="469"/>
      <c r="Q15" s="467"/>
      <c r="R1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15" s="471">
        <v>10</v>
      </c>
      <c r="T15" s="472"/>
      <c r="U15" s="472"/>
      <c r="V15" s="472"/>
      <c r="W15" s="473"/>
      <c r="X15" s="473"/>
      <c r="Y15" s="472"/>
    </row>
    <row r="16" spans="1:25">
      <c r="A16" s="461">
        <f t="shared" si="1"/>
        <v>2</v>
      </c>
      <c r="B16" s="474">
        <v>43524</v>
      </c>
      <c r="C16" s="462" t="s">
        <v>3</v>
      </c>
      <c r="D16" s="462" t="str">
        <f>IFERROR(VLOOKUP([1]!Table1[[#This Row],[Mã công đoạn]],'[1]MA SO'!$B:$D,2,0),"")</f>
        <v/>
      </c>
      <c r="E16" s="463" t="str">
        <f>IFERROR(VLOOKUP([1]!Table1[[#This Row],[Mã công đoạn]],'[1]MA SO'!$B:$D,3,0),"")</f>
        <v/>
      </c>
      <c r="F16" s="461" t="s">
        <v>578</v>
      </c>
      <c r="G16" s="464" t="s">
        <v>978</v>
      </c>
      <c r="H16" s="464" t="s">
        <v>124</v>
      </c>
      <c r="I16" s="464"/>
      <c r="J16" s="464" t="s">
        <v>475</v>
      </c>
      <c r="K16" s="465" t="s">
        <v>554</v>
      </c>
      <c r="L16" s="466">
        <v>0.30555555555555552</v>
      </c>
      <c r="M16" s="466">
        <v>0.375</v>
      </c>
      <c r="N16" s="467">
        <v>6.9444444444444441E-3</v>
      </c>
      <c r="O16" s="468"/>
      <c r="P16" s="469"/>
      <c r="Q16" s="467"/>
      <c r="R1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6.2500000000000028E-2</v>
      </c>
      <c r="S16" s="471">
        <v>35</v>
      </c>
      <c r="T16" s="472">
        <v>50</v>
      </c>
      <c r="U16" s="472"/>
      <c r="V16" s="472"/>
      <c r="W16" s="473"/>
      <c r="X16" s="473"/>
      <c r="Y16" s="472"/>
    </row>
    <row r="17" spans="1:25">
      <c r="A17" s="461">
        <f t="shared" si="1"/>
        <v>2</v>
      </c>
      <c r="B17" s="474">
        <v>43524</v>
      </c>
      <c r="C17" s="462" t="s">
        <v>3</v>
      </c>
      <c r="D17" s="462" t="str">
        <f>IFERROR(VLOOKUP([1]!Table1[[#This Row],[Mã công đoạn]],'[1]MA SO'!$B:$D,2,0),"")</f>
        <v/>
      </c>
      <c r="E17" s="463" t="str">
        <f>IFERROR(VLOOKUP([1]!Table1[[#This Row],[Mã công đoạn]],'[1]MA SO'!$B:$D,3,0),"")</f>
        <v/>
      </c>
      <c r="F17" s="461" t="s">
        <v>680</v>
      </c>
      <c r="G17" s="464"/>
      <c r="H17" s="464" t="s">
        <v>124</v>
      </c>
      <c r="I17" s="464"/>
      <c r="J17" s="464" t="s">
        <v>475</v>
      </c>
      <c r="K17" s="465" t="s">
        <v>554</v>
      </c>
      <c r="L17" s="466">
        <v>0.375</v>
      </c>
      <c r="M17" s="466">
        <v>0.39583333333333331</v>
      </c>
      <c r="N17" s="467"/>
      <c r="O17" s="468"/>
      <c r="P17" s="469"/>
      <c r="Q17" s="467"/>
      <c r="R1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2.0833333333333315E-2</v>
      </c>
      <c r="S17" s="471"/>
      <c r="T17" s="472"/>
      <c r="U17" s="472"/>
      <c r="V17" s="472"/>
      <c r="W17" s="473"/>
      <c r="X17" s="473"/>
      <c r="Y17" s="472" t="s">
        <v>992</v>
      </c>
    </row>
    <row r="18" spans="1:25">
      <c r="A18" s="461">
        <f t="shared" si="1"/>
        <v>2</v>
      </c>
      <c r="B18" s="474">
        <v>43524</v>
      </c>
      <c r="C18" s="462" t="s">
        <v>3</v>
      </c>
      <c r="D18" s="462" t="str">
        <f>IFERROR(VLOOKUP([1]!Table1[[#This Row],[Mã công đoạn]],'[1]MA SO'!$B:$D,2,0),"")</f>
        <v/>
      </c>
      <c r="E18" s="463" t="str">
        <f>IFERROR(VLOOKUP([1]!Table1[[#This Row],[Mã công đoạn]],'[1]MA SO'!$B:$D,3,0),"")</f>
        <v/>
      </c>
      <c r="F18" s="461" t="s">
        <v>578</v>
      </c>
      <c r="G18" s="464" t="s">
        <v>978</v>
      </c>
      <c r="H18" s="464" t="s">
        <v>124</v>
      </c>
      <c r="I18" s="464"/>
      <c r="J18" s="464" t="s">
        <v>475</v>
      </c>
      <c r="K18" s="465" t="s">
        <v>554</v>
      </c>
      <c r="L18" s="466">
        <v>0.39583333333333331</v>
      </c>
      <c r="M18" s="466">
        <v>0.47916666666666669</v>
      </c>
      <c r="N18" s="467"/>
      <c r="O18" s="468"/>
      <c r="P18" s="469"/>
      <c r="Q18" s="467"/>
      <c r="R1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8.333333333333337E-2</v>
      </c>
      <c r="S18" s="471">
        <v>45</v>
      </c>
      <c r="T18" s="472"/>
      <c r="U18" s="472"/>
      <c r="V18" s="472"/>
      <c r="W18" s="473"/>
      <c r="X18" s="473"/>
      <c r="Y18" s="472"/>
    </row>
    <row r="19" spans="1:25">
      <c r="A19" s="461">
        <f t="shared" si="1"/>
        <v>2</v>
      </c>
      <c r="B19" s="474">
        <v>43524</v>
      </c>
      <c r="C19" s="462" t="s">
        <v>3</v>
      </c>
      <c r="D19" s="462" t="str">
        <f>IFERROR(VLOOKUP([1]!Table1[[#This Row],[Mã công đoạn]],'[1]MA SO'!$B:$D,2,0),"")</f>
        <v/>
      </c>
      <c r="E19" s="463" t="str">
        <f>IFERROR(VLOOKUP([1]!Table1[[#This Row],[Mã công đoạn]],'[1]MA SO'!$B:$D,3,0),"")</f>
        <v/>
      </c>
      <c r="F19" s="461" t="s">
        <v>578</v>
      </c>
      <c r="G19" s="464" t="s">
        <v>978</v>
      </c>
      <c r="H19" s="464" t="s">
        <v>124</v>
      </c>
      <c r="I19" s="464"/>
      <c r="J19" s="464" t="s">
        <v>475</v>
      </c>
      <c r="K19" s="465" t="s">
        <v>555</v>
      </c>
      <c r="L19" s="466">
        <v>0.52083333333333337</v>
      </c>
      <c r="M19" s="466">
        <v>0.625</v>
      </c>
      <c r="N19" s="467"/>
      <c r="O19" s="468"/>
      <c r="P19" s="469"/>
      <c r="Q19" s="467"/>
      <c r="R1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9" s="471">
        <v>30</v>
      </c>
      <c r="T19" s="472"/>
      <c r="U19" s="472"/>
      <c r="V19" s="472"/>
      <c r="W19" s="473"/>
      <c r="X19" s="473"/>
      <c r="Y19" s="472"/>
    </row>
    <row r="20" spans="1:25">
      <c r="A20" s="461">
        <f t="shared" si="1"/>
        <v>2</v>
      </c>
      <c r="B20" s="474">
        <v>43524</v>
      </c>
      <c r="C20" s="462" t="s">
        <v>3</v>
      </c>
      <c r="D20" s="462" t="str">
        <f>IFERROR(VLOOKUP([1]!Table1[[#This Row],[Mã công đoạn]],'[1]MA SO'!$B:$D,2,0),"")</f>
        <v/>
      </c>
      <c r="E20" s="463" t="str">
        <f>IFERROR(VLOOKUP([1]!Table1[[#This Row],[Mã công đoạn]],'[1]MA SO'!$B:$D,3,0),"")</f>
        <v/>
      </c>
      <c r="F20" s="461" t="s">
        <v>578</v>
      </c>
      <c r="G20" s="464" t="s">
        <v>980</v>
      </c>
      <c r="H20" s="464" t="s">
        <v>124</v>
      </c>
      <c r="I20" s="464"/>
      <c r="J20" s="464" t="s">
        <v>475</v>
      </c>
      <c r="K20" s="465" t="s">
        <v>555</v>
      </c>
      <c r="L20" s="466">
        <v>0.625</v>
      </c>
      <c r="M20" s="466">
        <v>0.64583333333333337</v>
      </c>
      <c r="N20" s="467"/>
      <c r="O20" s="468"/>
      <c r="P20" s="469"/>
      <c r="Q20" s="467"/>
      <c r="R2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20" s="471">
        <v>15</v>
      </c>
      <c r="T20" s="472"/>
      <c r="U20" s="472"/>
      <c r="V20" s="472"/>
      <c r="W20" s="473"/>
      <c r="X20" s="473"/>
      <c r="Y20" s="472"/>
    </row>
    <row r="21" spans="1:25">
      <c r="A21" s="461">
        <f t="shared" si="1"/>
        <v>2</v>
      </c>
      <c r="B21" s="474">
        <v>43524</v>
      </c>
      <c r="C21" s="462" t="s">
        <v>3</v>
      </c>
      <c r="D21" s="462" t="str">
        <f>IFERROR(VLOOKUP([1]!Table1[[#This Row],[Mã công đoạn]],'[1]MA SO'!$B:$D,2,0),"")</f>
        <v/>
      </c>
      <c r="E21" s="463" t="str">
        <f>IFERROR(VLOOKUP([1]!Table1[[#This Row],[Mã công đoạn]],'[1]MA SO'!$B:$D,3,0),"")</f>
        <v/>
      </c>
      <c r="F21" s="461" t="s">
        <v>580</v>
      </c>
      <c r="G21" s="464" t="s">
        <v>978</v>
      </c>
      <c r="H21" s="464" t="s">
        <v>124</v>
      </c>
      <c r="I21" s="464"/>
      <c r="J21" s="464" t="s">
        <v>475</v>
      </c>
      <c r="K21" s="465" t="s">
        <v>555</v>
      </c>
      <c r="L21" s="466">
        <v>0.64583333333333337</v>
      </c>
      <c r="M21" s="466">
        <v>0.66666666666666663</v>
      </c>
      <c r="N21" s="467"/>
      <c r="O21" s="468"/>
      <c r="P21" s="469"/>
      <c r="Q21" s="467"/>
      <c r="R2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21" s="471">
        <v>5</v>
      </c>
      <c r="T21" s="472"/>
      <c r="U21" s="472"/>
      <c r="V21" s="472"/>
      <c r="W21" s="473"/>
      <c r="X21" s="473"/>
      <c r="Y21" s="472"/>
    </row>
    <row r="22" spans="1:25">
      <c r="A22" s="461">
        <f t="shared" si="1"/>
        <v>2</v>
      </c>
      <c r="B22" s="474">
        <v>43524</v>
      </c>
      <c r="C22" s="462" t="s">
        <v>3</v>
      </c>
      <c r="D22" s="462" t="str">
        <f>IFERROR(VLOOKUP([1]!Table1[[#This Row],[Mã công đoạn]],'[1]MA SO'!$B:$D,2,0),"")</f>
        <v/>
      </c>
      <c r="E22" s="463" t="str">
        <f>IFERROR(VLOOKUP([1]!Table1[[#This Row],[Mã công đoạn]],'[1]MA SO'!$B:$D,3,0),"")</f>
        <v/>
      </c>
      <c r="F22" s="461" t="s">
        <v>580</v>
      </c>
      <c r="G22" s="464" t="s">
        <v>979</v>
      </c>
      <c r="H22" s="464" t="s">
        <v>124</v>
      </c>
      <c r="I22" s="464"/>
      <c r="J22" s="464" t="s">
        <v>475</v>
      </c>
      <c r="K22" s="465" t="s">
        <v>555</v>
      </c>
      <c r="L22" s="466">
        <v>0.66666666666666663</v>
      </c>
      <c r="M22" s="466">
        <v>0.6875</v>
      </c>
      <c r="N22" s="467"/>
      <c r="O22" s="468"/>
      <c r="P22" s="469"/>
      <c r="Q22" s="467"/>
      <c r="R2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22" s="471">
        <v>10</v>
      </c>
      <c r="T22" s="472"/>
      <c r="U22" s="472"/>
      <c r="V22" s="472"/>
      <c r="W22" s="473"/>
      <c r="X22" s="473"/>
      <c r="Y22" s="472"/>
    </row>
    <row r="23" spans="1:25">
      <c r="A23" s="461">
        <f t="shared" si="1"/>
        <v>2</v>
      </c>
      <c r="B23" s="474">
        <v>43524</v>
      </c>
      <c r="C23" s="462" t="s">
        <v>3</v>
      </c>
      <c r="D23" s="462" t="str">
        <f>IFERROR(VLOOKUP([1]!Table1[[#This Row],[Mã công đoạn]],'[1]MA SO'!$B:$D,2,0),"")</f>
        <v/>
      </c>
      <c r="E23" s="463" t="str">
        <f>IFERROR(VLOOKUP([1]!Table1[[#This Row],[Mã công đoạn]],'[1]MA SO'!$B:$D,3,0),"")</f>
        <v/>
      </c>
      <c r="F23" s="461" t="s">
        <v>680</v>
      </c>
      <c r="G23" s="464"/>
      <c r="H23" s="464" t="s">
        <v>603</v>
      </c>
      <c r="I23" s="464"/>
      <c r="J23" s="464" t="s">
        <v>544</v>
      </c>
      <c r="K23" s="465" t="s">
        <v>554</v>
      </c>
      <c r="L23" s="466">
        <v>0</v>
      </c>
      <c r="M23" s="466">
        <v>0</v>
      </c>
      <c r="N23" s="467"/>
      <c r="O23" s="468"/>
      <c r="P23" s="469"/>
      <c r="Q23" s="467"/>
      <c r="R2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23" s="471"/>
      <c r="T23" s="472"/>
      <c r="U23" s="472"/>
      <c r="V23" s="472"/>
      <c r="W23" s="473"/>
      <c r="X23" s="473"/>
      <c r="Y23" s="472"/>
    </row>
    <row r="24" spans="1:25">
      <c r="A24" s="461">
        <f t="shared" si="1"/>
        <v>2</v>
      </c>
      <c r="B24" s="474">
        <v>43524</v>
      </c>
      <c r="C24" s="462" t="s">
        <v>3</v>
      </c>
      <c r="D24" s="462" t="str">
        <f>IFERROR(VLOOKUP([1]!Table1[[#This Row],[Mã công đoạn]],'[1]MA SO'!$B:$D,2,0),"")</f>
        <v/>
      </c>
      <c r="E24" s="463" t="str">
        <f>IFERROR(VLOOKUP([1]!Table1[[#This Row],[Mã công đoạn]],'[1]MA SO'!$B:$D,3,0),"")</f>
        <v/>
      </c>
      <c r="F24" s="461" t="s">
        <v>572</v>
      </c>
      <c r="G24" s="464" t="s">
        <v>981</v>
      </c>
      <c r="H24" s="464" t="s">
        <v>602</v>
      </c>
      <c r="I24" s="464"/>
      <c r="J24" s="464" t="s">
        <v>474</v>
      </c>
      <c r="K24" s="465" t="s">
        <v>554</v>
      </c>
      <c r="L24" s="466">
        <v>0.31597222222222221</v>
      </c>
      <c r="M24" s="466">
        <v>0.34027777777777773</v>
      </c>
      <c r="N24" s="467"/>
      <c r="O24" s="468"/>
      <c r="P24" s="469"/>
      <c r="Q24" s="467"/>
      <c r="R2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2.4305555555555525E-2</v>
      </c>
      <c r="S24" s="471">
        <v>794</v>
      </c>
      <c r="T24" s="472">
        <v>70</v>
      </c>
      <c r="U24" s="472"/>
      <c r="V24" s="472"/>
      <c r="W24" s="473"/>
      <c r="X24" s="473"/>
      <c r="Y24" s="472"/>
    </row>
    <row r="25" spans="1:25">
      <c r="A25" s="461">
        <f t="shared" si="1"/>
        <v>2</v>
      </c>
      <c r="B25" s="474">
        <v>43524</v>
      </c>
      <c r="C25" s="462" t="s">
        <v>3</v>
      </c>
      <c r="D25" s="462" t="str">
        <f>IFERROR(VLOOKUP([1]!Table1[[#This Row],[Mã công đoạn]],'[1]MA SO'!$B:$D,2,0),"")</f>
        <v/>
      </c>
      <c r="E25" s="463" t="str">
        <f>IFERROR(VLOOKUP([1]!Table1[[#This Row],[Mã công đoạn]],'[1]MA SO'!$B:$D,3,0),"")</f>
        <v/>
      </c>
      <c r="F25" s="461" t="s">
        <v>572</v>
      </c>
      <c r="G25" s="464" t="s">
        <v>982</v>
      </c>
      <c r="H25" s="464" t="s">
        <v>602</v>
      </c>
      <c r="I25" s="464"/>
      <c r="J25" s="464" t="s">
        <v>474</v>
      </c>
      <c r="K25" s="465" t="s">
        <v>554</v>
      </c>
      <c r="L25" s="466">
        <v>0.34375</v>
      </c>
      <c r="M25" s="466">
        <v>0.3576388888888889</v>
      </c>
      <c r="N25" s="467"/>
      <c r="O25" s="468"/>
      <c r="P25" s="469"/>
      <c r="Q25" s="467"/>
      <c r="R2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1.3888888888888895E-2</v>
      </c>
      <c r="S25" s="471">
        <v>794</v>
      </c>
      <c r="T25" s="472"/>
      <c r="U25" s="472"/>
      <c r="V25" s="472"/>
      <c r="W25" s="473"/>
      <c r="X25" s="473"/>
      <c r="Y25" s="472"/>
    </row>
    <row r="26" spans="1:25">
      <c r="A26" s="461">
        <f t="shared" si="1"/>
        <v>2</v>
      </c>
      <c r="B26" s="474">
        <v>43524</v>
      </c>
      <c r="C26" s="462" t="s">
        <v>3</v>
      </c>
      <c r="D26" s="462" t="str">
        <f>IFERROR(VLOOKUP([1]!Table1[[#This Row],[Mã công đoạn]],'[1]MA SO'!$B:$D,2,0),"")</f>
        <v/>
      </c>
      <c r="E26" s="463" t="str">
        <f>IFERROR(VLOOKUP([1]!Table1[[#This Row],[Mã công đoạn]],'[1]MA SO'!$B:$D,3,0),"")</f>
        <v/>
      </c>
      <c r="F26" s="461" t="s">
        <v>572</v>
      </c>
      <c r="G26" s="464" t="s">
        <v>983</v>
      </c>
      <c r="H26" s="464" t="s">
        <v>602</v>
      </c>
      <c r="I26" s="464"/>
      <c r="J26" s="464" t="s">
        <v>474</v>
      </c>
      <c r="K26" s="465" t="s">
        <v>554</v>
      </c>
      <c r="L26" s="466">
        <v>0.37152777777777773</v>
      </c>
      <c r="M26" s="466">
        <v>0.38541666666666669</v>
      </c>
      <c r="N26" s="467"/>
      <c r="O26" s="468"/>
      <c r="P26" s="469"/>
      <c r="Q26" s="467"/>
      <c r="R2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1.3888888888888951E-2</v>
      </c>
      <c r="S26" s="471">
        <v>470</v>
      </c>
      <c r="T26" s="472"/>
      <c r="U26" s="472"/>
      <c r="V26" s="472"/>
      <c r="W26" s="473"/>
      <c r="X26" s="473"/>
      <c r="Y26" s="472"/>
    </row>
    <row r="27" spans="1:25">
      <c r="A27" s="461">
        <f t="shared" si="1"/>
        <v>2</v>
      </c>
      <c r="B27" s="474">
        <v>43524</v>
      </c>
      <c r="C27" s="462" t="s">
        <v>3</v>
      </c>
      <c r="D27" s="462" t="str">
        <f>IFERROR(VLOOKUP([1]!Table1[[#This Row],[Mã công đoạn]],'[1]MA SO'!$B:$D,2,0),"")</f>
        <v/>
      </c>
      <c r="E27" s="463" t="str">
        <f>IFERROR(VLOOKUP([1]!Table1[[#This Row],[Mã công đoạn]],'[1]MA SO'!$B:$D,3,0),"")</f>
        <v/>
      </c>
      <c r="F27" s="461" t="s">
        <v>572</v>
      </c>
      <c r="G27" s="464" t="s">
        <v>984</v>
      </c>
      <c r="H27" s="464" t="s">
        <v>602</v>
      </c>
      <c r="I27" s="464"/>
      <c r="J27" s="464" t="s">
        <v>474</v>
      </c>
      <c r="K27" s="465" t="s">
        <v>554</v>
      </c>
      <c r="L27" s="466">
        <v>0.3888888888888889</v>
      </c>
      <c r="M27" s="466">
        <v>0.40277777777777773</v>
      </c>
      <c r="N27" s="467"/>
      <c r="O27" s="468"/>
      <c r="P27" s="469"/>
      <c r="Q27" s="467"/>
      <c r="R2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1.388888888888884E-2</v>
      </c>
      <c r="S27" s="471">
        <v>470</v>
      </c>
      <c r="T27" s="472"/>
      <c r="U27" s="472"/>
      <c r="V27" s="472"/>
      <c r="W27" s="473"/>
      <c r="X27" s="473"/>
      <c r="Y27" s="472"/>
    </row>
    <row r="28" spans="1:25">
      <c r="A28" s="461">
        <f t="shared" si="1"/>
        <v>2</v>
      </c>
      <c r="B28" s="474">
        <v>43524</v>
      </c>
      <c r="C28" s="462" t="s">
        <v>3</v>
      </c>
      <c r="D28" s="462" t="str">
        <f>IFERROR(VLOOKUP([1]!Table1[[#This Row],[Mã công đoạn]],'[1]MA SO'!$B:$D,2,0),"")</f>
        <v/>
      </c>
      <c r="E28" s="463" t="str">
        <f>IFERROR(VLOOKUP([1]!Table1[[#This Row],[Mã công đoạn]],'[1]MA SO'!$B:$D,3,0),"")</f>
        <v/>
      </c>
      <c r="F28" s="461" t="s">
        <v>572</v>
      </c>
      <c r="G28" s="464" t="s">
        <v>985</v>
      </c>
      <c r="H28" s="464" t="s">
        <v>602</v>
      </c>
      <c r="I28" s="464"/>
      <c r="J28" s="464" t="s">
        <v>474</v>
      </c>
      <c r="K28" s="465" t="s">
        <v>554</v>
      </c>
      <c r="L28" s="466">
        <v>0.42708333333333331</v>
      </c>
      <c r="M28" s="466">
        <v>0.44444444444444442</v>
      </c>
      <c r="N28" s="467"/>
      <c r="O28" s="468"/>
      <c r="P28" s="469"/>
      <c r="Q28" s="467"/>
      <c r="R2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1.7361111111111105E-2</v>
      </c>
      <c r="S28" s="471">
        <v>529</v>
      </c>
      <c r="T28" s="472"/>
      <c r="U28" s="472"/>
      <c r="V28" s="472"/>
      <c r="W28" s="473"/>
      <c r="X28" s="473"/>
      <c r="Y28" s="472"/>
    </row>
    <row r="29" spans="1:25">
      <c r="A29" s="461">
        <f t="shared" si="1"/>
        <v>2</v>
      </c>
      <c r="B29" s="474">
        <v>43524</v>
      </c>
      <c r="C29" s="462" t="s">
        <v>3</v>
      </c>
      <c r="D29" s="462" t="str">
        <f>IFERROR(VLOOKUP([1]!Table1[[#This Row],[Mã công đoạn]],'[1]MA SO'!$B:$D,2,0),"")</f>
        <v/>
      </c>
      <c r="E29" s="463" t="str">
        <f>IFERROR(VLOOKUP([1]!Table1[[#This Row],[Mã công đoạn]],'[1]MA SO'!$B:$D,3,0),"")</f>
        <v/>
      </c>
      <c r="F29" s="461" t="s">
        <v>572</v>
      </c>
      <c r="G29" s="464" t="s">
        <v>986</v>
      </c>
      <c r="H29" s="464" t="s">
        <v>602</v>
      </c>
      <c r="I29" s="464"/>
      <c r="J29" s="464" t="s">
        <v>474</v>
      </c>
      <c r="K29" s="465" t="s">
        <v>554</v>
      </c>
      <c r="L29" s="466">
        <v>0.44791666666666669</v>
      </c>
      <c r="M29" s="466">
        <v>0.47916666666666669</v>
      </c>
      <c r="N29" s="467"/>
      <c r="O29" s="468"/>
      <c r="P29" s="469"/>
      <c r="Q29" s="467"/>
      <c r="R2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3.125E-2</v>
      </c>
      <c r="S29" s="471">
        <v>539</v>
      </c>
      <c r="T29" s="472"/>
      <c r="U29" s="472"/>
      <c r="V29" s="472"/>
      <c r="W29" s="473"/>
      <c r="X29" s="473"/>
      <c r="Y29" s="472"/>
    </row>
    <row r="30" spans="1:25">
      <c r="A30" s="461">
        <f t="shared" si="1"/>
        <v>2</v>
      </c>
      <c r="B30" s="474">
        <v>43524</v>
      </c>
      <c r="C30" s="462" t="s">
        <v>3</v>
      </c>
      <c r="D30" s="462" t="str">
        <f>IFERROR(VLOOKUP([1]!Table1[[#This Row],[Mã công đoạn]],'[1]MA SO'!$B:$D,2,0),"")</f>
        <v/>
      </c>
      <c r="E30" s="463" t="str">
        <f>IFERROR(VLOOKUP([1]!Table1[[#This Row],[Mã công đoạn]],'[1]MA SO'!$B:$D,3,0),"")</f>
        <v/>
      </c>
      <c r="F30" s="461" t="s">
        <v>570</v>
      </c>
      <c r="G30" s="464" t="s">
        <v>987</v>
      </c>
      <c r="H30" s="464" t="s">
        <v>54</v>
      </c>
      <c r="I30" s="464" t="s">
        <v>312</v>
      </c>
      <c r="J30" s="464" t="s">
        <v>558</v>
      </c>
      <c r="K30" s="465" t="s">
        <v>555</v>
      </c>
      <c r="L30" s="466">
        <v>0.54861111111111105</v>
      </c>
      <c r="M30" s="466">
        <v>0.6875</v>
      </c>
      <c r="N30" s="467"/>
      <c r="O30" s="468"/>
      <c r="P30" s="469"/>
      <c r="Q30" s="467"/>
      <c r="R3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0.13888888888888895</v>
      </c>
      <c r="S30" s="471">
        <v>539</v>
      </c>
      <c r="T30" s="472"/>
      <c r="U30" s="472"/>
      <c r="V30" s="472"/>
      <c r="W30" s="473"/>
      <c r="X30" s="473"/>
      <c r="Y30" s="472"/>
    </row>
    <row r="31" spans="1:25">
      <c r="A31" s="461">
        <f t="shared" si="1"/>
        <v>2</v>
      </c>
      <c r="B31" s="474">
        <v>43524</v>
      </c>
      <c r="C31" s="462" t="s">
        <v>3</v>
      </c>
      <c r="D31" s="462" t="str">
        <f>IFERROR(VLOOKUP([1]!Table1[[#This Row],[Mã công đoạn]],'[1]MA SO'!$B:$D,2,0),"")</f>
        <v/>
      </c>
      <c r="E31" s="463" t="str">
        <f>IFERROR(VLOOKUP([1]!Table1[[#This Row],[Mã công đoạn]],'[1]MA SO'!$B:$D,3,0),"")</f>
        <v/>
      </c>
      <c r="F31" s="461" t="s">
        <v>575</v>
      </c>
      <c r="G31" s="464" t="s">
        <v>979</v>
      </c>
      <c r="H31" s="464" t="s">
        <v>116</v>
      </c>
      <c r="I31" s="464"/>
      <c r="J31" s="464" t="s">
        <v>472</v>
      </c>
      <c r="K31" s="465" t="s">
        <v>792</v>
      </c>
      <c r="L31" s="466">
        <v>0.44444444444444442</v>
      </c>
      <c r="M31" s="466">
        <v>0.47916666666666669</v>
      </c>
      <c r="N31" s="467"/>
      <c r="O31" s="468"/>
      <c r="P31" s="469"/>
      <c r="Q31" s="467"/>
      <c r="R3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3.4722222222222265E-2</v>
      </c>
      <c r="S31" s="471">
        <v>39.200000000000003</v>
      </c>
      <c r="T31" s="472">
        <v>140</v>
      </c>
      <c r="U31" s="472"/>
      <c r="V31" s="472"/>
      <c r="W31" s="473"/>
      <c r="X31" s="473"/>
      <c r="Y31" s="472"/>
    </row>
    <row r="32" spans="1:25">
      <c r="A32" s="461">
        <f t="shared" si="1"/>
        <v>2</v>
      </c>
      <c r="B32" s="474">
        <v>43524</v>
      </c>
      <c r="C32" s="462" t="s">
        <v>3</v>
      </c>
      <c r="D32" s="462" t="str">
        <f>IFERROR(VLOOKUP([1]!Table1[[#This Row],[Mã công đoạn]],'[1]MA SO'!$B:$D,2,0),"")</f>
        <v/>
      </c>
      <c r="E32" s="463" t="str">
        <f>IFERROR(VLOOKUP([1]!Table1[[#This Row],[Mã công đoạn]],'[1]MA SO'!$B:$D,3,0),"")</f>
        <v/>
      </c>
      <c r="F32" s="461" t="s">
        <v>575</v>
      </c>
      <c r="G32" s="464" t="s">
        <v>979</v>
      </c>
      <c r="H32" s="464" t="s">
        <v>116</v>
      </c>
      <c r="I32" s="464"/>
      <c r="J32" s="464" t="s">
        <v>472</v>
      </c>
      <c r="K32" s="465" t="s">
        <v>793</v>
      </c>
      <c r="L32" s="466">
        <v>0.52083333333333337</v>
      </c>
      <c r="M32" s="466">
        <v>0.55208333333333337</v>
      </c>
      <c r="N32" s="467"/>
      <c r="O32" s="468"/>
      <c r="P32" s="469"/>
      <c r="Q32" s="467"/>
      <c r="R3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3.125E-2</v>
      </c>
      <c r="S32" s="471">
        <v>39.200000000000003</v>
      </c>
      <c r="T32" s="472"/>
      <c r="U32" s="472"/>
      <c r="V32" s="472"/>
      <c r="W32" s="473"/>
      <c r="X32" s="473"/>
      <c r="Y32" s="472"/>
    </row>
    <row r="33" spans="1:25">
      <c r="A33" s="461">
        <f t="shared" si="1"/>
        <v>2</v>
      </c>
      <c r="B33" s="474">
        <v>43524</v>
      </c>
      <c r="C33" s="462" t="s">
        <v>3</v>
      </c>
      <c r="D33" s="462" t="str">
        <f>IFERROR(VLOOKUP([1]!Table1[[#This Row],[Mã công đoạn]],'[1]MA SO'!$B:$D,2,0),"")</f>
        <v/>
      </c>
      <c r="E33" s="463" t="str">
        <f>IFERROR(VLOOKUP([1]!Table1[[#This Row],[Mã công đoạn]],'[1]MA SO'!$B:$D,3,0),"")</f>
        <v/>
      </c>
      <c r="F33" s="461" t="s">
        <v>570</v>
      </c>
      <c r="G33" s="464" t="s">
        <v>987</v>
      </c>
      <c r="H33" s="464" t="s">
        <v>116</v>
      </c>
      <c r="I33" s="464" t="s">
        <v>312</v>
      </c>
      <c r="J33" s="464" t="s">
        <v>472</v>
      </c>
      <c r="K33" s="465" t="s">
        <v>794</v>
      </c>
      <c r="L33" s="466">
        <v>0.55208333333333337</v>
      </c>
      <c r="M33" s="466">
        <v>0.6875</v>
      </c>
      <c r="N33" s="467"/>
      <c r="O33" s="468"/>
      <c r="P33" s="469"/>
      <c r="Q33" s="467"/>
      <c r="R3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0.13541666666666663</v>
      </c>
      <c r="S33" s="471">
        <v>107.80000000000001</v>
      </c>
      <c r="T33" s="472"/>
      <c r="U33" s="472"/>
      <c r="V33" s="472"/>
      <c r="W33" s="473"/>
      <c r="X33" s="473"/>
      <c r="Y33" s="472"/>
    </row>
    <row r="34" spans="1:25">
      <c r="A34" s="461">
        <f t="shared" si="1"/>
        <v>2</v>
      </c>
      <c r="B34" s="474">
        <v>43524</v>
      </c>
      <c r="C34" s="462" t="s">
        <v>3</v>
      </c>
      <c r="D34" s="462" t="str">
        <f>IFERROR(VLOOKUP([1]!Table1[[#This Row],[Mã công đoạn]],'[1]MA SO'!$B:$D,2,0),"")</f>
        <v/>
      </c>
      <c r="E34" s="463" t="str">
        <f>IFERROR(VLOOKUP([1]!Table1[[#This Row],[Mã công đoạn]],'[1]MA SO'!$B:$D,3,0),"")</f>
        <v/>
      </c>
      <c r="F34" s="461" t="s">
        <v>575</v>
      </c>
      <c r="G34" s="464" t="s">
        <v>979</v>
      </c>
      <c r="H34" s="464" t="s">
        <v>117</v>
      </c>
      <c r="I34" s="464"/>
      <c r="J34" s="464" t="s">
        <v>477</v>
      </c>
      <c r="K34" s="465" t="s">
        <v>554</v>
      </c>
      <c r="L34" s="466">
        <v>0.44097222222222227</v>
      </c>
      <c r="M34" s="466">
        <v>0.47916666666666669</v>
      </c>
      <c r="N34" s="467"/>
      <c r="O34" s="468"/>
      <c r="P34" s="469"/>
      <c r="Q34" s="467"/>
      <c r="R3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3.819444444444442E-2</v>
      </c>
      <c r="S34" s="471">
        <v>39.200000000000003</v>
      </c>
      <c r="T34" s="472">
        <v>150</v>
      </c>
      <c r="U34" s="472"/>
      <c r="V34" s="472"/>
      <c r="W34" s="473"/>
      <c r="X34" s="473"/>
      <c r="Y34" s="472"/>
    </row>
    <row r="35" spans="1:25">
      <c r="A35" s="461">
        <f t="shared" si="1"/>
        <v>2</v>
      </c>
      <c r="B35" s="474">
        <v>43524</v>
      </c>
      <c r="C35" s="462" t="s">
        <v>3</v>
      </c>
      <c r="D35" s="462" t="str">
        <f>IFERROR(VLOOKUP([1]!Table1[[#This Row],[Mã công đoạn]],'[1]MA SO'!$B:$D,2,0),"")</f>
        <v/>
      </c>
      <c r="E35" s="463" t="str">
        <f>IFERROR(VLOOKUP([1]!Table1[[#This Row],[Mã công đoạn]],'[1]MA SO'!$B:$D,3,0),"")</f>
        <v/>
      </c>
      <c r="F35" s="461" t="s">
        <v>575</v>
      </c>
      <c r="G35" s="464" t="s">
        <v>979</v>
      </c>
      <c r="H35" s="464" t="s">
        <v>117</v>
      </c>
      <c r="I35" s="464"/>
      <c r="J35" s="464" t="s">
        <v>477</v>
      </c>
      <c r="K35" s="465" t="s">
        <v>555</v>
      </c>
      <c r="L35" s="466">
        <v>0.52083333333333337</v>
      </c>
      <c r="M35" s="466">
        <v>0.55555555555555558</v>
      </c>
      <c r="N35" s="467"/>
      <c r="O35" s="468"/>
      <c r="P35" s="469"/>
      <c r="Q35" s="467"/>
      <c r="R3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3.472222222222221E-2</v>
      </c>
      <c r="S35" s="471">
        <v>39.200000000000003</v>
      </c>
      <c r="T35" s="472"/>
      <c r="U35" s="472"/>
      <c r="V35" s="472"/>
      <c r="W35" s="473"/>
      <c r="X35" s="473"/>
      <c r="Y35" s="472"/>
    </row>
    <row r="36" spans="1:25">
      <c r="A36" s="461">
        <f t="shared" si="1"/>
        <v>2</v>
      </c>
      <c r="B36" s="474">
        <v>43524</v>
      </c>
      <c r="C36" s="462" t="s">
        <v>3</v>
      </c>
      <c r="D36" s="462" t="str">
        <f>IFERROR(VLOOKUP([1]!Table1[[#This Row],[Mã công đoạn]],'[1]MA SO'!$B:$D,2,0),"")</f>
        <v/>
      </c>
      <c r="E36" s="463" t="str">
        <f>IFERROR(VLOOKUP([1]!Table1[[#This Row],[Mã công đoạn]],'[1]MA SO'!$B:$D,3,0),"")</f>
        <v/>
      </c>
      <c r="F36" s="461" t="s">
        <v>570</v>
      </c>
      <c r="G36" s="464" t="s">
        <v>987</v>
      </c>
      <c r="H36" s="464" t="s">
        <v>117</v>
      </c>
      <c r="I36" s="464" t="s">
        <v>312</v>
      </c>
      <c r="J36" s="464" t="s">
        <v>477</v>
      </c>
      <c r="K36" s="465" t="s">
        <v>555</v>
      </c>
      <c r="L36" s="466">
        <v>0.55555555555555558</v>
      </c>
      <c r="M36" s="466">
        <v>0.6875</v>
      </c>
      <c r="N36" s="467"/>
      <c r="O36" s="468"/>
      <c r="P36" s="469"/>
      <c r="Q36" s="467"/>
      <c r="R3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0.13194444444444442</v>
      </c>
      <c r="S36" s="471">
        <v>127.4</v>
      </c>
      <c r="T36" s="472"/>
      <c r="U36" s="472"/>
      <c r="V36" s="472"/>
      <c r="W36" s="473"/>
      <c r="X36" s="473"/>
      <c r="Y36" s="472"/>
    </row>
    <row r="37" spans="1:25">
      <c r="A37" s="461">
        <f t="shared" si="1"/>
        <v>2</v>
      </c>
      <c r="B37" s="474">
        <v>43524</v>
      </c>
      <c r="C37" s="462" t="s">
        <v>3</v>
      </c>
      <c r="D37" s="462" t="str">
        <f>IFERROR(VLOOKUP([1]!Table1[[#This Row],[Mã công đoạn]],'[1]MA SO'!$B:$D,2,0),"")</f>
        <v/>
      </c>
      <c r="E37" s="463" t="str">
        <f>IFERROR(VLOOKUP([1]!Table1[[#This Row],[Mã công đoạn]],'[1]MA SO'!$B:$D,3,0),"")</f>
        <v/>
      </c>
      <c r="F37" s="461" t="s">
        <v>575</v>
      </c>
      <c r="G37" s="464" t="s">
        <v>979</v>
      </c>
      <c r="H37" s="464" t="s">
        <v>131</v>
      </c>
      <c r="I37" s="464"/>
      <c r="J37" s="464" t="s">
        <v>342</v>
      </c>
      <c r="K37" s="465" t="s">
        <v>554</v>
      </c>
      <c r="L37" s="466">
        <v>0.4375</v>
      </c>
      <c r="M37" s="466">
        <v>0.47916666666666669</v>
      </c>
      <c r="N37" s="467"/>
      <c r="O37" s="468"/>
      <c r="P37" s="469"/>
      <c r="Q37" s="467"/>
      <c r="R3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4.1666666666666685E-2</v>
      </c>
      <c r="S37" s="471">
        <v>49</v>
      </c>
      <c r="T37" s="472">
        <v>187</v>
      </c>
      <c r="U37" s="472"/>
      <c r="V37" s="472"/>
      <c r="W37" s="473"/>
      <c r="X37" s="473"/>
      <c r="Y37" s="472"/>
    </row>
    <row r="38" spans="1:25">
      <c r="A38" s="461">
        <f t="shared" si="1"/>
        <v>2</v>
      </c>
      <c r="B38" s="474">
        <v>43524</v>
      </c>
      <c r="C38" s="462" t="s">
        <v>3</v>
      </c>
      <c r="D38" s="462" t="str">
        <f>IFERROR(VLOOKUP([1]!Table1[[#This Row],[Mã công đoạn]],'[1]MA SO'!$B:$D,2,0),"")</f>
        <v/>
      </c>
      <c r="E38" s="463" t="str">
        <f>IFERROR(VLOOKUP([1]!Table1[[#This Row],[Mã công đoạn]],'[1]MA SO'!$B:$D,3,0),"")</f>
        <v/>
      </c>
      <c r="F38" s="461" t="s">
        <v>575</v>
      </c>
      <c r="G38" s="464" t="s">
        <v>979</v>
      </c>
      <c r="H38" s="464" t="s">
        <v>131</v>
      </c>
      <c r="I38" s="464"/>
      <c r="J38" s="464" t="s">
        <v>342</v>
      </c>
      <c r="K38" s="465" t="s">
        <v>555</v>
      </c>
      <c r="L38" s="466">
        <v>0.52083333333333337</v>
      </c>
      <c r="M38" s="466">
        <v>0.54861111111111105</v>
      </c>
      <c r="N38" s="467"/>
      <c r="O38" s="468"/>
      <c r="P38" s="469"/>
      <c r="Q38" s="467"/>
      <c r="R3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2.7777777777777679E-2</v>
      </c>
      <c r="S38" s="471">
        <v>29.400000000000002</v>
      </c>
      <c r="T38" s="472"/>
      <c r="U38" s="472"/>
      <c r="V38" s="472"/>
      <c r="W38" s="473"/>
      <c r="X38" s="473"/>
      <c r="Y38" s="472"/>
    </row>
    <row r="39" spans="1:25">
      <c r="A39" s="461">
        <f t="shared" si="1"/>
        <v>2</v>
      </c>
      <c r="B39" s="474">
        <v>43524</v>
      </c>
      <c r="C39" s="462" t="s">
        <v>3</v>
      </c>
      <c r="D39" s="462" t="str">
        <f>IFERROR(VLOOKUP([1]!Table1[[#This Row],[Mã công đoạn]],'[1]MA SO'!$B:$D,2,0),"")</f>
        <v/>
      </c>
      <c r="E39" s="463" t="str">
        <f>IFERROR(VLOOKUP([1]!Table1[[#This Row],[Mã công đoạn]],'[1]MA SO'!$B:$D,3,0),"")</f>
        <v/>
      </c>
      <c r="F39" s="461" t="s">
        <v>570</v>
      </c>
      <c r="G39" s="464" t="s">
        <v>987</v>
      </c>
      <c r="H39" s="464" t="s">
        <v>131</v>
      </c>
      <c r="I39" s="464" t="s">
        <v>312</v>
      </c>
      <c r="J39" s="464" t="s">
        <v>342</v>
      </c>
      <c r="K39" s="465" t="s">
        <v>555</v>
      </c>
      <c r="L39" s="466">
        <v>0.54861111111111105</v>
      </c>
      <c r="M39" s="466">
        <v>0.6875</v>
      </c>
      <c r="N39" s="467"/>
      <c r="O39" s="468"/>
      <c r="P39" s="469"/>
      <c r="Q39" s="467"/>
      <c r="R3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0.13888888888888895</v>
      </c>
      <c r="S39" s="471">
        <v>127.4</v>
      </c>
      <c r="T39" s="472"/>
      <c r="U39" s="472"/>
      <c r="V39" s="472"/>
      <c r="W39" s="473"/>
      <c r="X39" s="473"/>
      <c r="Y39" s="472"/>
    </row>
    <row r="40" spans="1:25">
      <c r="A40" s="461">
        <f t="shared" si="1"/>
        <v>2</v>
      </c>
      <c r="B40" s="474">
        <v>43524</v>
      </c>
      <c r="C40" s="462" t="s">
        <v>3</v>
      </c>
      <c r="D40" s="462" t="str">
        <f>IFERROR(VLOOKUP([1]!Table1[[#This Row],[Mã công đoạn]],'[1]MA SO'!$B:$D,2,0),"")</f>
        <v/>
      </c>
      <c r="E40" s="463" t="str">
        <f>IFERROR(VLOOKUP([1]!Table1[[#This Row],[Mã công đoạn]],'[1]MA SO'!$B:$D,3,0),"")</f>
        <v/>
      </c>
      <c r="F40" s="461" t="s">
        <v>575</v>
      </c>
      <c r="G40" s="464" t="s">
        <v>979</v>
      </c>
      <c r="H40" s="464" t="s">
        <v>35</v>
      </c>
      <c r="I40" s="464"/>
      <c r="J40" s="464" t="s">
        <v>478</v>
      </c>
      <c r="K40" s="465" t="s">
        <v>554</v>
      </c>
      <c r="L40" s="466">
        <v>0.4375</v>
      </c>
      <c r="M40" s="466">
        <v>0.47916666666666669</v>
      </c>
      <c r="N40" s="467"/>
      <c r="O40" s="468"/>
      <c r="P40" s="469"/>
      <c r="Q40" s="467"/>
      <c r="R4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4.1666666666666685E-2</v>
      </c>
      <c r="S40" s="471">
        <v>127.4</v>
      </c>
      <c r="T40" s="472">
        <v>46</v>
      </c>
      <c r="U40" s="472"/>
      <c r="V40" s="472"/>
      <c r="W40" s="473"/>
      <c r="X40" s="473"/>
      <c r="Y40" s="472"/>
    </row>
    <row r="41" spans="1:25">
      <c r="A41" s="461">
        <f t="shared" si="1"/>
        <v>2</v>
      </c>
      <c r="B41" s="474">
        <v>43524</v>
      </c>
      <c r="C41" s="462" t="s">
        <v>3</v>
      </c>
      <c r="D41" s="462" t="str">
        <f>IFERROR(VLOOKUP([1]!Table1[[#This Row],[Mã công đoạn]],'[1]MA SO'!$B:$D,2,0),"")</f>
        <v/>
      </c>
      <c r="E41" s="463" t="str">
        <f>IFERROR(VLOOKUP([1]!Table1[[#This Row],[Mã công đoạn]],'[1]MA SO'!$B:$D,3,0),"")</f>
        <v/>
      </c>
      <c r="F41" s="461" t="s">
        <v>575</v>
      </c>
      <c r="G41" s="464" t="s">
        <v>979</v>
      </c>
      <c r="H41" s="464" t="s">
        <v>35</v>
      </c>
      <c r="I41" s="464"/>
      <c r="J41" s="464" t="s">
        <v>478</v>
      </c>
      <c r="K41" s="465" t="s">
        <v>555</v>
      </c>
      <c r="L41" s="466">
        <v>0.52083333333333337</v>
      </c>
      <c r="M41" s="466">
        <v>0.54861111111111105</v>
      </c>
      <c r="N41" s="467"/>
      <c r="O41" s="468"/>
      <c r="P41" s="469"/>
      <c r="Q41" s="467"/>
      <c r="R4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2.7777777777777679E-2</v>
      </c>
      <c r="S41" s="471">
        <v>107.8</v>
      </c>
      <c r="T41" s="472"/>
      <c r="U41" s="472"/>
      <c r="V41" s="472"/>
      <c r="W41" s="473"/>
      <c r="X41" s="473"/>
      <c r="Y41" s="472"/>
    </row>
    <row r="42" spans="1:25">
      <c r="A42" s="461">
        <f t="shared" ref="A42:A73" si="2">MONTH(B42)</f>
        <v>2</v>
      </c>
      <c r="B42" s="474">
        <v>43524</v>
      </c>
      <c r="C42" s="462" t="s">
        <v>3</v>
      </c>
      <c r="D42" s="462" t="str">
        <f>IFERROR(VLOOKUP([1]!Table1[[#This Row],[Mã công đoạn]],'[1]MA SO'!$B:$D,2,0),"")</f>
        <v/>
      </c>
      <c r="E42" s="463" t="str">
        <f>IFERROR(VLOOKUP([1]!Table1[[#This Row],[Mã công đoạn]],'[1]MA SO'!$B:$D,3,0),"")</f>
        <v/>
      </c>
      <c r="F42" s="461" t="s">
        <v>570</v>
      </c>
      <c r="G42" s="464" t="s">
        <v>987</v>
      </c>
      <c r="H42" s="464" t="s">
        <v>121</v>
      </c>
      <c r="I42" s="464" t="s">
        <v>312</v>
      </c>
      <c r="J42" s="464" t="s">
        <v>558</v>
      </c>
      <c r="K42" s="465" t="s">
        <v>555</v>
      </c>
      <c r="L42" s="466">
        <v>0.59027777777777779</v>
      </c>
      <c r="M42" s="466">
        <v>0.6875</v>
      </c>
      <c r="N42" s="467"/>
      <c r="O42" s="468"/>
      <c r="P42" s="469"/>
      <c r="Q42" s="467"/>
      <c r="R4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9.722222222222221E-2</v>
      </c>
      <c r="S42" s="471">
        <v>98</v>
      </c>
      <c r="T42" s="472"/>
      <c r="U42" s="472"/>
      <c r="V42" s="472"/>
      <c r="W42" s="473"/>
      <c r="X42" s="473"/>
      <c r="Y42" s="472" t="s">
        <v>993</v>
      </c>
    </row>
    <row r="43" spans="1:25">
      <c r="A43" s="461">
        <f t="shared" si="2"/>
        <v>2</v>
      </c>
      <c r="B43" s="474">
        <v>43524</v>
      </c>
      <c r="C43" s="462" t="s">
        <v>3</v>
      </c>
      <c r="D43" s="462" t="str">
        <f>IFERROR(VLOOKUP([1]!Table1[[#This Row],[Mã công đoạn]],'[1]MA SO'!$B:$D,2,0),"")</f>
        <v/>
      </c>
      <c r="E43" s="463" t="str">
        <f>IFERROR(VLOOKUP([1]!Table1[[#This Row],[Mã công đoạn]],'[1]MA SO'!$B:$D,3,0),"")</f>
        <v/>
      </c>
      <c r="F43" s="461" t="s">
        <v>570</v>
      </c>
      <c r="G43" s="464" t="s">
        <v>987</v>
      </c>
      <c r="H43" s="464" t="s">
        <v>42</v>
      </c>
      <c r="I43" s="464" t="s">
        <v>312</v>
      </c>
      <c r="J43" s="464" t="s">
        <v>558</v>
      </c>
      <c r="K43" s="465" t="s">
        <v>555</v>
      </c>
      <c r="L43" s="466">
        <v>0.58680555555555558</v>
      </c>
      <c r="M43" s="466">
        <v>0.6875</v>
      </c>
      <c r="N43" s="467"/>
      <c r="O43" s="468"/>
      <c r="P43" s="469"/>
      <c r="Q43" s="467"/>
      <c r="R4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0.10069444444444442</v>
      </c>
      <c r="S43" s="471">
        <v>78.400000000000006</v>
      </c>
      <c r="T43" s="472"/>
      <c r="U43" s="472"/>
      <c r="V43" s="472"/>
      <c r="W43" s="473"/>
      <c r="X43" s="473"/>
      <c r="Y43" s="472"/>
    </row>
    <row r="44" spans="1:25">
      <c r="A44" s="461">
        <f t="shared" si="2"/>
        <v>2</v>
      </c>
      <c r="B44" s="474">
        <v>43524</v>
      </c>
      <c r="C44" s="462" t="s">
        <v>3</v>
      </c>
      <c r="D44" s="462" t="str">
        <f>IFERROR(VLOOKUP([1]!Table1[[#This Row],[Mã công đoạn]],'[1]MA SO'!$B:$D,2,0),"")</f>
        <v/>
      </c>
      <c r="E44" s="463" t="str">
        <f>IFERROR(VLOOKUP([1]!Table1[[#This Row],[Mã công đoạn]],'[1]MA SO'!$B:$D,3,0),"")</f>
        <v/>
      </c>
      <c r="F44" s="461" t="s">
        <v>680</v>
      </c>
      <c r="G44" s="464"/>
      <c r="H44" s="464" t="s">
        <v>146</v>
      </c>
      <c r="I44" s="464" t="s">
        <v>312</v>
      </c>
      <c r="J44" s="464" t="s">
        <v>558</v>
      </c>
      <c r="K44" s="465" t="s">
        <v>555</v>
      </c>
      <c r="L44" s="466">
        <v>0.52083333333333337</v>
      </c>
      <c r="M44" s="466">
        <v>0.58680555555555558</v>
      </c>
      <c r="N44" s="467"/>
      <c r="O44" s="468">
        <v>2.0833333333333332E-2</v>
      </c>
      <c r="P44" s="469"/>
      <c r="Q44" s="467"/>
      <c r="R4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4.5138888888888881E-2</v>
      </c>
      <c r="S44" s="471"/>
      <c r="T44" s="472"/>
      <c r="U44" s="472"/>
      <c r="V44" s="472"/>
      <c r="W44" s="473"/>
      <c r="X44" s="473"/>
      <c r="Y44" s="472"/>
    </row>
    <row r="45" spans="1:25">
      <c r="A45" s="461">
        <f t="shared" si="2"/>
        <v>2</v>
      </c>
      <c r="B45" s="474">
        <v>43524</v>
      </c>
      <c r="C45" s="462" t="s">
        <v>3</v>
      </c>
      <c r="D45" s="462" t="str">
        <f>IFERROR(VLOOKUP([1]!Table1[[#This Row],[Mã công đoạn]],'[1]MA SO'!$B:$D,2,0),"")</f>
        <v/>
      </c>
      <c r="E45" s="463" t="str">
        <f>IFERROR(VLOOKUP([1]!Table1[[#This Row],[Mã công đoạn]],'[1]MA SO'!$B:$D,3,0),"")</f>
        <v/>
      </c>
      <c r="F45" s="461" t="s">
        <v>570</v>
      </c>
      <c r="G45" s="464" t="s">
        <v>987</v>
      </c>
      <c r="H45" s="464" t="s">
        <v>146</v>
      </c>
      <c r="I45" s="464" t="s">
        <v>312</v>
      </c>
      <c r="J45" s="464" t="s">
        <v>558</v>
      </c>
      <c r="K45" s="465" t="s">
        <v>555</v>
      </c>
      <c r="L45" s="466">
        <v>0.58680555555555558</v>
      </c>
      <c r="M45" s="466">
        <v>0.6875</v>
      </c>
      <c r="N45" s="467"/>
      <c r="O45" s="468"/>
      <c r="P45" s="469"/>
      <c r="Q45" s="467"/>
      <c r="R4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0.10069444444444442</v>
      </c>
      <c r="S45" s="471">
        <v>176.4</v>
      </c>
      <c r="T45" s="472"/>
      <c r="U45" s="472"/>
      <c r="V45" s="472"/>
      <c r="W45" s="473"/>
      <c r="X45" s="473"/>
      <c r="Y45" s="472"/>
    </row>
    <row r="46" spans="1:25">
      <c r="A46" s="461">
        <f t="shared" si="2"/>
        <v>2</v>
      </c>
      <c r="B46" s="474">
        <v>43524</v>
      </c>
      <c r="C46" s="462" t="s">
        <v>3</v>
      </c>
      <c r="D46" s="462" t="str">
        <f>IFERROR(VLOOKUP([1]!Table1[[#This Row],[Mã công đoạn]],'[1]MA SO'!$B:$D,2,0),"")</f>
        <v/>
      </c>
      <c r="E46" s="463" t="str">
        <f>IFERROR(VLOOKUP([1]!Table1[[#This Row],[Mã công đoạn]],'[1]MA SO'!$B:$D,3,0),"")</f>
        <v/>
      </c>
      <c r="F46" s="461" t="s">
        <v>570</v>
      </c>
      <c r="G46" s="464" t="s">
        <v>987</v>
      </c>
      <c r="H46" s="464" t="s">
        <v>139</v>
      </c>
      <c r="I46" s="464" t="s">
        <v>312</v>
      </c>
      <c r="J46" s="464" t="s">
        <v>558</v>
      </c>
      <c r="K46" s="465" t="s">
        <v>555</v>
      </c>
      <c r="L46" s="466">
        <v>0.57291666666666663</v>
      </c>
      <c r="M46" s="466">
        <v>0.6875</v>
      </c>
      <c r="N46" s="467"/>
      <c r="O46" s="468"/>
      <c r="P46" s="469"/>
      <c r="Q46" s="467"/>
      <c r="R4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0.11458333333333337</v>
      </c>
      <c r="S46" s="471">
        <v>539</v>
      </c>
      <c r="T46" s="472"/>
      <c r="U46" s="472"/>
      <c r="V46" s="472"/>
      <c r="W46" s="473"/>
      <c r="X46" s="473"/>
      <c r="Y46" s="472"/>
    </row>
    <row r="47" spans="1:25">
      <c r="A47" s="461">
        <f t="shared" si="2"/>
        <v>2</v>
      </c>
      <c r="B47" s="474">
        <v>43524</v>
      </c>
      <c r="C47" s="462" t="s">
        <v>3</v>
      </c>
      <c r="D47" s="462" t="str">
        <f>IFERROR(VLOOKUP([1]!Table1[[#This Row],[Mã công đoạn]],'[1]MA SO'!$B:$D,2,0),"")</f>
        <v/>
      </c>
      <c r="E47" s="463" t="str">
        <f>IFERROR(VLOOKUP([1]!Table1[[#This Row],[Mã công đoạn]],'[1]MA SO'!$B:$D,3,0),"")</f>
        <v/>
      </c>
      <c r="F47" s="461" t="s">
        <v>574</v>
      </c>
      <c r="G47" s="464"/>
      <c r="H47" s="464"/>
      <c r="I47" s="464"/>
      <c r="J47" s="464" t="s">
        <v>492</v>
      </c>
      <c r="K47" s="465" t="s">
        <v>554</v>
      </c>
      <c r="L47" s="466">
        <v>0.3125</v>
      </c>
      <c r="M47" s="466">
        <v>0.32291666666666669</v>
      </c>
      <c r="N47" s="467"/>
      <c r="O47" s="468"/>
      <c r="P47" s="469"/>
      <c r="Q47" s="467"/>
      <c r="R4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47" s="471"/>
      <c r="T47" s="472"/>
      <c r="U47" s="472"/>
      <c r="V47" s="472"/>
      <c r="W47" s="473"/>
      <c r="X47" s="473"/>
      <c r="Y47" s="472"/>
    </row>
    <row r="48" spans="1:25">
      <c r="A48" s="461">
        <f t="shared" si="2"/>
        <v>2</v>
      </c>
      <c r="B48" s="474">
        <v>43524</v>
      </c>
      <c r="C48" s="462" t="s">
        <v>3</v>
      </c>
      <c r="D48" s="462" t="str">
        <f>IFERROR(VLOOKUP([1]!Table1[[#This Row],[Mã công đoạn]],'[1]MA SO'!$B:$D,2,0),"")</f>
        <v/>
      </c>
      <c r="E48" s="463" t="str">
        <f>IFERROR(VLOOKUP([1]!Table1[[#This Row],[Mã công đoạn]],'[1]MA SO'!$B:$D,3,0),"")</f>
        <v/>
      </c>
      <c r="F48" s="461" t="s">
        <v>574</v>
      </c>
      <c r="G48" s="464"/>
      <c r="H48" s="464"/>
      <c r="I48" s="464"/>
      <c r="J48" s="464" t="s">
        <v>500</v>
      </c>
      <c r="K48" s="465" t="s">
        <v>554</v>
      </c>
      <c r="L48" s="466">
        <v>0.3125</v>
      </c>
      <c r="M48" s="466">
        <v>0.32291666666666669</v>
      </c>
      <c r="N48" s="467"/>
      <c r="O48" s="468"/>
      <c r="P48" s="469"/>
      <c r="Q48" s="467"/>
      <c r="R4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48" s="471"/>
      <c r="T48" s="472"/>
      <c r="U48" s="472"/>
      <c r="V48" s="472"/>
      <c r="W48" s="473"/>
      <c r="X48" s="473"/>
      <c r="Y48" s="472"/>
    </row>
    <row r="49" spans="1:25">
      <c r="A49" s="461">
        <f t="shared" si="2"/>
        <v>2</v>
      </c>
      <c r="B49" s="474">
        <v>43524</v>
      </c>
      <c r="C49" s="462" t="s">
        <v>3</v>
      </c>
      <c r="D49" s="462" t="str">
        <f>IFERROR(VLOOKUP([1]!Table1[[#This Row],[Mã công đoạn]],'[1]MA SO'!$B:$D,2,0),"")</f>
        <v/>
      </c>
      <c r="E49" s="463" t="str">
        <f>IFERROR(VLOOKUP([1]!Table1[[#This Row],[Mã công đoạn]],'[1]MA SO'!$B:$D,3,0),"")</f>
        <v/>
      </c>
      <c r="F49" s="461" t="s">
        <v>574</v>
      </c>
      <c r="G49" s="464"/>
      <c r="H49" s="464"/>
      <c r="I49" s="464"/>
      <c r="J49" s="464" t="s">
        <v>495</v>
      </c>
      <c r="K49" s="465" t="s">
        <v>554</v>
      </c>
      <c r="L49" s="466">
        <v>0.3125</v>
      </c>
      <c r="M49" s="466">
        <v>0.32291666666666669</v>
      </c>
      <c r="N49" s="467"/>
      <c r="O49" s="468"/>
      <c r="P49" s="469"/>
      <c r="Q49" s="467"/>
      <c r="R4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49" s="471"/>
      <c r="T49" s="472"/>
      <c r="U49" s="472"/>
      <c r="V49" s="472"/>
      <c r="W49" s="473"/>
      <c r="X49" s="473"/>
      <c r="Y49" s="472"/>
    </row>
    <row r="50" spans="1:25">
      <c r="A50" s="461">
        <f t="shared" si="2"/>
        <v>2</v>
      </c>
      <c r="B50" s="474">
        <v>43524</v>
      </c>
      <c r="C50" s="462" t="s">
        <v>3</v>
      </c>
      <c r="D50" s="462" t="str">
        <f>IFERROR(VLOOKUP([1]!Table1[[#This Row],[Mã công đoạn]],'[1]MA SO'!$B:$D,2,0),"")</f>
        <v/>
      </c>
      <c r="E50" s="463" t="str">
        <f>IFERROR(VLOOKUP([1]!Table1[[#This Row],[Mã công đoạn]],'[1]MA SO'!$B:$D,3,0),"")</f>
        <v/>
      </c>
      <c r="F50" s="461" t="s">
        <v>574</v>
      </c>
      <c r="G50" s="464"/>
      <c r="H50" s="464"/>
      <c r="I50" s="464"/>
      <c r="J50" s="464" t="s">
        <v>901</v>
      </c>
      <c r="K50" s="465" t="s">
        <v>554</v>
      </c>
      <c r="L50" s="466">
        <v>0.3125</v>
      </c>
      <c r="M50" s="466">
        <v>0.32291666666666669</v>
      </c>
      <c r="N50" s="467"/>
      <c r="O50" s="468"/>
      <c r="P50" s="469"/>
      <c r="Q50" s="467"/>
      <c r="R5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50" s="471"/>
      <c r="T50" s="472"/>
      <c r="U50" s="472"/>
      <c r="V50" s="472"/>
      <c r="W50" s="473"/>
      <c r="X50" s="473"/>
      <c r="Y50" s="472"/>
    </row>
    <row r="51" spans="1:25">
      <c r="A51" s="461">
        <f t="shared" si="2"/>
        <v>2</v>
      </c>
      <c r="B51" s="474">
        <v>43524</v>
      </c>
      <c r="C51" s="462" t="s">
        <v>3</v>
      </c>
      <c r="D51" s="462" t="str">
        <f>IFERROR(VLOOKUP([1]!Table1[[#This Row],[Mã công đoạn]],'[1]MA SO'!$B:$D,2,0),"")</f>
        <v/>
      </c>
      <c r="E51" s="463" t="str">
        <f>IFERROR(VLOOKUP([1]!Table1[[#This Row],[Mã công đoạn]],'[1]MA SO'!$B:$D,3,0),"")</f>
        <v/>
      </c>
      <c r="F51" s="461" t="s">
        <v>574</v>
      </c>
      <c r="G51" s="464"/>
      <c r="H51" s="464"/>
      <c r="I51" s="464"/>
      <c r="J51" s="464" t="s">
        <v>493</v>
      </c>
      <c r="K51" s="465" t="s">
        <v>554</v>
      </c>
      <c r="L51" s="466">
        <v>0.3125</v>
      </c>
      <c r="M51" s="466">
        <v>0.32291666666666669</v>
      </c>
      <c r="N51" s="467"/>
      <c r="O51" s="468"/>
      <c r="P51" s="469"/>
      <c r="Q51" s="467"/>
      <c r="R5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51" s="471"/>
      <c r="T51" s="472"/>
      <c r="U51" s="472"/>
      <c r="V51" s="472"/>
      <c r="W51" s="473"/>
      <c r="X51" s="473"/>
      <c r="Y51" s="472"/>
    </row>
    <row r="52" spans="1:25">
      <c r="A52" s="461">
        <f t="shared" si="2"/>
        <v>2</v>
      </c>
      <c r="B52" s="474">
        <v>43524</v>
      </c>
      <c r="C52" s="462" t="s">
        <v>3</v>
      </c>
      <c r="D52" s="462" t="str">
        <f>IFERROR(VLOOKUP([1]!Table1[[#This Row],[Mã công đoạn]],'[1]MA SO'!$B:$D,2,0),"")</f>
        <v/>
      </c>
      <c r="E52" s="463" t="str">
        <f>IFERROR(VLOOKUP([1]!Table1[[#This Row],[Mã công đoạn]],'[1]MA SO'!$B:$D,3,0),"")</f>
        <v/>
      </c>
      <c r="F52" s="461" t="s">
        <v>574</v>
      </c>
      <c r="G52" s="464"/>
      <c r="H52" s="464"/>
      <c r="I52" s="464"/>
      <c r="J52" s="464" t="s">
        <v>607</v>
      </c>
      <c r="K52" s="465" t="s">
        <v>554</v>
      </c>
      <c r="L52" s="466">
        <v>0.3125</v>
      </c>
      <c r="M52" s="466">
        <v>0.32291666666666669</v>
      </c>
      <c r="N52" s="467"/>
      <c r="O52" s="468"/>
      <c r="P52" s="469"/>
      <c r="Q52" s="467"/>
      <c r="R5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1.0416666666666685E-2</v>
      </c>
      <c r="S52" s="471"/>
      <c r="T52" s="472"/>
      <c r="U52" s="472"/>
      <c r="V52" s="472"/>
      <c r="W52" s="473"/>
      <c r="X52" s="473"/>
      <c r="Y52" s="472"/>
    </row>
    <row r="53" spans="1:25">
      <c r="A53" s="461">
        <f t="shared" si="2"/>
        <v>2</v>
      </c>
      <c r="B53" s="474">
        <v>43524</v>
      </c>
      <c r="C53" s="462" t="s">
        <v>3</v>
      </c>
      <c r="D53" s="462" t="str">
        <f>IFERROR(VLOOKUP([1]!Table1[[#This Row],[Mã công đoạn]],'[1]MA SO'!$B:$D,2,0),"")</f>
        <v/>
      </c>
      <c r="E53" s="463" t="str">
        <f>IFERROR(VLOOKUP([1]!Table1[[#This Row],[Mã công đoạn]],'[1]MA SO'!$B:$D,3,0),"")</f>
        <v/>
      </c>
      <c r="F53" s="461" t="s">
        <v>781</v>
      </c>
      <c r="G53" s="464" t="s">
        <v>978</v>
      </c>
      <c r="H53" s="464"/>
      <c r="I53" s="464" t="s">
        <v>917</v>
      </c>
      <c r="J53" s="464" t="s">
        <v>492</v>
      </c>
      <c r="K53" s="465" t="s">
        <v>554</v>
      </c>
      <c r="L53" s="466">
        <v>0.32291666666666669</v>
      </c>
      <c r="M53" s="466">
        <v>0.6875</v>
      </c>
      <c r="N53" s="467"/>
      <c r="O53" s="468"/>
      <c r="P53" s="469">
        <v>6.25E-2</v>
      </c>
      <c r="Q53" s="467"/>
      <c r="R5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3" s="471"/>
      <c r="T53" s="472"/>
      <c r="U53" s="472"/>
      <c r="V53" s="472"/>
      <c r="W53" s="473"/>
      <c r="X53" s="473"/>
      <c r="Y53" s="472"/>
    </row>
    <row r="54" spans="1:25">
      <c r="A54" s="461">
        <f t="shared" si="2"/>
        <v>2</v>
      </c>
      <c r="B54" s="474">
        <v>43524</v>
      </c>
      <c r="C54" s="462" t="s">
        <v>3</v>
      </c>
      <c r="D54" s="462" t="str">
        <f>IFERROR(VLOOKUP([1]!Table1[[#This Row],[Mã công đoạn]],'[1]MA SO'!$B:$D,2,0),"")</f>
        <v/>
      </c>
      <c r="E54" s="463" t="str">
        <f>IFERROR(VLOOKUP([1]!Table1[[#This Row],[Mã công đoạn]],'[1]MA SO'!$B:$D,3,0),"")</f>
        <v/>
      </c>
      <c r="F54" s="461" t="s">
        <v>781</v>
      </c>
      <c r="G54" s="464" t="s">
        <v>978</v>
      </c>
      <c r="H54" s="464"/>
      <c r="I54" s="464" t="s">
        <v>917</v>
      </c>
      <c r="J54" s="464" t="s">
        <v>500</v>
      </c>
      <c r="K54" s="465" t="s">
        <v>554</v>
      </c>
      <c r="L54" s="466">
        <v>0.32291666666666669</v>
      </c>
      <c r="M54" s="466">
        <v>0.6875</v>
      </c>
      <c r="N54" s="467"/>
      <c r="O54" s="468"/>
      <c r="P54" s="469">
        <v>6.25E-2</v>
      </c>
      <c r="Q54" s="467"/>
      <c r="R5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4" s="471"/>
      <c r="T54" s="472"/>
      <c r="U54" s="472"/>
      <c r="V54" s="472"/>
      <c r="W54" s="473"/>
      <c r="X54" s="473"/>
      <c r="Y54" s="472"/>
    </row>
    <row r="55" spans="1:25">
      <c r="A55" s="461">
        <f t="shared" si="2"/>
        <v>2</v>
      </c>
      <c r="B55" s="474">
        <v>43524</v>
      </c>
      <c r="C55" s="462" t="s">
        <v>3</v>
      </c>
      <c r="D55" s="462" t="str">
        <f>IFERROR(VLOOKUP([1]!Table1[[#This Row],[Mã công đoạn]],'[1]MA SO'!$B:$D,2,0),"")</f>
        <v/>
      </c>
      <c r="E55" s="463" t="str">
        <f>IFERROR(VLOOKUP([1]!Table1[[#This Row],[Mã công đoạn]],'[1]MA SO'!$B:$D,3,0),"")</f>
        <v/>
      </c>
      <c r="F55" s="461" t="s">
        <v>781</v>
      </c>
      <c r="G55" s="464" t="s">
        <v>978</v>
      </c>
      <c r="H55" s="464"/>
      <c r="I55" s="464" t="s">
        <v>917</v>
      </c>
      <c r="J55" s="464" t="s">
        <v>495</v>
      </c>
      <c r="K55" s="465" t="s">
        <v>554</v>
      </c>
      <c r="L55" s="466">
        <v>0.32291666666666669</v>
      </c>
      <c r="M55" s="466">
        <v>0.6875</v>
      </c>
      <c r="N55" s="467"/>
      <c r="O55" s="468"/>
      <c r="P55" s="469">
        <v>6.25E-2</v>
      </c>
      <c r="Q55" s="467"/>
      <c r="R5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5" s="471"/>
      <c r="T55" s="472"/>
      <c r="U55" s="472"/>
      <c r="V55" s="472"/>
      <c r="W55" s="473"/>
      <c r="X55" s="473"/>
      <c r="Y55" s="472"/>
    </row>
    <row r="56" spans="1:25">
      <c r="A56" s="461">
        <f t="shared" si="2"/>
        <v>2</v>
      </c>
      <c r="B56" s="474">
        <v>43524</v>
      </c>
      <c r="C56" s="462" t="s">
        <v>3</v>
      </c>
      <c r="D56" s="462" t="str">
        <f>IFERROR(VLOOKUP([1]!Table1[[#This Row],[Mã công đoạn]],'[1]MA SO'!$B:$D,2,0),"")</f>
        <v/>
      </c>
      <c r="E56" s="463" t="str">
        <f>IFERROR(VLOOKUP([1]!Table1[[#This Row],[Mã công đoạn]],'[1]MA SO'!$B:$D,3,0),"")</f>
        <v/>
      </c>
      <c r="F56" s="461" t="s">
        <v>781</v>
      </c>
      <c r="G56" s="464" t="s">
        <v>978</v>
      </c>
      <c r="H56" s="464"/>
      <c r="I56" s="464" t="s">
        <v>917</v>
      </c>
      <c r="J56" s="464" t="s">
        <v>901</v>
      </c>
      <c r="K56" s="465" t="s">
        <v>554</v>
      </c>
      <c r="L56" s="466">
        <v>0.32291666666666669</v>
      </c>
      <c r="M56" s="466">
        <v>0.6875</v>
      </c>
      <c r="N56" s="467"/>
      <c r="O56" s="468"/>
      <c r="P56" s="469">
        <v>6.25E-2</v>
      </c>
      <c r="Q56" s="467"/>
      <c r="R5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6" s="471"/>
      <c r="T56" s="472"/>
      <c r="U56" s="472"/>
      <c r="V56" s="472"/>
      <c r="W56" s="473"/>
      <c r="X56" s="473"/>
      <c r="Y56" s="472"/>
    </row>
    <row r="57" spans="1:25">
      <c r="A57" s="461">
        <f t="shared" si="2"/>
        <v>2</v>
      </c>
      <c r="B57" s="474">
        <v>43524</v>
      </c>
      <c r="C57" s="462" t="s">
        <v>3</v>
      </c>
      <c r="D57" s="462" t="str">
        <f>IFERROR(VLOOKUP([1]!Table1[[#This Row],[Mã công đoạn]],'[1]MA SO'!$B:$D,2,0),"")</f>
        <v/>
      </c>
      <c r="E57" s="463" t="str">
        <f>IFERROR(VLOOKUP([1]!Table1[[#This Row],[Mã công đoạn]],'[1]MA SO'!$B:$D,3,0),"")</f>
        <v/>
      </c>
      <c r="F57" s="461" t="s">
        <v>781</v>
      </c>
      <c r="G57" s="464" t="s">
        <v>978</v>
      </c>
      <c r="H57" s="464"/>
      <c r="I57" s="464" t="s">
        <v>917</v>
      </c>
      <c r="J57" s="464" t="s">
        <v>493</v>
      </c>
      <c r="K57" s="465" t="s">
        <v>554</v>
      </c>
      <c r="L57" s="466">
        <v>0.32291666666666669</v>
      </c>
      <c r="M57" s="466">
        <v>0.6875</v>
      </c>
      <c r="N57" s="467"/>
      <c r="O57" s="468"/>
      <c r="P57" s="469">
        <v>6.25E-2</v>
      </c>
      <c r="Q57" s="467"/>
      <c r="R5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7" s="471"/>
      <c r="T57" s="472"/>
      <c r="U57" s="472"/>
      <c r="V57" s="472"/>
      <c r="W57" s="473"/>
      <c r="X57" s="473"/>
      <c r="Y57" s="472"/>
    </row>
    <row r="58" spans="1:25">
      <c r="A58" s="461">
        <f t="shared" si="2"/>
        <v>2</v>
      </c>
      <c r="B58" s="474">
        <v>43524</v>
      </c>
      <c r="C58" s="462" t="s">
        <v>3</v>
      </c>
      <c r="D58" s="462" t="str">
        <f>IFERROR(VLOOKUP([1]!Table1[[#This Row],[Mã công đoạn]],'[1]MA SO'!$B:$D,2,0),"")</f>
        <v/>
      </c>
      <c r="E58" s="463" t="str">
        <f>IFERROR(VLOOKUP([1]!Table1[[#This Row],[Mã công đoạn]],'[1]MA SO'!$B:$D,3,0),"")</f>
        <v/>
      </c>
      <c r="F58" s="461" t="s">
        <v>781</v>
      </c>
      <c r="G58" s="464" t="s">
        <v>978</v>
      </c>
      <c r="H58" s="464"/>
      <c r="I58" s="464" t="s">
        <v>917</v>
      </c>
      <c r="J58" s="464" t="s">
        <v>607</v>
      </c>
      <c r="K58" s="465" t="s">
        <v>554</v>
      </c>
      <c r="L58" s="466">
        <v>0.32291666666666669</v>
      </c>
      <c r="M58" s="466">
        <v>0.6875</v>
      </c>
      <c r="N58" s="467"/>
      <c r="O58" s="468"/>
      <c r="P58" s="469">
        <v>6.25E-2</v>
      </c>
      <c r="Q58" s="467"/>
      <c r="R5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0.30208333333333331</v>
      </c>
      <c r="S58" s="471"/>
      <c r="T58" s="472"/>
      <c r="U58" s="472"/>
      <c r="V58" s="472"/>
      <c r="W58" s="473"/>
      <c r="X58" s="473"/>
      <c r="Y58" s="472"/>
    </row>
    <row r="59" spans="1:25">
      <c r="A59" s="461">
        <f t="shared" si="2"/>
        <v>2</v>
      </c>
      <c r="B59" s="474">
        <v>43524</v>
      </c>
      <c r="C59" s="462" t="s">
        <v>3</v>
      </c>
      <c r="D59" s="462" t="str">
        <f>IFERROR(VLOOKUP([1]!Table1[[#This Row],[Mã công đoạn]],'[1]MA SO'!$B:$D,2,0),"")</f>
        <v/>
      </c>
      <c r="E59" s="463" t="str">
        <f>IFERROR(VLOOKUP([1]!Table1[[#This Row],[Mã công đoạn]],'[1]MA SO'!$B:$D,3,0),"")</f>
        <v/>
      </c>
      <c r="F59" s="461" t="s">
        <v>781</v>
      </c>
      <c r="G59" s="464" t="s">
        <v>978</v>
      </c>
      <c r="H59" s="464"/>
      <c r="I59" s="464" t="s">
        <v>917</v>
      </c>
      <c r="J59" s="464" t="s">
        <v>496</v>
      </c>
      <c r="K59" s="465" t="s">
        <v>554</v>
      </c>
      <c r="L59" s="466">
        <v>0.3125</v>
      </c>
      <c r="M59" s="466">
        <v>0.6875</v>
      </c>
      <c r="N59" s="467"/>
      <c r="O59" s="468"/>
      <c r="P59" s="469">
        <v>6.25E-2</v>
      </c>
      <c r="Q59" s="467"/>
      <c r="R5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59" s="471"/>
      <c r="T59" s="472"/>
      <c r="U59" s="472"/>
      <c r="V59" s="472"/>
      <c r="W59" s="473"/>
      <c r="X59" s="473"/>
      <c r="Y59" s="472"/>
    </row>
    <row r="60" spans="1:25">
      <c r="A60" s="461">
        <f t="shared" si="2"/>
        <v>2</v>
      </c>
      <c r="B60" s="474">
        <v>43524</v>
      </c>
      <c r="C60" s="462" t="s">
        <v>3</v>
      </c>
      <c r="D60" s="462" t="str">
        <f>IFERROR(VLOOKUP([1]!Table1[[#This Row],[Mã công đoạn]],'[1]MA SO'!$B:$D,2,0),"")</f>
        <v/>
      </c>
      <c r="E60" s="463" t="str">
        <f>IFERROR(VLOOKUP([1]!Table1[[#This Row],[Mã công đoạn]],'[1]MA SO'!$B:$D,3,0),"")</f>
        <v/>
      </c>
      <c r="F60" s="461" t="s">
        <v>781</v>
      </c>
      <c r="G60" s="464" t="s">
        <v>978</v>
      </c>
      <c r="H60" s="464"/>
      <c r="I60" s="464" t="s">
        <v>917</v>
      </c>
      <c r="J60" s="464" t="s">
        <v>497</v>
      </c>
      <c r="K60" s="465" t="s">
        <v>554</v>
      </c>
      <c r="L60" s="466">
        <v>0.3125</v>
      </c>
      <c r="M60" s="466">
        <v>0.6875</v>
      </c>
      <c r="N60" s="467"/>
      <c r="O60" s="468"/>
      <c r="P60" s="469">
        <v>6.25E-2</v>
      </c>
      <c r="Q60" s="467"/>
      <c r="R6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0" s="471"/>
      <c r="T60" s="472"/>
      <c r="U60" s="472"/>
      <c r="V60" s="472"/>
      <c r="W60" s="473"/>
      <c r="X60" s="473"/>
      <c r="Y60" s="472"/>
    </row>
    <row r="61" spans="1:25">
      <c r="A61" s="461">
        <f t="shared" si="2"/>
        <v>2</v>
      </c>
      <c r="B61" s="474">
        <v>43524</v>
      </c>
      <c r="C61" s="462" t="s">
        <v>3</v>
      </c>
      <c r="D61" s="462" t="str">
        <f>IFERROR(VLOOKUP([1]!Table1[[#This Row],[Mã công đoạn]],'[1]MA SO'!$B:$D,2,0),"")</f>
        <v/>
      </c>
      <c r="E61" s="463" t="str">
        <f>IFERROR(VLOOKUP([1]!Table1[[#This Row],[Mã công đoạn]],'[1]MA SO'!$B:$D,3,0),"")</f>
        <v/>
      </c>
      <c r="F61" s="461" t="s">
        <v>781</v>
      </c>
      <c r="G61" s="464" t="s">
        <v>978</v>
      </c>
      <c r="H61" s="464"/>
      <c r="I61" s="464" t="s">
        <v>917</v>
      </c>
      <c r="J61" s="464" t="s">
        <v>501</v>
      </c>
      <c r="K61" s="465" t="s">
        <v>554</v>
      </c>
      <c r="L61" s="466">
        <v>0.3125</v>
      </c>
      <c r="M61" s="466">
        <v>0.6875</v>
      </c>
      <c r="N61" s="467"/>
      <c r="O61" s="468"/>
      <c r="P61" s="469">
        <v>6.25E-2</v>
      </c>
      <c r="Q61" s="467"/>
      <c r="R6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1" s="471"/>
      <c r="T61" s="472"/>
      <c r="U61" s="472"/>
      <c r="V61" s="472"/>
      <c r="W61" s="473"/>
      <c r="X61" s="473"/>
      <c r="Y61" s="472"/>
    </row>
    <row r="62" spans="1:25">
      <c r="A62" s="461">
        <f t="shared" si="2"/>
        <v>2</v>
      </c>
      <c r="B62" s="474">
        <v>43524</v>
      </c>
      <c r="C62" s="462" t="s">
        <v>3</v>
      </c>
      <c r="D62" s="462" t="str">
        <f>IFERROR(VLOOKUP([1]!Table1[[#This Row],[Mã công đoạn]],'[1]MA SO'!$B:$D,2,0),"")</f>
        <v/>
      </c>
      <c r="E62" s="463" t="str">
        <f>IFERROR(VLOOKUP([1]!Table1[[#This Row],[Mã công đoạn]],'[1]MA SO'!$B:$D,3,0),"")</f>
        <v/>
      </c>
      <c r="F62" s="461" t="s">
        <v>781</v>
      </c>
      <c r="G62" s="464" t="s">
        <v>978</v>
      </c>
      <c r="H62" s="464"/>
      <c r="I62" s="464" t="s">
        <v>917</v>
      </c>
      <c r="J62" s="464" t="s">
        <v>504</v>
      </c>
      <c r="K62" s="465" t="s">
        <v>554</v>
      </c>
      <c r="L62" s="466">
        <v>0.3125</v>
      </c>
      <c r="M62" s="466">
        <v>0.6875</v>
      </c>
      <c r="N62" s="467"/>
      <c r="O62" s="468"/>
      <c r="P62" s="469">
        <v>6.25E-2</v>
      </c>
      <c r="Q62" s="467"/>
      <c r="R6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2" s="471"/>
      <c r="T62" s="472"/>
      <c r="U62" s="472"/>
      <c r="V62" s="472"/>
      <c r="W62" s="473"/>
      <c r="X62" s="473"/>
      <c r="Y62" s="472"/>
    </row>
    <row r="63" spans="1:25">
      <c r="A63" s="461">
        <f t="shared" si="2"/>
        <v>2</v>
      </c>
      <c r="B63" s="474">
        <v>43524</v>
      </c>
      <c r="C63" s="462" t="s">
        <v>3</v>
      </c>
      <c r="D63" s="462" t="str">
        <f>IFERROR(VLOOKUP([1]!Table1[[#This Row],[Mã công đoạn]],'[1]MA SO'!$B:$D,2,0),"")</f>
        <v/>
      </c>
      <c r="E63" s="463" t="str">
        <f>IFERROR(VLOOKUP([1]!Table1[[#This Row],[Mã công đoạn]],'[1]MA SO'!$B:$D,3,0),"")</f>
        <v/>
      </c>
      <c r="F63" s="461" t="s">
        <v>781</v>
      </c>
      <c r="G63" s="464" t="s">
        <v>978</v>
      </c>
      <c r="H63" s="464"/>
      <c r="I63" s="464" t="s">
        <v>917</v>
      </c>
      <c r="J63" s="464" t="s">
        <v>877</v>
      </c>
      <c r="K63" s="465" t="s">
        <v>554</v>
      </c>
      <c r="L63" s="466">
        <v>0.3125</v>
      </c>
      <c r="M63" s="466">
        <v>0.6875</v>
      </c>
      <c r="N63" s="467"/>
      <c r="O63" s="468"/>
      <c r="P63" s="469">
        <v>6.25E-2</v>
      </c>
      <c r="Q63" s="467"/>
      <c r="R6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3" s="471"/>
      <c r="T63" s="472"/>
      <c r="U63" s="472"/>
      <c r="V63" s="472"/>
      <c r="W63" s="473"/>
      <c r="X63" s="473"/>
      <c r="Y63" s="472"/>
    </row>
    <row r="64" spans="1:25">
      <c r="A64" s="461">
        <f t="shared" si="2"/>
        <v>2</v>
      </c>
      <c r="B64" s="474">
        <v>43524</v>
      </c>
      <c r="C64" s="462" t="s">
        <v>3</v>
      </c>
      <c r="D64" s="462" t="str">
        <f>IFERROR(VLOOKUP([1]!Table1[[#This Row],[Mã công đoạn]],'[1]MA SO'!$B:$D,2,0),"")</f>
        <v/>
      </c>
      <c r="E64" s="463" t="str">
        <f>IFERROR(VLOOKUP([1]!Table1[[#This Row],[Mã công đoạn]],'[1]MA SO'!$B:$D,3,0),"")</f>
        <v/>
      </c>
      <c r="F64" s="461" t="s">
        <v>781</v>
      </c>
      <c r="G64" s="464" t="s">
        <v>978</v>
      </c>
      <c r="H64" s="464"/>
      <c r="I64" s="464" t="s">
        <v>917</v>
      </c>
      <c r="J64" s="464" t="s">
        <v>605</v>
      </c>
      <c r="K64" s="465" t="s">
        <v>554</v>
      </c>
      <c r="L64" s="466">
        <v>0.3125</v>
      </c>
      <c r="M64" s="466">
        <v>0.6875</v>
      </c>
      <c r="N64" s="467"/>
      <c r="O64" s="468"/>
      <c r="P64" s="469">
        <v>6.25E-2</v>
      </c>
      <c r="Q64" s="467"/>
      <c r="R6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4" s="471"/>
      <c r="T64" s="472"/>
      <c r="U64" s="472"/>
      <c r="V64" s="472"/>
      <c r="W64" s="473"/>
      <c r="X64" s="473"/>
      <c r="Y64" s="472"/>
    </row>
    <row r="65" spans="1:25">
      <c r="A65" s="461">
        <f t="shared" si="2"/>
        <v>2</v>
      </c>
      <c r="B65" s="474">
        <v>43524</v>
      </c>
      <c r="C65" s="462" t="s">
        <v>3</v>
      </c>
      <c r="D65" s="462" t="str">
        <f>IFERROR(VLOOKUP([1]!Table1[[#This Row],[Mã công đoạn]],'[1]MA SO'!$B:$D,2,0),"")</f>
        <v/>
      </c>
      <c r="E65" s="463" t="str">
        <f>IFERROR(VLOOKUP([1]!Table1[[#This Row],[Mã công đoạn]],'[1]MA SO'!$B:$D,3,0),"")</f>
        <v/>
      </c>
      <c r="F65" s="461" t="s">
        <v>779</v>
      </c>
      <c r="G65" s="464" t="s">
        <v>978</v>
      </c>
      <c r="H65" s="464"/>
      <c r="I65" s="464" t="s">
        <v>916</v>
      </c>
      <c r="J65" s="464" t="s">
        <v>488</v>
      </c>
      <c r="K65" s="465" t="s">
        <v>554</v>
      </c>
      <c r="L65" s="466">
        <v>0.3125</v>
      </c>
      <c r="M65" s="466">
        <v>0.6875</v>
      </c>
      <c r="N65" s="467"/>
      <c r="O65" s="468"/>
      <c r="P65" s="469">
        <v>6.25E-2</v>
      </c>
      <c r="Q65" s="467"/>
      <c r="R6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5" s="471"/>
      <c r="T65" s="472"/>
      <c r="U65" s="472"/>
      <c r="V65" s="472"/>
      <c r="W65" s="473"/>
      <c r="X65" s="473"/>
      <c r="Y65" s="472"/>
    </row>
    <row r="66" spans="1:25">
      <c r="A66" s="461">
        <f t="shared" si="2"/>
        <v>2</v>
      </c>
      <c r="B66" s="474">
        <v>43524</v>
      </c>
      <c r="C66" s="462" t="s">
        <v>3</v>
      </c>
      <c r="D66" s="462" t="str">
        <f>IFERROR(VLOOKUP([1]!Table1[[#This Row],[Mã công đoạn]],'[1]MA SO'!$B:$D,2,0),"")</f>
        <v/>
      </c>
      <c r="E66" s="463" t="str">
        <f>IFERROR(VLOOKUP([1]!Table1[[#This Row],[Mã công đoạn]],'[1]MA SO'!$B:$D,3,0),"")</f>
        <v/>
      </c>
      <c r="F66" s="461" t="s">
        <v>779</v>
      </c>
      <c r="G66" s="464" t="s">
        <v>978</v>
      </c>
      <c r="H66" s="464"/>
      <c r="I66" s="464" t="s">
        <v>916</v>
      </c>
      <c r="J66" s="464" t="s">
        <v>490</v>
      </c>
      <c r="K66" s="465" t="s">
        <v>554</v>
      </c>
      <c r="L66" s="466">
        <v>0.3125</v>
      </c>
      <c r="M66" s="466">
        <v>0.6875</v>
      </c>
      <c r="N66" s="467"/>
      <c r="O66" s="468"/>
      <c r="P66" s="469">
        <v>6.25E-2</v>
      </c>
      <c r="Q66" s="467"/>
      <c r="R6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6" s="471"/>
      <c r="T66" s="472"/>
      <c r="U66" s="472"/>
      <c r="V66" s="472"/>
      <c r="W66" s="473"/>
      <c r="X66" s="473"/>
      <c r="Y66" s="472"/>
    </row>
    <row r="67" spans="1:25">
      <c r="A67" s="461">
        <f t="shared" si="2"/>
        <v>2</v>
      </c>
      <c r="B67" s="474">
        <v>43524</v>
      </c>
      <c r="C67" s="462" t="s">
        <v>3</v>
      </c>
      <c r="D67" s="462" t="str">
        <f>IFERROR(VLOOKUP([1]!Table1[[#This Row],[Mã công đoạn]],'[1]MA SO'!$B:$D,2,0),"")</f>
        <v/>
      </c>
      <c r="E67" s="463" t="str">
        <f>IFERROR(VLOOKUP([1]!Table1[[#This Row],[Mã công đoạn]],'[1]MA SO'!$B:$D,3,0),"")</f>
        <v/>
      </c>
      <c r="F67" s="461" t="s">
        <v>779</v>
      </c>
      <c r="G67" s="464" t="s">
        <v>978</v>
      </c>
      <c r="H67" s="464"/>
      <c r="I67" s="464" t="s">
        <v>916</v>
      </c>
      <c r="J67" s="464" t="s">
        <v>505</v>
      </c>
      <c r="K67" s="465" t="s">
        <v>554</v>
      </c>
      <c r="L67" s="466">
        <v>0.3125</v>
      </c>
      <c r="M67" s="466">
        <v>0.6875</v>
      </c>
      <c r="N67" s="467"/>
      <c r="O67" s="468"/>
      <c r="P67" s="469">
        <v>6.25E-2</v>
      </c>
      <c r="Q67" s="467"/>
      <c r="R6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7" s="471"/>
      <c r="T67" s="472"/>
      <c r="U67" s="472"/>
      <c r="V67" s="472"/>
      <c r="W67" s="473"/>
      <c r="X67" s="473"/>
      <c r="Y67" s="472"/>
    </row>
    <row r="68" spans="1:25">
      <c r="A68" s="461">
        <f t="shared" si="2"/>
        <v>2</v>
      </c>
      <c r="B68" s="474">
        <v>43524</v>
      </c>
      <c r="C68" s="462" t="s">
        <v>3</v>
      </c>
      <c r="D68" s="462" t="str">
        <f>IFERROR(VLOOKUP([1]!Table1[[#This Row],[Mã công đoạn]],'[1]MA SO'!$B:$D,2,0),"")</f>
        <v/>
      </c>
      <c r="E68" s="463" t="str">
        <f>IFERROR(VLOOKUP([1]!Table1[[#This Row],[Mã công đoạn]],'[1]MA SO'!$B:$D,3,0),"")</f>
        <v/>
      </c>
      <c r="F68" s="461" t="s">
        <v>779</v>
      </c>
      <c r="G68" s="464" t="s">
        <v>978</v>
      </c>
      <c r="H68" s="464"/>
      <c r="I68" s="464" t="s">
        <v>916</v>
      </c>
      <c r="J68" s="464" t="s">
        <v>878</v>
      </c>
      <c r="K68" s="465" t="s">
        <v>554</v>
      </c>
      <c r="L68" s="466">
        <v>0.3125</v>
      </c>
      <c r="M68" s="466">
        <v>0.6875</v>
      </c>
      <c r="N68" s="467"/>
      <c r="O68" s="468"/>
      <c r="P68" s="469">
        <v>6.25E-2</v>
      </c>
      <c r="Q68" s="467"/>
      <c r="R6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68" s="471"/>
      <c r="T68" s="472"/>
      <c r="U68" s="472"/>
      <c r="V68" s="472"/>
      <c r="W68" s="473"/>
      <c r="X68" s="473"/>
      <c r="Y68" s="472"/>
    </row>
    <row r="69" spans="1:25">
      <c r="A69" s="461">
        <f t="shared" si="2"/>
        <v>2</v>
      </c>
      <c r="B69" s="474">
        <v>43524</v>
      </c>
      <c r="C69" s="462" t="s">
        <v>3</v>
      </c>
      <c r="D69" s="462" t="str">
        <f>IFERROR(VLOOKUP([1]!Table1[[#This Row],[Mã công đoạn]],'[1]MA SO'!$B:$D,2,0),"")</f>
        <v/>
      </c>
      <c r="E69" s="463" t="str">
        <f>IFERROR(VLOOKUP([1]!Table1[[#This Row],[Mã công đoạn]],'[1]MA SO'!$B:$D,3,0),"")</f>
        <v/>
      </c>
      <c r="F69" s="461" t="s">
        <v>779</v>
      </c>
      <c r="G69" s="464" t="s">
        <v>988</v>
      </c>
      <c r="H69" s="464"/>
      <c r="I69" s="464" t="s">
        <v>914</v>
      </c>
      <c r="J69" s="464" t="s">
        <v>491</v>
      </c>
      <c r="K69" s="465" t="s">
        <v>554</v>
      </c>
      <c r="L69" s="466">
        <v>0.3125</v>
      </c>
      <c r="M69" s="466">
        <v>0.40277777777777773</v>
      </c>
      <c r="N69" s="467"/>
      <c r="O69" s="468"/>
      <c r="P69" s="469">
        <v>1.0416666666666666E-2</v>
      </c>
      <c r="Q69" s="467"/>
      <c r="R6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7.9861111111111063E-2</v>
      </c>
      <c r="S69" s="471"/>
      <c r="T69" s="472"/>
      <c r="U69" s="472"/>
      <c r="V69" s="472"/>
      <c r="W69" s="473"/>
      <c r="X69" s="473"/>
      <c r="Y69" s="472"/>
    </row>
    <row r="70" spans="1:25">
      <c r="A70" s="461">
        <f t="shared" si="2"/>
        <v>2</v>
      </c>
      <c r="B70" s="474">
        <v>43524</v>
      </c>
      <c r="C70" s="462" t="s">
        <v>3</v>
      </c>
      <c r="D70" s="462" t="str">
        <f>IFERROR(VLOOKUP([1]!Table1[[#This Row],[Mã công đoạn]],'[1]MA SO'!$B:$D,2,0),"")</f>
        <v/>
      </c>
      <c r="E70" s="463" t="str">
        <f>IFERROR(VLOOKUP([1]!Table1[[#This Row],[Mã công đoạn]],'[1]MA SO'!$B:$D,3,0),"")</f>
        <v/>
      </c>
      <c r="F70" s="461" t="s">
        <v>779</v>
      </c>
      <c r="G70" s="464" t="s">
        <v>988</v>
      </c>
      <c r="H70" s="464"/>
      <c r="I70" s="464" t="s">
        <v>914</v>
      </c>
      <c r="J70" s="464" t="s">
        <v>494</v>
      </c>
      <c r="K70" s="465" t="s">
        <v>554</v>
      </c>
      <c r="L70" s="466">
        <v>0.3125</v>
      </c>
      <c r="M70" s="466">
        <v>0.40277777777777773</v>
      </c>
      <c r="N70" s="467"/>
      <c r="O70" s="468"/>
      <c r="P70" s="469">
        <v>1.0416666666666666E-2</v>
      </c>
      <c r="Q70" s="467"/>
      <c r="R7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7.9861111111111063E-2</v>
      </c>
      <c r="S70" s="471"/>
      <c r="T70" s="472"/>
      <c r="U70" s="472"/>
      <c r="V70" s="472"/>
      <c r="W70" s="473"/>
      <c r="X70" s="473"/>
      <c r="Y70" s="472"/>
    </row>
    <row r="71" spans="1:25">
      <c r="A71" s="461">
        <f t="shared" si="2"/>
        <v>2</v>
      </c>
      <c r="B71" s="474">
        <v>43524</v>
      </c>
      <c r="C71" s="462" t="s">
        <v>3</v>
      </c>
      <c r="D71" s="462" t="str">
        <f>IFERROR(VLOOKUP([1]!Table1[[#This Row],[Mã công đoạn]],'[1]MA SO'!$B:$D,2,0),"")</f>
        <v/>
      </c>
      <c r="E71" s="463" t="str">
        <f>IFERROR(VLOOKUP([1]!Table1[[#This Row],[Mã công đoạn]],'[1]MA SO'!$B:$D,3,0),"")</f>
        <v/>
      </c>
      <c r="F71" s="461" t="s">
        <v>779</v>
      </c>
      <c r="G71" s="464" t="s">
        <v>988</v>
      </c>
      <c r="H71" s="464"/>
      <c r="I71" s="464" t="s">
        <v>914</v>
      </c>
      <c r="J71" s="464" t="s">
        <v>498</v>
      </c>
      <c r="K71" s="465" t="s">
        <v>554</v>
      </c>
      <c r="L71" s="466">
        <v>0.3125</v>
      </c>
      <c r="M71" s="466">
        <v>0.40277777777777773</v>
      </c>
      <c r="N71" s="467"/>
      <c r="O71" s="468"/>
      <c r="P71" s="469">
        <v>1.0416666666666666E-2</v>
      </c>
      <c r="Q71" s="467"/>
      <c r="R7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7.9861111111111063E-2</v>
      </c>
      <c r="S71" s="471"/>
      <c r="T71" s="472"/>
      <c r="U71" s="472"/>
      <c r="V71" s="472"/>
      <c r="W71" s="473"/>
      <c r="X71" s="473"/>
      <c r="Y71" s="472"/>
    </row>
    <row r="72" spans="1:25">
      <c r="A72" s="461">
        <f t="shared" si="2"/>
        <v>2</v>
      </c>
      <c r="B72" s="474">
        <v>43524</v>
      </c>
      <c r="C72" s="462" t="s">
        <v>3</v>
      </c>
      <c r="D72" s="462" t="str">
        <f>IFERROR(VLOOKUP([1]!Table1[[#This Row],[Mã công đoạn]],'[1]MA SO'!$B:$D,2,0),"")</f>
        <v/>
      </c>
      <c r="E72" s="463" t="str">
        <f>IFERROR(VLOOKUP([1]!Table1[[#This Row],[Mã công đoạn]],'[1]MA SO'!$B:$D,3,0),"")</f>
        <v/>
      </c>
      <c r="F72" s="461" t="s">
        <v>779</v>
      </c>
      <c r="G72" s="464" t="s">
        <v>988</v>
      </c>
      <c r="H72" s="464"/>
      <c r="I72" s="464" t="s">
        <v>914</v>
      </c>
      <c r="J72" s="464" t="s">
        <v>503</v>
      </c>
      <c r="K72" s="465" t="s">
        <v>554</v>
      </c>
      <c r="L72" s="466">
        <v>0.3125</v>
      </c>
      <c r="M72" s="466">
        <v>0.40277777777777773</v>
      </c>
      <c r="N72" s="467"/>
      <c r="O72" s="468"/>
      <c r="P72" s="469">
        <v>1.0416666666666666E-2</v>
      </c>
      <c r="Q72" s="467"/>
      <c r="R7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7.9861111111111063E-2</v>
      </c>
      <c r="S72" s="471"/>
      <c r="T72" s="472"/>
      <c r="U72" s="472"/>
      <c r="V72" s="472"/>
      <c r="W72" s="473"/>
      <c r="X72" s="473"/>
      <c r="Y72" s="472"/>
    </row>
    <row r="73" spans="1:25">
      <c r="A73" s="461">
        <f t="shared" si="2"/>
        <v>2</v>
      </c>
      <c r="B73" s="474">
        <v>43524</v>
      </c>
      <c r="C73" s="462" t="s">
        <v>3</v>
      </c>
      <c r="D73" s="462" t="str">
        <f>IFERROR(VLOOKUP([1]!Table1[[#This Row],[Mã công đoạn]],'[1]MA SO'!$B:$D,2,0),"")</f>
        <v/>
      </c>
      <c r="E73" s="463" t="str">
        <f>IFERROR(VLOOKUP([1]!Table1[[#This Row],[Mã công đoạn]],'[1]MA SO'!$B:$D,3,0),"")</f>
        <v/>
      </c>
      <c r="F73" s="461" t="s">
        <v>779</v>
      </c>
      <c r="G73" s="464" t="s">
        <v>988</v>
      </c>
      <c r="H73" s="464"/>
      <c r="I73" s="464" t="s">
        <v>927</v>
      </c>
      <c r="J73" s="464" t="s">
        <v>491</v>
      </c>
      <c r="K73" s="465" t="s">
        <v>554</v>
      </c>
      <c r="L73" s="466">
        <v>0.40277777777777773</v>
      </c>
      <c r="M73" s="466">
        <v>0.55208333333333337</v>
      </c>
      <c r="N73" s="467"/>
      <c r="O73" s="468"/>
      <c r="P73" s="469">
        <v>4.1666666666666664E-2</v>
      </c>
      <c r="Q73" s="467"/>
      <c r="R7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0.10763888888888898</v>
      </c>
      <c r="S73" s="471"/>
      <c r="T73" s="472"/>
      <c r="U73" s="472"/>
      <c r="V73" s="472"/>
      <c r="W73" s="473"/>
      <c r="X73" s="473"/>
      <c r="Y73" s="472"/>
    </row>
    <row r="74" spans="1:25">
      <c r="A74" s="461">
        <f t="shared" ref="A74:A92" si="3">MONTH(B74)</f>
        <v>2</v>
      </c>
      <c r="B74" s="474">
        <v>43524</v>
      </c>
      <c r="C74" s="462" t="s">
        <v>3</v>
      </c>
      <c r="D74" s="462" t="str">
        <f>IFERROR(VLOOKUP([1]!Table1[[#This Row],[Mã công đoạn]],'[1]MA SO'!$B:$D,2,0),"")</f>
        <v/>
      </c>
      <c r="E74" s="463" t="str">
        <f>IFERROR(VLOOKUP([1]!Table1[[#This Row],[Mã công đoạn]],'[1]MA SO'!$B:$D,3,0),"")</f>
        <v/>
      </c>
      <c r="F74" s="461" t="s">
        <v>779</v>
      </c>
      <c r="G74" s="464" t="s">
        <v>988</v>
      </c>
      <c r="H74" s="464"/>
      <c r="I74" s="464" t="s">
        <v>927</v>
      </c>
      <c r="J74" s="464" t="s">
        <v>494</v>
      </c>
      <c r="K74" s="465" t="s">
        <v>554</v>
      </c>
      <c r="L74" s="466">
        <v>0.40277777777777773</v>
      </c>
      <c r="M74" s="466">
        <v>0.55208333333333337</v>
      </c>
      <c r="N74" s="467"/>
      <c r="O74" s="468"/>
      <c r="P74" s="469">
        <v>4.1666666666666664E-2</v>
      </c>
      <c r="Q74" s="467"/>
      <c r="R7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0.10763888888888898</v>
      </c>
      <c r="S74" s="471"/>
      <c r="T74" s="472"/>
      <c r="U74" s="472"/>
      <c r="V74" s="472"/>
      <c r="W74" s="473"/>
      <c r="X74" s="473"/>
      <c r="Y74" s="472"/>
    </row>
    <row r="75" spans="1:25">
      <c r="A75" s="461">
        <f t="shared" si="3"/>
        <v>2</v>
      </c>
      <c r="B75" s="474">
        <v>43524</v>
      </c>
      <c r="C75" s="462" t="s">
        <v>3</v>
      </c>
      <c r="D75" s="462" t="str">
        <f>IFERROR(VLOOKUP([1]!Table1[[#This Row],[Mã công đoạn]],'[1]MA SO'!$B:$D,2,0),"")</f>
        <v/>
      </c>
      <c r="E75" s="463" t="str">
        <f>IFERROR(VLOOKUP([1]!Table1[[#This Row],[Mã công đoạn]],'[1]MA SO'!$B:$D,3,0),"")</f>
        <v/>
      </c>
      <c r="F75" s="461" t="s">
        <v>779</v>
      </c>
      <c r="G75" s="464" t="s">
        <v>988</v>
      </c>
      <c r="H75" s="464"/>
      <c r="I75" s="464" t="s">
        <v>927</v>
      </c>
      <c r="J75" s="464" t="s">
        <v>498</v>
      </c>
      <c r="K75" s="465" t="s">
        <v>554</v>
      </c>
      <c r="L75" s="466">
        <v>0.40277777777777773</v>
      </c>
      <c r="M75" s="466">
        <v>0.55208333333333337</v>
      </c>
      <c r="N75" s="467"/>
      <c r="O75" s="468"/>
      <c r="P75" s="469">
        <v>4.1666666666666664E-2</v>
      </c>
      <c r="Q75" s="467"/>
      <c r="R7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0.10763888888888898</v>
      </c>
      <c r="S75" s="471"/>
      <c r="T75" s="472"/>
      <c r="U75" s="472"/>
      <c r="V75" s="472"/>
      <c r="W75" s="473"/>
      <c r="X75" s="473"/>
      <c r="Y75" s="472"/>
    </row>
    <row r="76" spans="1:25">
      <c r="A76" s="461">
        <f t="shared" si="3"/>
        <v>2</v>
      </c>
      <c r="B76" s="474">
        <v>43524</v>
      </c>
      <c r="C76" s="462" t="s">
        <v>3</v>
      </c>
      <c r="D76" s="462" t="str">
        <f>IFERROR(VLOOKUP([1]!Table1[[#This Row],[Mã công đoạn]],'[1]MA SO'!$B:$D,2,0),"")</f>
        <v/>
      </c>
      <c r="E76" s="463" t="str">
        <f>IFERROR(VLOOKUP([1]!Table1[[#This Row],[Mã công đoạn]],'[1]MA SO'!$B:$D,3,0),"")</f>
        <v/>
      </c>
      <c r="F76" s="461" t="s">
        <v>779</v>
      </c>
      <c r="G76" s="464" t="s">
        <v>988</v>
      </c>
      <c r="H76" s="464"/>
      <c r="I76" s="464" t="s">
        <v>927</v>
      </c>
      <c r="J76" s="464" t="s">
        <v>503</v>
      </c>
      <c r="K76" s="465" t="s">
        <v>554</v>
      </c>
      <c r="L76" s="466">
        <v>0.40277777777777773</v>
      </c>
      <c r="M76" s="466">
        <v>0.55208333333333337</v>
      </c>
      <c r="N76" s="467"/>
      <c r="O76" s="468"/>
      <c r="P76" s="469">
        <v>4.1666666666666664E-2</v>
      </c>
      <c r="Q76" s="467"/>
      <c r="R7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0.10763888888888898</v>
      </c>
      <c r="S76" s="471"/>
      <c r="T76" s="472"/>
      <c r="U76" s="472"/>
      <c r="V76" s="472"/>
      <c r="W76" s="473"/>
      <c r="X76" s="473"/>
      <c r="Y76" s="472"/>
    </row>
    <row r="77" spans="1:25">
      <c r="A77" s="461">
        <f t="shared" si="3"/>
        <v>2</v>
      </c>
      <c r="B77" s="474">
        <v>43524</v>
      </c>
      <c r="C77" s="462" t="s">
        <v>3</v>
      </c>
      <c r="D77" s="462" t="str">
        <f>IFERROR(VLOOKUP([1]!Table1[[#This Row],[Mã công đoạn]],'[1]MA SO'!$B:$D,2,0),"")</f>
        <v/>
      </c>
      <c r="E77" s="463" t="str">
        <f>IFERROR(VLOOKUP([1]!Table1[[#This Row],[Mã công đoạn]],'[1]MA SO'!$B:$D,3,0),"")</f>
        <v/>
      </c>
      <c r="F77" s="461" t="s">
        <v>779</v>
      </c>
      <c r="G77" s="464" t="s">
        <v>980</v>
      </c>
      <c r="H77" s="464"/>
      <c r="I77" s="464" t="s">
        <v>920</v>
      </c>
      <c r="J77" s="464" t="s">
        <v>491</v>
      </c>
      <c r="K77" s="465" t="s">
        <v>555</v>
      </c>
      <c r="L77" s="466">
        <v>0.55208333333333337</v>
      </c>
      <c r="M77" s="466">
        <v>0.66666666666666663</v>
      </c>
      <c r="N77" s="467"/>
      <c r="O77" s="468"/>
      <c r="P77" s="469">
        <v>1.0416666666666666E-2</v>
      </c>
      <c r="Q77" s="467"/>
      <c r="R7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0.10416666666666659</v>
      </c>
      <c r="S77" s="471"/>
      <c r="T77" s="472"/>
      <c r="U77" s="472"/>
      <c r="V77" s="472"/>
      <c r="W77" s="473"/>
      <c r="X77" s="473"/>
      <c r="Y77" s="472"/>
    </row>
    <row r="78" spans="1:25">
      <c r="A78" s="461">
        <f t="shared" si="3"/>
        <v>2</v>
      </c>
      <c r="B78" s="474">
        <v>43524</v>
      </c>
      <c r="C78" s="462" t="s">
        <v>3</v>
      </c>
      <c r="D78" s="462" t="str">
        <f>IFERROR(VLOOKUP([1]!Table1[[#This Row],[Mã công đoạn]],'[1]MA SO'!$B:$D,2,0),"")</f>
        <v/>
      </c>
      <c r="E78" s="463" t="str">
        <f>IFERROR(VLOOKUP([1]!Table1[[#This Row],[Mã công đoạn]],'[1]MA SO'!$B:$D,3,0),"")</f>
        <v/>
      </c>
      <c r="F78" s="461" t="s">
        <v>779</v>
      </c>
      <c r="G78" s="464" t="s">
        <v>980</v>
      </c>
      <c r="H78" s="464"/>
      <c r="I78" s="464" t="s">
        <v>920</v>
      </c>
      <c r="J78" s="464" t="s">
        <v>494</v>
      </c>
      <c r="K78" s="465" t="s">
        <v>555</v>
      </c>
      <c r="L78" s="466">
        <v>0.55208333333333337</v>
      </c>
      <c r="M78" s="466">
        <v>0.66666666666666663</v>
      </c>
      <c r="N78" s="467"/>
      <c r="O78" s="468"/>
      <c r="P78" s="469">
        <v>1.0416666666666666E-2</v>
      </c>
      <c r="Q78" s="467"/>
      <c r="R7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0.10416666666666659</v>
      </c>
      <c r="S78" s="471"/>
      <c r="T78" s="472"/>
      <c r="U78" s="472"/>
      <c r="V78" s="472"/>
      <c r="W78" s="473"/>
      <c r="X78" s="473"/>
      <c r="Y78" s="472"/>
    </row>
    <row r="79" spans="1:25">
      <c r="A79" s="461">
        <f t="shared" si="3"/>
        <v>2</v>
      </c>
      <c r="B79" s="474">
        <v>43524</v>
      </c>
      <c r="C79" s="462" t="s">
        <v>3</v>
      </c>
      <c r="D79" s="462" t="str">
        <f>IFERROR(VLOOKUP([1]!Table1[[#This Row],[Mã công đoạn]],'[1]MA SO'!$B:$D,2,0),"")</f>
        <v/>
      </c>
      <c r="E79" s="463" t="str">
        <f>IFERROR(VLOOKUP([1]!Table1[[#This Row],[Mã công đoạn]],'[1]MA SO'!$B:$D,3,0),"")</f>
        <v/>
      </c>
      <c r="F79" s="461" t="s">
        <v>779</v>
      </c>
      <c r="G79" s="464" t="s">
        <v>980</v>
      </c>
      <c r="H79" s="464"/>
      <c r="I79" s="464" t="s">
        <v>920</v>
      </c>
      <c r="J79" s="464" t="s">
        <v>498</v>
      </c>
      <c r="K79" s="465" t="s">
        <v>555</v>
      </c>
      <c r="L79" s="466">
        <v>0.55208333333333337</v>
      </c>
      <c r="M79" s="466">
        <v>0.66666666666666663</v>
      </c>
      <c r="N79" s="467"/>
      <c r="O79" s="468"/>
      <c r="P79" s="469">
        <v>1.0416666666666666E-2</v>
      </c>
      <c r="Q79" s="467"/>
      <c r="R7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0.10416666666666659</v>
      </c>
      <c r="S79" s="471"/>
      <c r="T79" s="472"/>
      <c r="U79" s="472"/>
      <c r="V79" s="472"/>
      <c r="W79" s="473"/>
      <c r="X79" s="473"/>
      <c r="Y79" s="472"/>
    </row>
    <row r="80" spans="1:25">
      <c r="A80" s="461">
        <f t="shared" si="3"/>
        <v>2</v>
      </c>
      <c r="B80" s="474">
        <v>43524</v>
      </c>
      <c r="C80" s="462" t="s">
        <v>3</v>
      </c>
      <c r="D80" s="462" t="str">
        <f>IFERROR(VLOOKUP([1]!Table1[[#This Row],[Mã công đoạn]],'[1]MA SO'!$B:$D,2,0),"")</f>
        <v/>
      </c>
      <c r="E80" s="463" t="str">
        <f>IFERROR(VLOOKUP([1]!Table1[[#This Row],[Mã công đoạn]],'[1]MA SO'!$B:$D,3,0),"")</f>
        <v/>
      </c>
      <c r="F80" s="461" t="s">
        <v>779</v>
      </c>
      <c r="G80" s="464" t="s">
        <v>980</v>
      </c>
      <c r="H80" s="464"/>
      <c r="I80" s="464" t="s">
        <v>920</v>
      </c>
      <c r="J80" s="464" t="s">
        <v>503</v>
      </c>
      <c r="K80" s="465" t="s">
        <v>555</v>
      </c>
      <c r="L80" s="466">
        <v>0.55208333333333337</v>
      </c>
      <c r="M80" s="466">
        <v>0.66666666666666663</v>
      </c>
      <c r="N80" s="467"/>
      <c r="O80" s="468"/>
      <c r="P80" s="469">
        <v>1.0416666666666666E-2</v>
      </c>
      <c r="Q80" s="467"/>
      <c r="R8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0.10416666666666659</v>
      </c>
      <c r="S80" s="471"/>
      <c r="T80" s="472"/>
      <c r="U80" s="472"/>
      <c r="V80" s="472"/>
      <c r="W80" s="473"/>
      <c r="X80" s="473"/>
      <c r="Y80" s="472"/>
    </row>
    <row r="81" spans="1:25">
      <c r="A81" s="461">
        <f t="shared" si="3"/>
        <v>2</v>
      </c>
      <c r="B81" s="474">
        <v>43524</v>
      </c>
      <c r="C81" s="462" t="s">
        <v>3</v>
      </c>
      <c r="D81" s="462" t="str">
        <f>IFERROR(VLOOKUP([1]!Table1[[#This Row],[Mã công đoạn]],'[1]MA SO'!$B:$D,2,0),"")</f>
        <v/>
      </c>
      <c r="E81" s="463" t="str">
        <f>IFERROR(VLOOKUP([1]!Table1[[#This Row],[Mã công đoạn]],'[1]MA SO'!$B:$D,3,0),"")</f>
        <v/>
      </c>
      <c r="F81" s="461" t="s">
        <v>680</v>
      </c>
      <c r="G81" s="464"/>
      <c r="H81" s="464"/>
      <c r="I81" s="464"/>
      <c r="J81" s="464" t="s">
        <v>491</v>
      </c>
      <c r="K81" s="465" t="s">
        <v>555</v>
      </c>
      <c r="L81" s="466">
        <v>0.66666666666666663</v>
      </c>
      <c r="M81" s="466">
        <v>0.6875</v>
      </c>
      <c r="N81" s="467"/>
      <c r="O81" s="468"/>
      <c r="P81" s="469"/>
      <c r="Q81" s="467"/>
      <c r="R8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81" s="471"/>
      <c r="T81" s="472"/>
      <c r="U81" s="472"/>
      <c r="V81" s="472"/>
      <c r="W81" s="473"/>
      <c r="X81" s="473"/>
      <c r="Y81" s="472"/>
    </row>
    <row r="82" spans="1:25">
      <c r="A82" s="461">
        <f t="shared" si="3"/>
        <v>2</v>
      </c>
      <c r="B82" s="474">
        <v>43524</v>
      </c>
      <c r="C82" s="462" t="s">
        <v>3</v>
      </c>
      <c r="D82" s="462" t="str">
        <f>IFERROR(VLOOKUP([1]!Table1[[#This Row],[Mã công đoạn]],'[1]MA SO'!$B:$D,2,0),"")</f>
        <v/>
      </c>
      <c r="E82" s="463" t="str">
        <f>IFERROR(VLOOKUP([1]!Table1[[#This Row],[Mã công đoạn]],'[1]MA SO'!$B:$D,3,0),"")</f>
        <v/>
      </c>
      <c r="F82" s="461" t="s">
        <v>680</v>
      </c>
      <c r="G82" s="464"/>
      <c r="H82" s="464"/>
      <c r="I82" s="464"/>
      <c r="J82" s="464" t="s">
        <v>494</v>
      </c>
      <c r="K82" s="465" t="s">
        <v>555</v>
      </c>
      <c r="L82" s="466">
        <v>0.66666666666666663</v>
      </c>
      <c r="M82" s="466">
        <v>0.6875</v>
      </c>
      <c r="N82" s="467"/>
      <c r="O82" s="468"/>
      <c r="P82" s="469"/>
      <c r="Q82" s="467"/>
      <c r="R8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82" s="471"/>
      <c r="T82" s="472"/>
      <c r="U82" s="472"/>
      <c r="V82" s="472"/>
      <c r="W82" s="473"/>
      <c r="X82" s="473"/>
      <c r="Y82" s="472"/>
    </row>
    <row r="83" spans="1:25">
      <c r="A83" s="461">
        <f t="shared" si="3"/>
        <v>2</v>
      </c>
      <c r="B83" s="474">
        <v>43524</v>
      </c>
      <c r="C83" s="462" t="s">
        <v>3</v>
      </c>
      <c r="D83" s="462" t="str">
        <f>IFERROR(VLOOKUP([1]!Table1[[#This Row],[Mã công đoạn]],'[1]MA SO'!$B:$D,2,0),"")</f>
        <v/>
      </c>
      <c r="E83" s="463" t="str">
        <f>IFERROR(VLOOKUP([1]!Table1[[#This Row],[Mã công đoạn]],'[1]MA SO'!$B:$D,3,0),"")</f>
        <v/>
      </c>
      <c r="F83" s="461" t="s">
        <v>680</v>
      </c>
      <c r="G83" s="464"/>
      <c r="H83" s="464"/>
      <c r="I83" s="464"/>
      <c r="J83" s="464" t="s">
        <v>498</v>
      </c>
      <c r="K83" s="465" t="s">
        <v>555</v>
      </c>
      <c r="L83" s="466">
        <v>0.66666666666666663</v>
      </c>
      <c r="M83" s="466">
        <v>0.6875</v>
      </c>
      <c r="N83" s="467"/>
      <c r="O83" s="468"/>
      <c r="P83" s="469"/>
      <c r="Q83" s="467"/>
      <c r="R8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83" s="471"/>
      <c r="T83" s="472"/>
      <c r="U83" s="472"/>
      <c r="V83" s="472"/>
      <c r="W83" s="473"/>
      <c r="X83" s="473"/>
      <c r="Y83" s="472"/>
    </row>
    <row r="84" spans="1:25">
      <c r="A84" s="461">
        <f t="shared" si="3"/>
        <v>2</v>
      </c>
      <c r="B84" s="474">
        <v>43524</v>
      </c>
      <c r="C84" s="462" t="s">
        <v>3</v>
      </c>
      <c r="D84" s="462" t="str">
        <f>IFERROR(VLOOKUP([1]!Table1[[#This Row],[Mã công đoạn]],'[1]MA SO'!$B:$D,2,0),"")</f>
        <v/>
      </c>
      <c r="E84" s="463" t="str">
        <f>IFERROR(VLOOKUP([1]!Table1[[#This Row],[Mã công đoạn]],'[1]MA SO'!$B:$D,3,0),"")</f>
        <v/>
      </c>
      <c r="F84" s="461" t="s">
        <v>680</v>
      </c>
      <c r="G84" s="464"/>
      <c r="H84" s="464"/>
      <c r="I84" s="464"/>
      <c r="J84" s="464" t="s">
        <v>503</v>
      </c>
      <c r="K84" s="465" t="s">
        <v>555</v>
      </c>
      <c r="L84" s="466">
        <v>0.66666666666666663</v>
      </c>
      <c r="M84" s="466">
        <v>0.6875</v>
      </c>
      <c r="N84" s="467"/>
      <c r="O84" s="468"/>
      <c r="P84" s="469"/>
      <c r="Q84" s="467"/>
      <c r="R8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2.083333333333337E-2</v>
      </c>
      <c r="S84" s="471"/>
      <c r="T84" s="472"/>
      <c r="U84" s="472"/>
      <c r="V84" s="472"/>
      <c r="W84" s="473"/>
      <c r="X84" s="473"/>
      <c r="Y84" s="472"/>
    </row>
    <row r="85" spans="1:25">
      <c r="A85" s="461">
        <f t="shared" si="3"/>
        <v>2</v>
      </c>
      <c r="B85" s="474">
        <v>43524</v>
      </c>
      <c r="C85" s="462" t="s">
        <v>3</v>
      </c>
      <c r="D85" s="462" t="str">
        <f>IFERROR(VLOOKUP([1]!Table1[[#This Row],[Mã công đoạn]],'[1]MA SO'!$B:$D,2,0),"")</f>
        <v/>
      </c>
      <c r="E85" s="463" t="str">
        <f>IFERROR(VLOOKUP([1]!Table1[[#This Row],[Mã công đoạn]],'[1]MA SO'!$B:$D,3,0),"")</f>
        <v/>
      </c>
      <c r="F85" s="461" t="s">
        <v>777</v>
      </c>
      <c r="G85" s="464" t="s">
        <v>989</v>
      </c>
      <c r="H85" s="464"/>
      <c r="I85" s="464" t="s">
        <v>923</v>
      </c>
      <c r="J85" s="464" t="s">
        <v>876</v>
      </c>
      <c r="K85" s="465" t="s">
        <v>554</v>
      </c>
      <c r="L85" s="466">
        <v>0.3125</v>
      </c>
      <c r="M85" s="466">
        <v>0.6875</v>
      </c>
      <c r="N85" s="467"/>
      <c r="O85" s="468"/>
      <c r="P85" s="469">
        <v>6.25E-2</v>
      </c>
      <c r="Q85" s="467"/>
      <c r="R8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5" s="471"/>
      <c r="T85" s="472"/>
      <c r="U85" s="472"/>
      <c r="V85" s="472"/>
      <c r="W85" s="473"/>
      <c r="X85" s="473"/>
      <c r="Y85" s="472"/>
    </row>
    <row r="86" spans="1:25">
      <c r="A86" s="461">
        <f t="shared" si="3"/>
        <v>2</v>
      </c>
      <c r="B86" s="474">
        <v>43524</v>
      </c>
      <c r="C86" s="462" t="s">
        <v>3</v>
      </c>
      <c r="D86" s="462" t="str">
        <f>IFERROR(VLOOKUP([1]!Table1[[#This Row],[Mã công đoạn]],'[1]MA SO'!$B:$D,2,0),"")</f>
        <v/>
      </c>
      <c r="E86" s="463" t="str">
        <f>IFERROR(VLOOKUP([1]!Table1[[#This Row],[Mã công đoạn]],'[1]MA SO'!$B:$D,3,0),"")</f>
        <v/>
      </c>
      <c r="F86" s="461" t="s">
        <v>777</v>
      </c>
      <c r="G86" s="464" t="s">
        <v>989</v>
      </c>
      <c r="H86" s="464"/>
      <c r="I86" s="464" t="s">
        <v>923</v>
      </c>
      <c r="J86" s="464" t="s">
        <v>875</v>
      </c>
      <c r="K86" s="465" t="s">
        <v>554</v>
      </c>
      <c r="L86" s="466">
        <v>0.3125</v>
      </c>
      <c r="M86" s="466">
        <v>0.6875</v>
      </c>
      <c r="N86" s="467"/>
      <c r="O86" s="468"/>
      <c r="P86" s="469">
        <v>6.25E-2</v>
      </c>
      <c r="Q86" s="467"/>
      <c r="R8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6" s="471"/>
      <c r="T86" s="472"/>
      <c r="U86" s="472"/>
      <c r="V86" s="472"/>
      <c r="W86" s="473"/>
      <c r="X86" s="473"/>
      <c r="Y86" s="472"/>
    </row>
    <row r="87" spans="1:25">
      <c r="A87" s="461">
        <f t="shared" si="3"/>
        <v>2</v>
      </c>
      <c r="B87" s="474">
        <v>43524</v>
      </c>
      <c r="C87" s="462" t="s">
        <v>3</v>
      </c>
      <c r="D87" s="462" t="str">
        <f>IFERROR(VLOOKUP([1]!Table1[[#This Row],[Mã công đoạn]],'[1]MA SO'!$B:$D,2,0),"")</f>
        <v/>
      </c>
      <c r="E87" s="463" t="str">
        <f>IFERROR(VLOOKUP([1]!Table1[[#This Row],[Mã công đoạn]],'[1]MA SO'!$B:$D,3,0),"")</f>
        <v/>
      </c>
      <c r="F87" s="461" t="s">
        <v>777</v>
      </c>
      <c r="G87" s="464" t="s">
        <v>989</v>
      </c>
      <c r="H87" s="464"/>
      <c r="I87" s="464" t="s">
        <v>923</v>
      </c>
      <c r="J87" s="464" t="s">
        <v>502</v>
      </c>
      <c r="K87" s="465" t="s">
        <v>554</v>
      </c>
      <c r="L87" s="466">
        <v>0.3125</v>
      </c>
      <c r="M87" s="466">
        <v>0.6875</v>
      </c>
      <c r="N87" s="467"/>
      <c r="O87" s="468"/>
      <c r="P87" s="469">
        <v>6.25E-2</v>
      </c>
      <c r="Q87" s="467"/>
      <c r="R8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7" s="471"/>
      <c r="T87" s="472"/>
      <c r="U87" s="472"/>
      <c r="V87" s="472"/>
      <c r="W87" s="473"/>
      <c r="X87" s="473"/>
      <c r="Y87" s="472"/>
    </row>
    <row r="88" spans="1:25">
      <c r="A88" s="461">
        <f t="shared" si="3"/>
        <v>2</v>
      </c>
      <c r="B88" s="474">
        <v>43524</v>
      </c>
      <c r="C88" s="462" t="s">
        <v>3</v>
      </c>
      <c r="D88" s="462" t="str">
        <f>IFERROR(VLOOKUP([1]!Table1[[#This Row],[Mã công đoạn]],'[1]MA SO'!$B:$D,2,0),"")</f>
        <v/>
      </c>
      <c r="E88" s="463" t="str">
        <f>IFERROR(VLOOKUP([1]!Table1[[#This Row],[Mã công đoạn]],'[1]MA SO'!$B:$D,3,0),"")</f>
        <v/>
      </c>
      <c r="F88" s="461" t="s">
        <v>777</v>
      </c>
      <c r="G88" s="464" t="s">
        <v>989</v>
      </c>
      <c r="H88" s="464"/>
      <c r="I88" s="464" t="s">
        <v>923</v>
      </c>
      <c r="J88" s="464" t="s">
        <v>902</v>
      </c>
      <c r="K88" s="465" t="s">
        <v>554</v>
      </c>
      <c r="L88" s="466">
        <v>0.3125</v>
      </c>
      <c r="M88" s="466">
        <v>0.6875</v>
      </c>
      <c r="N88" s="467"/>
      <c r="O88" s="468"/>
      <c r="P88" s="469">
        <v>6.25E-2</v>
      </c>
      <c r="Q88" s="467"/>
      <c r="R8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8" s="471"/>
      <c r="T88" s="472"/>
      <c r="U88" s="472"/>
      <c r="V88" s="472"/>
      <c r="W88" s="473"/>
      <c r="X88" s="473"/>
      <c r="Y88" s="472"/>
    </row>
    <row r="89" spans="1:25">
      <c r="A89" s="461">
        <f t="shared" si="3"/>
        <v>2</v>
      </c>
      <c r="B89" s="474">
        <v>43524</v>
      </c>
      <c r="C89" s="462" t="s">
        <v>3</v>
      </c>
      <c r="D89" s="462" t="str">
        <f>IFERROR(VLOOKUP([1]!Table1[[#This Row],[Mã công đoạn]],'[1]MA SO'!$B:$D,2,0),"")</f>
        <v/>
      </c>
      <c r="E89" s="463" t="str">
        <f>IFERROR(VLOOKUP([1]!Table1[[#This Row],[Mã công đoạn]],'[1]MA SO'!$B:$D,3,0),"")</f>
        <v/>
      </c>
      <c r="F89" s="461" t="s">
        <v>976</v>
      </c>
      <c r="G89" s="464"/>
      <c r="H89" s="464"/>
      <c r="I89" s="464" t="s">
        <v>922</v>
      </c>
      <c r="J89" s="464" t="s">
        <v>548</v>
      </c>
      <c r="K89" s="465" t="s">
        <v>554</v>
      </c>
      <c r="L89" s="466">
        <v>0.3125</v>
      </c>
      <c r="M89" s="466">
        <v>0.6875</v>
      </c>
      <c r="N89" s="467"/>
      <c r="O89" s="468"/>
      <c r="P89" s="469">
        <v>6.25E-2</v>
      </c>
      <c r="Q89" s="467"/>
      <c r="R8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89" s="471"/>
      <c r="T89" s="472"/>
      <c r="U89" s="472"/>
      <c r="V89" s="472"/>
      <c r="W89" s="473"/>
      <c r="X89" s="473"/>
      <c r="Y89" s="472"/>
    </row>
    <row r="90" spans="1:25">
      <c r="A90" s="461">
        <f t="shared" si="3"/>
        <v>2</v>
      </c>
      <c r="B90" s="474">
        <v>43524</v>
      </c>
      <c r="C90" s="462" t="s">
        <v>3</v>
      </c>
      <c r="D90" s="462" t="str">
        <f>IFERROR(VLOOKUP([1]!Table1[[#This Row],[Mã công đoạn]],'[1]MA SO'!$B:$D,2,0),"")</f>
        <v/>
      </c>
      <c r="E90" s="463" t="str">
        <f>IFERROR(VLOOKUP([1]!Table1[[#This Row],[Mã công đoạn]],'[1]MA SO'!$B:$D,3,0),"")</f>
        <v/>
      </c>
      <c r="F90" s="461" t="s">
        <v>976</v>
      </c>
      <c r="G90" s="464"/>
      <c r="H90" s="464"/>
      <c r="I90" s="464" t="s">
        <v>922</v>
      </c>
      <c r="J90" s="464" t="s">
        <v>544</v>
      </c>
      <c r="K90" s="465" t="s">
        <v>554</v>
      </c>
      <c r="L90" s="466">
        <v>0.3125</v>
      </c>
      <c r="M90" s="466">
        <v>0.6875</v>
      </c>
      <c r="N90" s="467"/>
      <c r="O90" s="468"/>
      <c r="P90" s="469">
        <v>6.25E-2</v>
      </c>
      <c r="Q90" s="467"/>
      <c r="R9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90" s="471"/>
      <c r="T90" s="472"/>
      <c r="U90" s="472"/>
      <c r="V90" s="472"/>
      <c r="W90" s="473"/>
      <c r="X90" s="473"/>
      <c r="Y90" s="472"/>
    </row>
    <row r="91" spans="1:25">
      <c r="A91" s="461">
        <f t="shared" si="3"/>
        <v>2</v>
      </c>
      <c r="B91" s="474">
        <v>43524</v>
      </c>
      <c r="C91" s="462" t="s">
        <v>3</v>
      </c>
      <c r="D91" s="462" t="str">
        <f>IFERROR(VLOOKUP([1]!Table1[[#This Row],[Mã công đoạn]],'[1]MA SO'!$B:$D,2,0),"")</f>
        <v/>
      </c>
      <c r="E91" s="463" t="str">
        <f>IFERROR(VLOOKUP([1]!Table1[[#This Row],[Mã công đoạn]],'[1]MA SO'!$B:$D,3,0),"")</f>
        <v/>
      </c>
      <c r="F91" s="461" t="s">
        <v>775</v>
      </c>
      <c r="G91" s="464" t="s">
        <v>978</v>
      </c>
      <c r="H91" s="464"/>
      <c r="I91" s="464" t="s">
        <v>918</v>
      </c>
      <c r="J91" s="464" t="s">
        <v>499</v>
      </c>
      <c r="K91" s="465" t="s">
        <v>554</v>
      </c>
      <c r="L91" s="466">
        <v>0.3125</v>
      </c>
      <c r="M91" s="466">
        <v>0.6875</v>
      </c>
      <c r="N91" s="467"/>
      <c r="O91" s="468"/>
      <c r="P91" s="469">
        <v>6.25E-2</v>
      </c>
      <c r="Q91" s="467"/>
      <c r="R9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91" s="471"/>
      <c r="T91" s="472"/>
      <c r="U91" s="472"/>
      <c r="V91" s="472"/>
      <c r="W91" s="473"/>
      <c r="X91" s="473"/>
      <c r="Y91" s="472"/>
    </row>
    <row r="92" spans="1:25">
      <c r="A92" s="461">
        <f t="shared" si="3"/>
        <v>2</v>
      </c>
      <c r="B92" s="474">
        <v>43524</v>
      </c>
      <c r="C92" s="462" t="s">
        <v>3</v>
      </c>
      <c r="D92" s="462" t="str">
        <f>IFERROR(VLOOKUP([1]!Table1[[#This Row],[Mã công đoạn]],'[1]MA SO'!$B:$D,2,0),"")</f>
        <v/>
      </c>
      <c r="E92" s="463" t="str">
        <f>IFERROR(VLOOKUP([1]!Table1[[#This Row],[Mã công đoạn]],'[1]MA SO'!$B:$D,3,0),"")</f>
        <v/>
      </c>
      <c r="F92" s="461" t="s">
        <v>775</v>
      </c>
      <c r="G92" s="464" t="s">
        <v>978</v>
      </c>
      <c r="H92" s="464"/>
      <c r="I92" s="464" t="s">
        <v>918</v>
      </c>
      <c r="J92" s="464" t="s">
        <v>900</v>
      </c>
      <c r="K92" s="465" t="s">
        <v>554</v>
      </c>
      <c r="L92" s="466">
        <v>0.3125</v>
      </c>
      <c r="M92" s="466">
        <v>0.6875</v>
      </c>
      <c r="N92" s="467"/>
      <c r="O92" s="468"/>
      <c r="P92" s="469">
        <v>6.25E-2</v>
      </c>
      <c r="Q92" s="467"/>
      <c r="R9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0.3125</v>
      </c>
      <c r="S92" s="471"/>
      <c r="T92" s="472"/>
      <c r="U92" s="472"/>
      <c r="V92" s="472"/>
      <c r="W92" s="473"/>
      <c r="X92" s="473"/>
      <c r="Y92" s="472"/>
    </row>
    <row r="93" spans="1:25">
      <c r="A93" s="461">
        <f t="shared" ref="A93:A94" si="4">MONTH(B93)</f>
        <v>2</v>
      </c>
      <c r="B93" s="474">
        <v>43524</v>
      </c>
      <c r="C93" s="462" t="s">
        <v>3</v>
      </c>
      <c r="D93" s="462" t="str">
        <f>IFERROR(VLOOKUP([1]!Table1[[#This Row],[Mã công đoạn]],'[1]MA SO'!$B:$D,2,0),"")</f>
        <v/>
      </c>
      <c r="E93" s="463" t="str">
        <f>IFERROR(VLOOKUP([1]!Table1[[#This Row],[Mã công đoạn]],'[1]MA SO'!$B:$D,3,0),"")</f>
        <v/>
      </c>
      <c r="F93" s="461" t="s">
        <v>719</v>
      </c>
      <c r="G93" s="464"/>
      <c r="H93" s="464" t="s">
        <v>596</v>
      </c>
      <c r="I93" s="464"/>
      <c r="J93" s="464" t="s">
        <v>547</v>
      </c>
      <c r="K93" s="465" t="s">
        <v>554</v>
      </c>
      <c r="L93" s="466">
        <v>0.25</v>
      </c>
      <c r="M93" s="466">
        <v>0.47916666666666669</v>
      </c>
      <c r="N93" s="467"/>
      <c r="O93" s="468"/>
      <c r="P93" s="469"/>
      <c r="Q93" s="467"/>
      <c r="R9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3" s="471"/>
      <c r="T93" s="472"/>
      <c r="U93" s="472"/>
      <c r="V93" s="472"/>
      <c r="W93" s="473"/>
      <c r="X93" s="473"/>
      <c r="Y93" s="472"/>
    </row>
    <row r="94" spans="1:25">
      <c r="A94" s="461">
        <f t="shared" si="4"/>
        <v>2</v>
      </c>
      <c r="B94" s="474">
        <v>43524</v>
      </c>
      <c r="C94" s="462" t="s">
        <v>3</v>
      </c>
      <c r="D94" s="462" t="str">
        <f>IFERROR(VLOOKUP([1]!Table1[[#This Row],[Mã công đoạn]],'[1]MA SO'!$B:$D,2,0),"")</f>
        <v/>
      </c>
      <c r="E94" s="463" t="str">
        <f>IFERROR(VLOOKUP([1]!Table1[[#This Row],[Mã công đoạn]],'[1]MA SO'!$B:$D,3,0),"")</f>
        <v/>
      </c>
      <c r="F94" s="461" t="s">
        <v>719</v>
      </c>
      <c r="G94" s="464"/>
      <c r="H94" s="464"/>
      <c r="I94" s="464"/>
      <c r="J94" s="464" t="s">
        <v>546</v>
      </c>
      <c r="K94" s="465" t="s">
        <v>554</v>
      </c>
      <c r="L94" s="466">
        <v>0.25</v>
      </c>
      <c r="M94" s="466">
        <v>0.47916666666666669</v>
      </c>
      <c r="N94" s="467"/>
      <c r="O94" s="468"/>
      <c r="P94" s="469"/>
      <c r="Q94" s="467"/>
      <c r="R9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4" s="471"/>
      <c r="T94" s="472"/>
      <c r="U94" s="472"/>
      <c r="V94" s="472"/>
      <c r="W94" s="473"/>
      <c r="X94" s="473"/>
      <c r="Y94" s="472"/>
    </row>
    <row r="95" spans="1:25">
      <c r="A95" s="461">
        <f>MONTH(B95)</f>
        <v>2</v>
      </c>
      <c r="B95" s="474">
        <v>43524</v>
      </c>
      <c r="C95" s="462" t="s">
        <v>3</v>
      </c>
      <c r="D95" s="462" t="str">
        <f>IFERROR(VLOOKUP([1]!Table1[[#This Row],[Mã công đoạn]],'[1]MA SO'!$B:$D,2,0),"")</f>
        <v/>
      </c>
      <c r="E95" s="463" t="str">
        <f>IFERROR(VLOOKUP([1]!Table1[[#This Row],[Mã công đoạn]],'[1]MA SO'!$B:$D,3,0),"")</f>
        <v/>
      </c>
      <c r="F95" s="461" t="s">
        <v>719</v>
      </c>
      <c r="G95" s="464"/>
      <c r="H95" s="464"/>
      <c r="I95" s="464"/>
      <c r="J95" s="464" t="s">
        <v>540</v>
      </c>
      <c r="K95" s="465" t="s">
        <v>554</v>
      </c>
      <c r="L95" s="466">
        <v>0.25</v>
      </c>
      <c r="M95" s="466">
        <v>0.47916666666666669</v>
      </c>
      <c r="N95" s="467"/>
      <c r="O95" s="468"/>
      <c r="P95" s="469"/>
      <c r="Q95" s="467"/>
      <c r="R9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5" s="471"/>
      <c r="T95" s="472"/>
      <c r="U95" s="472"/>
      <c r="V95" s="472"/>
      <c r="W95" s="473"/>
      <c r="X95" s="473"/>
      <c r="Y95" s="472"/>
    </row>
    <row r="96" spans="1:25">
      <c r="A96" s="461">
        <f t="shared" ref="A96:A99" si="5">MONTH(B96)</f>
        <v>2</v>
      </c>
      <c r="B96" s="474">
        <v>43524</v>
      </c>
      <c r="C96" s="462" t="s">
        <v>3</v>
      </c>
      <c r="D96" s="462" t="str">
        <f>IFERROR(VLOOKUP([1]!Table1[[#This Row],[Mã công đoạn]],'[1]MA SO'!$B:$D,2,0),"")</f>
        <v/>
      </c>
      <c r="E96" s="463" t="str">
        <f>IFERROR(VLOOKUP([1]!Table1[[#This Row],[Mã công đoạn]],'[1]MA SO'!$B:$D,3,0),"")</f>
        <v/>
      </c>
      <c r="F96" s="461" t="s">
        <v>719</v>
      </c>
      <c r="G96" s="464"/>
      <c r="H96" s="464"/>
      <c r="I96" s="464"/>
      <c r="J96" s="464" t="s">
        <v>545</v>
      </c>
      <c r="K96" s="465" t="s">
        <v>554</v>
      </c>
      <c r="L96" s="466">
        <v>0.25</v>
      </c>
      <c r="M96" s="466">
        <v>0.47916666666666669</v>
      </c>
      <c r="N96" s="467"/>
      <c r="O96" s="468"/>
      <c r="P96" s="469"/>
      <c r="Q96" s="467"/>
      <c r="R9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6" s="471"/>
      <c r="T96" s="472"/>
      <c r="U96" s="472"/>
      <c r="V96" s="472"/>
      <c r="W96" s="473"/>
      <c r="X96" s="473"/>
      <c r="Y96" s="472"/>
    </row>
    <row r="97" spans="1:25">
      <c r="A97" s="461">
        <f t="shared" si="5"/>
        <v>2</v>
      </c>
      <c r="B97" s="474">
        <v>43524</v>
      </c>
      <c r="C97" s="462" t="s">
        <v>3</v>
      </c>
      <c r="D97" s="462" t="str">
        <f>IFERROR(VLOOKUP([1]!Table1[[#This Row],[Mã công đoạn]],'[1]MA SO'!$B:$D,2,0),"")</f>
        <v/>
      </c>
      <c r="E97" s="463" t="str">
        <f>IFERROR(VLOOKUP([1]!Table1[[#This Row],[Mã công đoạn]],'[1]MA SO'!$B:$D,3,0),"")</f>
        <v/>
      </c>
      <c r="F97" s="461" t="s">
        <v>719</v>
      </c>
      <c r="G97" s="464"/>
      <c r="H97" s="464"/>
      <c r="I97" s="464"/>
      <c r="J97" s="464" t="s">
        <v>542</v>
      </c>
      <c r="K97" s="465" t="s">
        <v>554</v>
      </c>
      <c r="L97" s="466">
        <v>0.25</v>
      </c>
      <c r="M97" s="466">
        <v>0.47916666666666669</v>
      </c>
      <c r="N97" s="467"/>
      <c r="O97" s="468"/>
      <c r="P97" s="469"/>
      <c r="Q97" s="467"/>
      <c r="R9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97" s="471"/>
      <c r="T97" s="472"/>
      <c r="U97" s="472"/>
      <c r="V97" s="472"/>
      <c r="W97" s="473"/>
      <c r="X97" s="473"/>
      <c r="Y97" s="472"/>
    </row>
    <row r="98" spans="1:25">
      <c r="A98" s="461">
        <f t="shared" si="5"/>
        <v>2</v>
      </c>
      <c r="B98" s="474">
        <v>43524</v>
      </c>
      <c r="C98" s="462" t="s">
        <v>3</v>
      </c>
      <c r="D98" s="462" t="str">
        <f>IFERROR(VLOOKUP([1]!Table1[[#This Row],[Mã công đoạn]],'[1]MA SO'!$B:$D,2,0),"")</f>
        <v/>
      </c>
      <c r="E98" s="463" t="str">
        <f>IFERROR(VLOOKUP([1]!Table1[[#This Row],[Mã công đoạn]],'[1]MA SO'!$B:$D,3,0),"")</f>
        <v/>
      </c>
      <c r="F98" s="461" t="s">
        <v>719</v>
      </c>
      <c r="G98" s="464"/>
      <c r="H98" s="464" t="s">
        <v>596</v>
      </c>
      <c r="I98" s="464"/>
      <c r="J98" s="464" t="s">
        <v>547</v>
      </c>
      <c r="K98" s="465" t="s">
        <v>555</v>
      </c>
      <c r="L98" s="466">
        <v>0.52083333333333337</v>
      </c>
      <c r="M98" s="466">
        <v>0.6875</v>
      </c>
      <c r="N98" s="467"/>
      <c r="O98" s="468"/>
      <c r="P98" s="469"/>
      <c r="Q98" s="467"/>
      <c r="R9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98" s="471"/>
      <c r="T98" s="472"/>
      <c r="U98" s="472"/>
      <c r="V98" s="472"/>
      <c r="W98" s="473"/>
      <c r="X98" s="473"/>
      <c r="Y98" s="472"/>
    </row>
    <row r="99" spans="1:25">
      <c r="A99" s="461">
        <f t="shared" si="5"/>
        <v>2</v>
      </c>
      <c r="B99" s="474">
        <v>43524</v>
      </c>
      <c r="C99" s="462" t="s">
        <v>3</v>
      </c>
      <c r="D99" s="462" t="str">
        <f>IFERROR(VLOOKUP([1]!Table1[[#This Row],[Mã công đoạn]],'[1]MA SO'!$B:$D,2,0),"")</f>
        <v/>
      </c>
      <c r="E99" s="463" t="str">
        <f>IFERROR(VLOOKUP([1]!Table1[[#This Row],[Mã công đoạn]],'[1]MA SO'!$B:$D,3,0),"")</f>
        <v/>
      </c>
      <c r="F99" s="461" t="s">
        <v>719</v>
      </c>
      <c r="G99" s="464"/>
      <c r="H99" s="464"/>
      <c r="I99" s="464"/>
      <c r="J99" s="464" t="s">
        <v>546</v>
      </c>
      <c r="K99" s="465" t="s">
        <v>555</v>
      </c>
      <c r="L99" s="466">
        <v>0.52083333333333337</v>
      </c>
      <c r="M99" s="466">
        <v>0.6875</v>
      </c>
      <c r="N99" s="467"/>
      <c r="O99" s="468"/>
      <c r="P99" s="469"/>
      <c r="Q99" s="467"/>
      <c r="R9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99" s="471"/>
      <c r="T99" s="472"/>
      <c r="U99" s="472"/>
      <c r="V99" s="472"/>
      <c r="W99" s="473"/>
      <c r="X99" s="473"/>
      <c r="Y99" s="472"/>
    </row>
    <row r="100" spans="1:25">
      <c r="A100" s="461">
        <f t="shared" ref="A100:A131" si="6">MONTH(B100)</f>
        <v>2</v>
      </c>
      <c r="B100" s="474">
        <v>43524</v>
      </c>
      <c r="C100" s="462" t="s">
        <v>3</v>
      </c>
      <c r="D100" s="462" t="str">
        <f>IFERROR(VLOOKUP([1]!Table1[[#This Row],[Mã công đoạn]],'[1]MA SO'!$B:$D,2,0),"")</f>
        <v/>
      </c>
      <c r="E100" s="463" t="str">
        <f>IFERROR(VLOOKUP([1]!Table1[[#This Row],[Mã công đoạn]],'[1]MA SO'!$B:$D,3,0),"")</f>
        <v/>
      </c>
      <c r="F100" s="461" t="s">
        <v>719</v>
      </c>
      <c r="G100" s="464"/>
      <c r="H100" s="464"/>
      <c r="I100" s="464"/>
      <c r="J100" s="464" t="s">
        <v>540</v>
      </c>
      <c r="K100" s="465" t="s">
        <v>555</v>
      </c>
      <c r="L100" s="466">
        <v>0.52083333333333337</v>
      </c>
      <c r="M100" s="466">
        <v>0.6875</v>
      </c>
      <c r="N100" s="467"/>
      <c r="O100" s="468"/>
      <c r="P100" s="469"/>
      <c r="Q100" s="467"/>
      <c r="R10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0" s="471"/>
      <c r="T100" s="472"/>
      <c r="U100" s="472"/>
      <c r="V100" s="472"/>
      <c r="W100" s="473"/>
      <c r="X100" s="473"/>
      <c r="Y100" s="472"/>
    </row>
    <row r="101" spans="1:25">
      <c r="A101" s="461">
        <f t="shared" si="6"/>
        <v>2</v>
      </c>
      <c r="B101" s="474">
        <v>43524</v>
      </c>
      <c r="C101" s="462" t="s">
        <v>3</v>
      </c>
      <c r="D101" s="462" t="str">
        <f>IFERROR(VLOOKUP([1]!Table1[[#This Row],[Mã công đoạn]],'[1]MA SO'!$B:$D,2,0),"")</f>
        <v/>
      </c>
      <c r="E101" s="463" t="str">
        <f>IFERROR(VLOOKUP([1]!Table1[[#This Row],[Mã công đoạn]],'[1]MA SO'!$B:$D,3,0),"")</f>
        <v/>
      </c>
      <c r="F101" s="461" t="s">
        <v>719</v>
      </c>
      <c r="G101" s="464"/>
      <c r="H101" s="464"/>
      <c r="I101" s="464"/>
      <c r="J101" s="464" t="s">
        <v>545</v>
      </c>
      <c r="K101" s="465" t="s">
        <v>555</v>
      </c>
      <c r="L101" s="466">
        <v>0.52083333333333337</v>
      </c>
      <c r="M101" s="466">
        <v>0.6875</v>
      </c>
      <c r="N101" s="467"/>
      <c r="O101" s="468"/>
      <c r="P101" s="469"/>
      <c r="Q101" s="467"/>
      <c r="R10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1" s="471"/>
      <c r="T101" s="472"/>
      <c r="U101" s="472"/>
      <c r="V101" s="472"/>
      <c r="W101" s="473"/>
      <c r="X101" s="473"/>
      <c r="Y101" s="472"/>
    </row>
    <row r="102" spans="1:25">
      <c r="A102" s="461">
        <f t="shared" si="6"/>
        <v>2</v>
      </c>
      <c r="B102" s="474">
        <v>43524</v>
      </c>
      <c r="C102" s="462" t="s">
        <v>3</v>
      </c>
      <c r="D102" s="462" t="str">
        <f>IFERROR(VLOOKUP([1]!Table1[[#This Row],[Mã công đoạn]],'[1]MA SO'!$B:$D,2,0),"")</f>
        <v/>
      </c>
      <c r="E102" s="463" t="str">
        <f>IFERROR(VLOOKUP([1]!Table1[[#This Row],[Mã công đoạn]],'[1]MA SO'!$B:$D,3,0),"")</f>
        <v/>
      </c>
      <c r="F102" s="461" t="s">
        <v>719</v>
      </c>
      <c r="G102" s="464"/>
      <c r="H102" s="464"/>
      <c r="I102" s="464"/>
      <c r="J102" s="464" t="s">
        <v>542</v>
      </c>
      <c r="K102" s="465" t="s">
        <v>555</v>
      </c>
      <c r="L102" s="466">
        <v>0.52083333333333337</v>
      </c>
      <c r="M102" s="466">
        <v>0.6875</v>
      </c>
      <c r="N102" s="467"/>
      <c r="O102" s="468"/>
      <c r="P102" s="469"/>
      <c r="Q102" s="467"/>
      <c r="R10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2" s="471"/>
      <c r="T102" s="472"/>
      <c r="U102" s="472"/>
      <c r="V102" s="472"/>
      <c r="W102" s="473"/>
      <c r="X102" s="473"/>
      <c r="Y102" s="472"/>
    </row>
    <row r="103" spans="1:25">
      <c r="A103" s="461">
        <f t="shared" si="6"/>
        <v>2</v>
      </c>
      <c r="B103" s="474">
        <v>43524</v>
      </c>
      <c r="C103" s="462" t="s">
        <v>3</v>
      </c>
      <c r="D103" s="462" t="str">
        <f>IFERROR(VLOOKUP([1]!Table1[[#This Row],[Mã công đoạn]],'[1]MA SO'!$B:$D,2,0),"")</f>
        <v/>
      </c>
      <c r="E103" s="463" t="str">
        <f>IFERROR(VLOOKUP([1]!Table1[[#This Row],[Mã công đoạn]],'[1]MA SO'!$B:$D,3,0),"")</f>
        <v/>
      </c>
      <c r="F103" s="461" t="s">
        <v>724</v>
      </c>
      <c r="G103" s="464"/>
      <c r="H103" s="464"/>
      <c r="I103" s="464"/>
      <c r="J103" s="464"/>
      <c r="K103" s="465" t="s">
        <v>554</v>
      </c>
      <c r="L103" s="466">
        <v>0.25</v>
      </c>
      <c r="M103" s="466">
        <v>0.47916666666666669</v>
      </c>
      <c r="N103" s="467"/>
      <c r="O103" s="468"/>
      <c r="P103" s="469"/>
      <c r="Q103" s="467"/>
      <c r="R10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0.22916666666666669</v>
      </c>
      <c r="S103" s="471"/>
      <c r="T103" s="472"/>
      <c r="U103" s="472"/>
      <c r="V103" s="472"/>
      <c r="W103" s="473"/>
      <c r="X103" s="473"/>
      <c r="Y103" s="472"/>
    </row>
    <row r="104" spans="1:25">
      <c r="A104" s="461">
        <f t="shared" si="6"/>
        <v>2</v>
      </c>
      <c r="B104" s="474">
        <v>43524</v>
      </c>
      <c r="C104" s="462" t="s">
        <v>3</v>
      </c>
      <c r="D104" s="462" t="str">
        <f>IFERROR(VLOOKUP([1]!Table1[[#This Row],[Mã công đoạn]],'[1]MA SO'!$B:$D,2,0),"")</f>
        <v/>
      </c>
      <c r="E104" s="463" t="str">
        <f>IFERROR(VLOOKUP([1]!Table1[[#This Row],[Mã công đoạn]],'[1]MA SO'!$B:$D,3,0),"")</f>
        <v/>
      </c>
      <c r="F104" s="461" t="s">
        <v>724</v>
      </c>
      <c r="G104" s="464"/>
      <c r="H104" s="464"/>
      <c r="I104" s="464"/>
      <c r="J104" s="464"/>
      <c r="K104" s="465" t="s">
        <v>555</v>
      </c>
      <c r="L104" s="466">
        <v>0.52083333333333337</v>
      </c>
      <c r="M104" s="466">
        <v>0.6875</v>
      </c>
      <c r="N104" s="467"/>
      <c r="O104" s="468"/>
      <c r="P104" s="469"/>
      <c r="Q104" s="467"/>
      <c r="R10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04" s="471"/>
      <c r="T104" s="472"/>
      <c r="U104" s="472"/>
      <c r="V104" s="472"/>
      <c r="W104" s="473"/>
      <c r="X104" s="473"/>
      <c r="Y104" s="472"/>
    </row>
    <row r="105" spans="1:25">
      <c r="A105" s="461">
        <f t="shared" si="6"/>
        <v>2</v>
      </c>
      <c r="B105" s="474">
        <v>43524</v>
      </c>
      <c r="C105" s="462" t="s">
        <v>3</v>
      </c>
      <c r="D105" s="462" t="str">
        <f>IFERROR(VLOOKUP([1]!Table1[[#This Row],[Mã công đoạn]],'[1]MA SO'!$B:$D,2,0),"")</f>
        <v/>
      </c>
      <c r="E105" s="463" t="str">
        <f>IFERROR(VLOOKUP([1]!Table1[[#This Row],[Mã công đoạn]],'[1]MA SO'!$B:$D,3,0),"")</f>
        <v/>
      </c>
      <c r="F105" s="461" t="s">
        <v>717</v>
      </c>
      <c r="G105" s="464"/>
      <c r="H105" s="464" t="s">
        <v>52</v>
      </c>
      <c r="I105" s="464"/>
      <c r="J105" s="464" t="s">
        <v>476</v>
      </c>
      <c r="K105" s="465" t="s">
        <v>554</v>
      </c>
      <c r="L105" s="466">
        <v>0.29166666666666669</v>
      </c>
      <c r="M105" s="466">
        <v>0.47916666666666669</v>
      </c>
      <c r="N105" s="467">
        <v>6.9444444444444441E-3</v>
      </c>
      <c r="O105" s="468"/>
      <c r="P105" s="469"/>
      <c r="Q105" s="467"/>
      <c r="R10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0.18055555555555555</v>
      </c>
      <c r="S105" s="471">
        <v>28</v>
      </c>
      <c r="T105" s="472">
        <v>158</v>
      </c>
      <c r="U105" s="472"/>
      <c r="V105" s="472"/>
      <c r="W105" s="473"/>
      <c r="X105" s="473"/>
      <c r="Y105" s="472"/>
    </row>
    <row r="106" spans="1:25">
      <c r="A106" s="461">
        <f t="shared" si="6"/>
        <v>2</v>
      </c>
      <c r="B106" s="474">
        <v>43524</v>
      </c>
      <c r="C106" s="462" t="s">
        <v>3</v>
      </c>
      <c r="D106" s="462" t="str">
        <f>IFERROR(VLOOKUP([1]!Table1[[#This Row],[Mã công đoạn]],'[1]MA SO'!$B:$D,2,0),"")</f>
        <v/>
      </c>
      <c r="E106" s="463" t="str">
        <f>IFERROR(VLOOKUP([1]!Table1[[#This Row],[Mã công đoạn]],'[1]MA SO'!$B:$D,3,0),"")</f>
        <v/>
      </c>
      <c r="F106" s="461" t="s">
        <v>717</v>
      </c>
      <c r="G106" s="464"/>
      <c r="H106" s="464" t="s">
        <v>52</v>
      </c>
      <c r="I106" s="464"/>
      <c r="J106" s="464" t="s">
        <v>476</v>
      </c>
      <c r="K106" s="465" t="s">
        <v>555</v>
      </c>
      <c r="L106" s="466">
        <v>0.52083333333333337</v>
      </c>
      <c r="M106" s="466">
        <v>0.66666666666666663</v>
      </c>
      <c r="N106" s="467"/>
      <c r="O106" s="468"/>
      <c r="P106" s="469"/>
      <c r="Q106" s="467"/>
      <c r="R10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0.14583333333333326</v>
      </c>
      <c r="S106" s="471">
        <v>20</v>
      </c>
      <c r="T106" s="472"/>
      <c r="U106" s="472"/>
      <c r="V106" s="472"/>
      <c r="W106" s="473"/>
      <c r="X106" s="473"/>
      <c r="Y106" s="472"/>
    </row>
    <row r="107" spans="1:25">
      <c r="A107" s="461">
        <f t="shared" si="6"/>
        <v>2</v>
      </c>
      <c r="B107" s="474">
        <v>43524</v>
      </c>
      <c r="C107" s="462" t="s">
        <v>3</v>
      </c>
      <c r="D107" s="462" t="str">
        <f>IFERROR(VLOOKUP([1]!Table1[[#This Row],[Mã công đoạn]],'[1]MA SO'!$B:$D,2,0),"")</f>
        <v/>
      </c>
      <c r="E107" s="463" t="str">
        <f>IFERROR(VLOOKUP([1]!Table1[[#This Row],[Mã công đoạn]],'[1]MA SO'!$B:$D,3,0),"")</f>
        <v/>
      </c>
      <c r="F107" s="461" t="s">
        <v>717</v>
      </c>
      <c r="G107" s="464"/>
      <c r="H107" s="464" t="s">
        <v>113</v>
      </c>
      <c r="I107" s="464"/>
      <c r="J107" s="464" t="s">
        <v>558</v>
      </c>
      <c r="K107" s="465" t="s">
        <v>554</v>
      </c>
      <c r="L107" s="466">
        <v>0.29166666666666669</v>
      </c>
      <c r="M107" s="466">
        <v>0.47916666666666669</v>
      </c>
      <c r="N107" s="467"/>
      <c r="O107" s="468"/>
      <c r="P107" s="469"/>
      <c r="Q107" s="467"/>
      <c r="R10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0.1875</v>
      </c>
      <c r="S107" s="471">
        <v>14</v>
      </c>
      <c r="T107" s="472">
        <v>308</v>
      </c>
      <c r="U107" s="472"/>
      <c r="V107" s="472"/>
      <c r="W107" s="473"/>
      <c r="X107" s="473"/>
      <c r="Y107" s="472"/>
    </row>
    <row r="108" spans="1:25">
      <c r="A108" s="461">
        <f t="shared" si="6"/>
        <v>2</v>
      </c>
      <c r="B108" s="474">
        <v>43524</v>
      </c>
      <c r="C108" s="462" t="s">
        <v>3</v>
      </c>
      <c r="D108" s="462" t="str">
        <f>IFERROR(VLOOKUP([1]!Table1[[#This Row],[Mã công đoạn]],'[1]MA SO'!$B:$D,2,0),"")</f>
        <v/>
      </c>
      <c r="E108" s="463" t="str">
        <f>IFERROR(VLOOKUP([1]!Table1[[#This Row],[Mã công đoạn]],'[1]MA SO'!$B:$D,3,0),"")</f>
        <v/>
      </c>
      <c r="F108" s="461" t="s">
        <v>717</v>
      </c>
      <c r="G108" s="464"/>
      <c r="H108" s="464" t="s">
        <v>113</v>
      </c>
      <c r="I108" s="464"/>
      <c r="J108" s="464" t="s">
        <v>558</v>
      </c>
      <c r="K108" s="465" t="s">
        <v>555</v>
      </c>
      <c r="L108" s="466">
        <v>0.52083333333333337</v>
      </c>
      <c r="M108" s="466">
        <v>0.66666666666666663</v>
      </c>
      <c r="N108" s="467"/>
      <c r="O108" s="468"/>
      <c r="P108" s="469"/>
      <c r="Q108" s="467"/>
      <c r="R10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0.14583333333333326</v>
      </c>
      <c r="S108" s="471">
        <v>10</v>
      </c>
      <c r="T108" s="472"/>
      <c r="U108" s="472"/>
      <c r="V108" s="472"/>
      <c r="W108" s="473"/>
      <c r="X108" s="473"/>
      <c r="Y108" s="472"/>
    </row>
    <row r="109" spans="1:25">
      <c r="A109" s="461">
        <f t="shared" si="6"/>
        <v>2</v>
      </c>
      <c r="B109" s="474">
        <v>43524</v>
      </c>
      <c r="C109" s="462" t="s">
        <v>3</v>
      </c>
      <c r="D109" s="462" t="str">
        <f>IFERROR(VLOOKUP([1]!Table1[[#This Row],[Mã công đoạn]],'[1]MA SO'!$B:$D,2,0),"")</f>
        <v/>
      </c>
      <c r="E109" s="463" t="str">
        <f>IFERROR(VLOOKUP([1]!Table1[[#This Row],[Mã công đoạn]],'[1]MA SO'!$B:$D,3,0),"")</f>
        <v/>
      </c>
      <c r="F109" s="461" t="s">
        <v>717</v>
      </c>
      <c r="G109" s="464"/>
      <c r="H109" s="464" t="s">
        <v>40</v>
      </c>
      <c r="I109" s="464"/>
      <c r="J109" s="464" t="s">
        <v>558</v>
      </c>
      <c r="K109" s="465" t="s">
        <v>554</v>
      </c>
      <c r="L109" s="466">
        <v>0.29166666666666669</v>
      </c>
      <c r="M109" s="466">
        <v>0.47916666666666669</v>
      </c>
      <c r="N109" s="467"/>
      <c r="O109" s="468"/>
      <c r="P109" s="469"/>
      <c r="Q109" s="467"/>
      <c r="R10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0.1875</v>
      </c>
      <c r="S109" s="471">
        <v>14</v>
      </c>
      <c r="T109" s="472">
        <v>305</v>
      </c>
      <c r="U109" s="472"/>
      <c r="V109" s="472"/>
      <c r="W109" s="473"/>
      <c r="X109" s="473"/>
      <c r="Y109" s="472"/>
    </row>
    <row r="110" spans="1:25">
      <c r="A110" s="461">
        <f t="shared" si="6"/>
        <v>2</v>
      </c>
      <c r="B110" s="474">
        <v>43524</v>
      </c>
      <c r="C110" s="462" t="s">
        <v>3</v>
      </c>
      <c r="D110" s="462" t="str">
        <f>IFERROR(VLOOKUP([1]!Table1[[#This Row],[Mã công đoạn]],'[1]MA SO'!$B:$D,2,0),"")</f>
        <v/>
      </c>
      <c r="E110" s="463" t="str">
        <f>IFERROR(VLOOKUP([1]!Table1[[#This Row],[Mã công đoạn]],'[1]MA SO'!$B:$D,3,0),"")</f>
        <v/>
      </c>
      <c r="F110" s="461" t="s">
        <v>717</v>
      </c>
      <c r="G110" s="464"/>
      <c r="H110" s="464" t="s">
        <v>40</v>
      </c>
      <c r="I110" s="464"/>
      <c r="J110" s="464" t="s">
        <v>558</v>
      </c>
      <c r="K110" s="465" t="s">
        <v>555</v>
      </c>
      <c r="L110" s="466">
        <v>0.52083333333333337</v>
      </c>
      <c r="M110" s="466">
        <v>0.66666666666666663</v>
      </c>
      <c r="N110" s="467"/>
      <c r="O110" s="468"/>
      <c r="P110" s="469"/>
      <c r="Q110" s="467"/>
      <c r="R11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0.14583333333333326</v>
      </c>
      <c r="S110" s="471">
        <v>10</v>
      </c>
      <c r="T110" s="472"/>
      <c r="U110" s="472"/>
      <c r="V110" s="472"/>
      <c r="W110" s="473"/>
      <c r="X110" s="473"/>
      <c r="Y110" s="472"/>
    </row>
    <row r="111" spans="1:25">
      <c r="A111" s="461">
        <f t="shared" si="6"/>
        <v>2</v>
      </c>
      <c r="B111" s="474">
        <v>43524</v>
      </c>
      <c r="C111" s="462" t="s">
        <v>3</v>
      </c>
      <c r="D111" s="462" t="str">
        <f>IFERROR(VLOOKUP([1]!Table1[[#This Row],[Mã công đoạn]],'[1]MA SO'!$B:$D,2,0),"")</f>
        <v/>
      </c>
      <c r="E111" s="463" t="str">
        <f>IFERROR(VLOOKUP([1]!Table1[[#This Row],[Mã công đoạn]],'[1]MA SO'!$B:$D,3,0),"")</f>
        <v/>
      </c>
      <c r="F111" s="461" t="s">
        <v>717</v>
      </c>
      <c r="G111" s="464"/>
      <c r="H111" s="464" t="s">
        <v>54</v>
      </c>
      <c r="I111" s="464"/>
      <c r="J111" s="464" t="s">
        <v>558</v>
      </c>
      <c r="K111" s="465" t="s">
        <v>554</v>
      </c>
      <c r="L111" s="466">
        <v>0.3125</v>
      </c>
      <c r="M111" s="466">
        <v>0.47916666666666669</v>
      </c>
      <c r="N111" s="467"/>
      <c r="O111" s="468"/>
      <c r="P111" s="469"/>
      <c r="Q111" s="467"/>
      <c r="R11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11" s="471">
        <v>28</v>
      </c>
      <c r="T111" s="472">
        <v>170</v>
      </c>
      <c r="U111" s="472"/>
      <c r="V111" s="472"/>
      <c r="W111" s="473"/>
      <c r="X111" s="473"/>
      <c r="Y111" s="472"/>
    </row>
    <row r="112" spans="1:25">
      <c r="A112" s="461">
        <f t="shared" si="6"/>
        <v>2</v>
      </c>
      <c r="B112" s="474">
        <v>43524</v>
      </c>
      <c r="C112" s="462" t="s">
        <v>3</v>
      </c>
      <c r="D112" s="462" t="str">
        <f>IFERROR(VLOOKUP([1]!Table1[[#This Row],[Mã công đoạn]],'[1]MA SO'!$B:$D,2,0),"")</f>
        <v/>
      </c>
      <c r="E112" s="463" t="str">
        <f>IFERROR(VLOOKUP([1]!Table1[[#This Row],[Mã công đoạn]],'[1]MA SO'!$B:$D,3,0),"")</f>
        <v/>
      </c>
      <c r="F112" s="461" t="s">
        <v>717</v>
      </c>
      <c r="G112" s="464"/>
      <c r="H112" s="464" t="s">
        <v>54</v>
      </c>
      <c r="I112" s="464"/>
      <c r="J112" s="464" t="s">
        <v>558</v>
      </c>
      <c r="K112" s="465" t="s">
        <v>555</v>
      </c>
      <c r="L112" s="466">
        <v>0.52083333333333337</v>
      </c>
      <c r="M112" s="466">
        <v>0.54861111111111105</v>
      </c>
      <c r="N112" s="467"/>
      <c r="O112" s="468"/>
      <c r="P112" s="469"/>
      <c r="Q112" s="467"/>
      <c r="R11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2.7777777777777679E-2</v>
      </c>
      <c r="S112" s="471">
        <v>4</v>
      </c>
      <c r="T112" s="472"/>
      <c r="U112" s="472"/>
      <c r="V112" s="472"/>
      <c r="W112" s="473"/>
      <c r="X112" s="473"/>
      <c r="Y112" s="472"/>
    </row>
    <row r="113" spans="1:25">
      <c r="A113" s="461">
        <f t="shared" si="6"/>
        <v>2</v>
      </c>
      <c r="B113" s="474">
        <v>43524</v>
      </c>
      <c r="C113" s="462" t="s">
        <v>3</v>
      </c>
      <c r="D113" s="462" t="str">
        <f>IFERROR(VLOOKUP([1]!Table1[[#This Row],[Mã công đoạn]],'[1]MA SO'!$B:$D,2,0),"")</f>
        <v/>
      </c>
      <c r="E113" s="463" t="str">
        <f>IFERROR(VLOOKUP([1]!Table1[[#This Row],[Mã công đoạn]],'[1]MA SO'!$B:$D,3,0),"")</f>
        <v/>
      </c>
      <c r="F113" s="461" t="s">
        <v>904</v>
      </c>
      <c r="G113" s="464"/>
      <c r="H113" s="464" t="s">
        <v>53</v>
      </c>
      <c r="I113" s="464"/>
      <c r="J113" s="464"/>
      <c r="K113" s="465" t="s">
        <v>554</v>
      </c>
      <c r="L113" s="466">
        <v>0.29166666666666669</v>
      </c>
      <c r="M113" s="466">
        <v>0.58333333333333337</v>
      </c>
      <c r="N113" s="467"/>
      <c r="O113" s="468">
        <v>0.29166666666666669</v>
      </c>
      <c r="P113" s="469"/>
      <c r="Q113" s="467"/>
      <c r="R11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13" s="471"/>
      <c r="T113" s="472">
        <v>38</v>
      </c>
      <c r="U113" s="472">
        <v>30</v>
      </c>
      <c r="V113" s="472"/>
      <c r="W113" s="473"/>
      <c r="X113" s="473"/>
      <c r="Y113" s="472"/>
    </row>
    <row r="114" spans="1:25">
      <c r="A114" s="461">
        <f t="shared" si="6"/>
        <v>2</v>
      </c>
      <c r="B114" s="474">
        <v>43524</v>
      </c>
      <c r="C114" s="462" t="s">
        <v>3</v>
      </c>
      <c r="D114" s="462" t="str">
        <f>IFERROR(VLOOKUP([1]!Table1[[#This Row],[Mã công đoạn]],'[1]MA SO'!$B:$D,2,0),"")</f>
        <v/>
      </c>
      <c r="E114" s="463" t="str">
        <f>IFERROR(VLOOKUP([1]!Table1[[#This Row],[Mã công đoạn]],'[1]MA SO'!$B:$D,3,0),"")</f>
        <v/>
      </c>
      <c r="F114" s="461" t="s">
        <v>904</v>
      </c>
      <c r="G114" s="464"/>
      <c r="H114" s="464" t="s">
        <v>65</v>
      </c>
      <c r="I114" s="464"/>
      <c r="J114" s="464" t="s">
        <v>558</v>
      </c>
      <c r="K114" s="465" t="s">
        <v>554</v>
      </c>
      <c r="L114" s="466">
        <v>0.29166666666666669</v>
      </c>
      <c r="M114" s="466">
        <v>0.58333333333333337</v>
      </c>
      <c r="N114" s="467"/>
      <c r="O114" s="468">
        <v>0.29166666666666669</v>
      </c>
      <c r="P114" s="469"/>
      <c r="Q114" s="467"/>
      <c r="R11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14" s="471"/>
      <c r="T114" s="472">
        <v>66</v>
      </c>
      <c r="U114" s="472"/>
      <c r="V114" s="472"/>
      <c r="W114" s="473"/>
      <c r="X114" s="473"/>
      <c r="Y114" s="472"/>
    </row>
    <row r="115" spans="1:25">
      <c r="A115" s="461">
        <f t="shared" si="6"/>
        <v>2</v>
      </c>
      <c r="B115" s="474">
        <v>43524</v>
      </c>
      <c r="C115" s="462" t="s">
        <v>3</v>
      </c>
      <c r="D115" s="462" t="str">
        <f>IFERROR(VLOOKUP([1]!Table1[[#This Row],[Mã công đoạn]],'[1]MA SO'!$B:$D,2,0),"")</f>
        <v/>
      </c>
      <c r="E115" s="463" t="str">
        <f>IFERROR(VLOOKUP([1]!Table1[[#This Row],[Mã công đoạn]],'[1]MA SO'!$B:$D,3,0),"")</f>
        <v/>
      </c>
      <c r="F115" s="461" t="s">
        <v>722</v>
      </c>
      <c r="G115" s="464"/>
      <c r="H115" s="464" t="s">
        <v>131</v>
      </c>
      <c r="I115" s="464"/>
      <c r="J115" s="464" t="s">
        <v>342</v>
      </c>
      <c r="K115" s="465" t="s">
        <v>554</v>
      </c>
      <c r="L115" s="466">
        <v>0.25</v>
      </c>
      <c r="M115" s="466">
        <v>0.3125</v>
      </c>
      <c r="N115" s="467"/>
      <c r="O115" s="468"/>
      <c r="P115" s="469"/>
      <c r="Q115" s="467"/>
      <c r="R11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6.25E-2</v>
      </c>
      <c r="S115" s="471">
        <v>7</v>
      </c>
      <c r="T115" s="472"/>
      <c r="U115" s="472"/>
      <c r="V115" s="472"/>
      <c r="W115" s="473"/>
      <c r="X115" s="473"/>
      <c r="Y115" s="472"/>
    </row>
    <row r="116" spans="1:25">
      <c r="A116" s="461">
        <f t="shared" si="6"/>
        <v>2</v>
      </c>
      <c r="B116" s="474">
        <v>43524</v>
      </c>
      <c r="C116" s="462" t="s">
        <v>3</v>
      </c>
      <c r="D116" s="462" t="str">
        <f>IFERROR(VLOOKUP([1]!Table1[[#This Row],[Mã công đoạn]],'[1]MA SO'!$B:$D,2,0),"")</f>
        <v/>
      </c>
      <c r="E116" s="463" t="str">
        <f>IFERROR(VLOOKUP([1]!Table1[[#This Row],[Mã công đoạn]],'[1]MA SO'!$B:$D,3,0),"")</f>
        <v/>
      </c>
      <c r="F116" s="461" t="s">
        <v>722</v>
      </c>
      <c r="G116" s="464"/>
      <c r="H116" s="464" t="s">
        <v>51</v>
      </c>
      <c r="I116" s="464"/>
      <c r="J116" s="464" t="s">
        <v>470</v>
      </c>
      <c r="K116" s="465" t="s">
        <v>554</v>
      </c>
      <c r="L116" s="466">
        <v>0.25</v>
      </c>
      <c r="M116" s="466">
        <v>0.3125</v>
      </c>
      <c r="N116" s="467">
        <v>6.9444444444444441E-3</v>
      </c>
      <c r="O116" s="468"/>
      <c r="P116" s="469"/>
      <c r="Q116" s="467"/>
      <c r="R11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5.5555555555555552E-2</v>
      </c>
      <c r="S116" s="471">
        <v>7</v>
      </c>
      <c r="T116" s="472">
        <v>37</v>
      </c>
      <c r="U116" s="472"/>
      <c r="V116" s="472"/>
      <c r="W116" s="473"/>
      <c r="X116" s="473"/>
      <c r="Y116" s="472"/>
    </row>
    <row r="117" spans="1:25">
      <c r="A117" s="461">
        <f t="shared" si="6"/>
        <v>2</v>
      </c>
      <c r="B117" s="474">
        <v>43524</v>
      </c>
      <c r="C117" s="462" t="s">
        <v>3</v>
      </c>
      <c r="D117" s="462" t="str">
        <f>IFERROR(VLOOKUP([1]!Table1[[#This Row],[Mã công đoạn]],'[1]MA SO'!$B:$D,2,0),"")</f>
        <v/>
      </c>
      <c r="E117" s="463" t="str">
        <f>IFERROR(VLOOKUP([1]!Table1[[#This Row],[Mã công đoạn]],'[1]MA SO'!$B:$D,3,0),"")</f>
        <v/>
      </c>
      <c r="F117" s="461" t="s">
        <v>713</v>
      </c>
      <c r="G117" s="464"/>
      <c r="H117" s="464" t="s">
        <v>115</v>
      </c>
      <c r="I117" s="464"/>
      <c r="J117" s="464" t="s">
        <v>366</v>
      </c>
      <c r="K117" s="465" t="s">
        <v>554</v>
      </c>
      <c r="L117" s="466">
        <v>0.31597222222222221</v>
      </c>
      <c r="M117" s="466">
        <v>0.47916666666666669</v>
      </c>
      <c r="N117" s="467">
        <v>6.9444444444444441E-3</v>
      </c>
      <c r="O117" s="468"/>
      <c r="P117" s="469"/>
      <c r="Q117" s="467"/>
      <c r="R11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0.15625000000000003</v>
      </c>
      <c r="S117" s="471"/>
      <c r="T117" s="472">
        <v>260</v>
      </c>
      <c r="U117" s="472"/>
      <c r="V117" s="472"/>
      <c r="W117" s="473"/>
      <c r="X117" s="473"/>
      <c r="Y117" s="472" t="s">
        <v>996</v>
      </c>
    </row>
    <row r="118" spans="1:25">
      <c r="A118" s="461">
        <f t="shared" si="6"/>
        <v>2</v>
      </c>
      <c r="B118" s="474">
        <v>43524</v>
      </c>
      <c r="C118" s="462" t="s">
        <v>3</v>
      </c>
      <c r="D118" s="462" t="str">
        <f>IFERROR(VLOOKUP([1]!Table1[[#This Row],[Mã công đoạn]],'[1]MA SO'!$B:$D,2,0),"")</f>
        <v/>
      </c>
      <c r="E118" s="463" t="str">
        <f>IFERROR(VLOOKUP([1]!Table1[[#This Row],[Mã công đoạn]],'[1]MA SO'!$B:$D,3,0),"")</f>
        <v/>
      </c>
      <c r="F118" s="461" t="s">
        <v>713</v>
      </c>
      <c r="G118" s="464"/>
      <c r="H118" s="464" t="s">
        <v>115</v>
      </c>
      <c r="I118" s="464"/>
      <c r="J118" s="464" t="s">
        <v>366</v>
      </c>
      <c r="K118" s="465" t="s">
        <v>555</v>
      </c>
      <c r="L118" s="466">
        <v>0.52083333333333337</v>
      </c>
      <c r="M118" s="466">
        <v>0.5625</v>
      </c>
      <c r="N118" s="467"/>
      <c r="O118" s="468"/>
      <c r="P118" s="469"/>
      <c r="Q118" s="467"/>
      <c r="R11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4.166666666666663E-2</v>
      </c>
      <c r="S118" s="471"/>
      <c r="T118" s="472"/>
      <c r="U118" s="472"/>
      <c r="V118" s="472"/>
      <c r="W118" s="473"/>
      <c r="X118" s="473"/>
      <c r="Y118" s="472" t="s">
        <v>996</v>
      </c>
    </row>
    <row r="119" spans="1:25">
      <c r="A119" s="461">
        <f t="shared" si="6"/>
        <v>2</v>
      </c>
      <c r="B119" s="474">
        <v>43524</v>
      </c>
      <c r="C119" s="462" t="s">
        <v>3</v>
      </c>
      <c r="D119" s="462" t="str">
        <f>IFERROR(VLOOKUP([1]!Table1[[#This Row],[Mã công đoạn]],'[1]MA SO'!$B:$D,2,0),"")</f>
        <v/>
      </c>
      <c r="E119" s="463" t="str">
        <f>IFERROR(VLOOKUP([1]!Table1[[#This Row],[Mã công đoạn]],'[1]MA SO'!$B:$D,3,0),"")</f>
        <v/>
      </c>
      <c r="F119" s="461" t="s">
        <v>713</v>
      </c>
      <c r="G119" s="464"/>
      <c r="H119" s="464" t="s">
        <v>115</v>
      </c>
      <c r="I119" s="464"/>
      <c r="J119" s="464" t="s">
        <v>366</v>
      </c>
      <c r="K119" s="465" t="s">
        <v>555</v>
      </c>
      <c r="L119" s="466">
        <v>0.5625</v>
      </c>
      <c r="M119" s="466">
        <v>0.67013888888888884</v>
      </c>
      <c r="N119" s="467"/>
      <c r="O119" s="468"/>
      <c r="P119" s="469"/>
      <c r="Q119" s="467"/>
      <c r="R11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0.10763888888888884</v>
      </c>
      <c r="S119" s="471"/>
      <c r="T119" s="472"/>
      <c r="U119" s="472"/>
      <c r="V119" s="472"/>
      <c r="W119" s="473"/>
      <c r="X119" s="473"/>
      <c r="Y119" s="472" t="s">
        <v>997</v>
      </c>
    </row>
    <row r="120" spans="1:25">
      <c r="A120" s="461">
        <f t="shared" si="6"/>
        <v>2</v>
      </c>
      <c r="B120" s="474">
        <v>43524</v>
      </c>
      <c r="C120" s="462" t="s">
        <v>3</v>
      </c>
      <c r="D120" s="462" t="str">
        <f>IFERROR(VLOOKUP([1]!Table1[[#This Row],[Mã công đoạn]],'[1]MA SO'!$B:$D,2,0),"")</f>
        <v/>
      </c>
      <c r="E120" s="463" t="str">
        <f>IFERROR(VLOOKUP([1]!Table1[[#This Row],[Mã công đoạn]],'[1]MA SO'!$B:$D,3,0),"")</f>
        <v/>
      </c>
      <c r="F120" s="461" t="s">
        <v>562</v>
      </c>
      <c r="G120" s="464"/>
      <c r="H120" s="464" t="s">
        <v>66</v>
      </c>
      <c r="I120" s="464"/>
      <c r="J120" s="464" t="s">
        <v>558</v>
      </c>
      <c r="K120" s="465" t="s">
        <v>554</v>
      </c>
      <c r="L120" s="466">
        <v>0.3125</v>
      </c>
      <c r="M120" s="466">
        <v>0.47916666666666669</v>
      </c>
      <c r="N120" s="467"/>
      <c r="O120" s="468"/>
      <c r="P120" s="469"/>
      <c r="Q120" s="467"/>
      <c r="R12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20" s="471"/>
      <c r="T120" s="472">
        <v>45</v>
      </c>
      <c r="U120" s="472"/>
      <c r="V120" s="472"/>
      <c r="W120" s="473"/>
      <c r="X120" s="473"/>
      <c r="Y120" s="472"/>
    </row>
    <row r="121" spans="1:25">
      <c r="A121" s="461">
        <f t="shared" si="6"/>
        <v>2</v>
      </c>
      <c r="B121" s="474">
        <v>43524</v>
      </c>
      <c r="C121" s="462" t="s">
        <v>3</v>
      </c>
      <c r="D121" s="462" t="str">
        <f>IFERROR(VLOOKUP([1]!Table1[[#This Row],[Mã công đoạn]],'[1]MA SO'!$B:$D,2,0),"")</f>
        <v/>
      </c>
      <c r="E121" s="463" t="str">
        <f>IFERROR(VLOOKUP([1]!Table1[[#This Row],[Mã công đoạn]],'[1]MA SO'!$B:$D,3,0),"")</f>
        <v/>
      </c>
      <c r="F121" s="461" t="s">
        <v>562</v>
      </c>
      <c r="G121" s="464"/>
      <c r="H121" s="464" t="s">
        <v>66</v>
      </c>
      <c r="I121" s="464"/>
      <c r="J121" s="464" t="s">
        <v>558</v>
      </c>
      <c r="K121" s="465" t="s">
        <v>555</v>
      </c>
      <c r="L121" s="466">
        <v>0.52083333333333337</v>
      </c>
      <c r="M121" s="466">
        <v>0.6875</v>
      </c>
      <c r="N121" s="467"/>
      <c r="O121" s="468"/>
      <c r="P121" s="469"/>
      <c r="Q121" s="467"/>
      <c r="R12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21" s="471"/>
      <c r="T121" s="472"/>
      <c r="U121" s="472"/>
      <c r="V121" s="472"/>
      <c r="W121" s="473"/>
      <c r="X121" s="473"/>
      <c r="Y121" s="472"/>
    </row>
    <row r="122" spans="1:25">
      <c r="A122" s="461">
        <f t="shared" si="6"/>
        <v>2</v>
      </c>
      <c r="B122" s="474">
        <v>43524</v>
      </c>
      <c r="C122" s="462" t="s">
        <v>3</v>
      </c>
      <c r="D122" s="462" t="str">
        <f>IFERROR(VLOOKUP([1]!Table1[[#This Row],[Mã công đoạn]],'[1]MA SO'!$B:$D,2,0),"")</f>
        <v/>
      </c>
      <c r="E122" s="463" t="str">
        <f>IFERROR(VLOOKUP([1]!Table1[[#This Row],[Mã công đoạn]],'[1]MA SO'!$B:$D,3,0),"")</f>
        <v/>
      </c>
      <c r="F122" s="461" t="s">
        <v>562</v>
      </c>
      <c r="G122" s="464"/>
      <c r="H122" s="464" t="s">
        <v>55</v>
      </c>
      <c r="I122" s="464"/>
      <c r="J122" s="464" t="s">
        <v>558</v>
      </c>
      <c r="K122" s="465" t="s">
        <v>554</v>
      </c>
      <c r="L122" s="466">
        <v>0.40972222222222227</v>
      </c>
      <c r="M122" s="466">
        <v>0.47916666666666669</v>
      </c>
      <c r="N122" s="467"/>
      <c r="O122" s="468"/>
      <c r="P122" s="469"/>
      <c r="Q122" s="467"/>
      <c r="R12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22" s="471"/>
      <c r="T122" s="472">
        <v>132</v>
      </c>
      <c r="U122" s="472"/>
      <c r="V122" s="472"/>
      <c r="W122" s="473"/>
      <c r="X122" s="473"/>
      <c r="Y122" s="472"/>
    </row>
    <row r="123" spans="1:25">
      <c r="A123" s="461">
        <f t="shared" si="6"/>
        <v>2</v>
      </c>
      <c r="B123" s="474">
        <v>43524</v>
      </c>
      <c r="C123" s="462" t="s">
        <v>3</v>
      </c>
      <c r="D123" s="462" t="str">
        <f>IFERROR(VLOOKUP([1]!Table1[[#This Row],[Mã công đoạn]],'[1]MA SO'!$B:$D,2,0),"")</f>
        <v/>
      </c>
      <c r="E123" s="463" t="str">
        <f>IFERROR(VLOOKUP([1]!Table1[[#This Row],[Mã công đoạn]],'[1]MA SO'!$B:$D,3,0),"")</f>
        <v/>
      </c>
      <c r="F123" s="461" t="s">
        <v>562</v>
      </c>
      <c r="G123" s="464"/>
      <c r="H123" s="464" t="s">
        <v>55</v>
      </c>
      <c r="I123" s="464"/>
      <c r="J123" s="464" t="s">
        <v>558</v>
      </c>
      <c r="K123" s="465" t="s">
        <v>555</v>
      </c>
      <c r="L123" s="466">
        <v>0.52083333333333337</v>
      </c>
      <c r="M123" s="466">
        <v>0.6875</v>
      </c>
      <c r="N123" s="467"/>
      <c r="O123" s="468"/>
      <c r="P123" s="469"/>
      <c r="Q123" s="467"/>
      <c r="R12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23" s="471"/>
      <c r="T123" s="472"/>
      <c r="U123" s="472"/>
      <c r="V123" s="472"/>
      <c r="W123" s="473"/>
      <c r="X123" s="473"/>
      <c r="Y123" s="472"/>
    </row>
    <row r="124" spans="1:25">
      <c r="A124" s="461">
        <f t="shared" si="6"/>
        <v>2</v>
      </c>
      <c r="B124" s="474">
        <v>43524</v>
      </c>
      <c r="C124" s="462" t="s">
        <v>3</v>
      </c>
      <c r="D124" s="462" t="str">
        <f>IFERROR(VLOOKUP([1]!Table1[[#This Row],[Mã công đoạn]],'[1]MA SO'!$B:$D,2,0),"")</f>
        <v/>
      </c>
      <c r="E124" s="463" t="str">
        <f>IFERROR(VLOOKUP([1]!Table1[[#This Row],[Mã công đoạn]],'[1]MA SO'!$B:$D,3,0),"")</f>
        <v/>
      </c>
      <c r="F124" s="461" t="s">
        <v>904</v>
      </c>
      <c r="G124" s="464"/>
      <c r="H124" s="464" t="s">
        <v>110</v>
      </c>
      <c r="I124" s="464"/>
      <c r="J124" s="464" t="s">
        <v>531</v>
      </c>
      <c r="K124" s="465" t="s">
        <v>554</v>
      </c>
      <c r="L124" s="466">
        <v>0.25</v>
      </c>
      <c r="M124" s="466">
        <v>0.58333333333333337</v>
      </c>
      <c r="N124" s="467"/>
      <c r="O124" s="468">
        <v>0.33333333333333331</v>
      </c>
      <c r="P124" s="469"/>
      <c r="Q124" s="467"/>
      <c r="R12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5.5511151231257827E-17</v>
      </c>
      <c r="S124" s="471"/>
      <c r="T124" s="472"/>
      <c r="U124" s="472"/>
      <c r="V124" s="472"/>
      <c r="W124" s="473"/>
      <c r="X124" s="473"/>
      <c r="Y124" s="472"/>
    </row>
    <row r="125" spans="1:25">
      <c r="A125" s="461">
        <f t="shared" si="6"/>
        <v>2</v>
      </c>
      <c r="B125" s="474">
        <v>43524</v>
      </c>
      <c r="C125" s="462" t="s">
        <v>3</v>
      </c>
      <c r="D125" s="462" t="str">
        <f>IFERROR(VLOOKUP([1]!Table1[[#This Row],[Mã công đoạn]],'[1]MA SO'!$B:$D,2,0),"")</f>
        <v/>
      </c>
      <c r="E125" s="463" t="str">
        <f>IFERROR(VLOOKUP([1]!Table1[[#This Row],[Mã công đoạn]],'[1]MA SO'!$B:$D,3,0),"")</f>
        <v/>
      </c>
      <c r="F125" s="461" t="s">
        <v>177</v>
      </c>
      <c r="G125" s="464"/>
      <c r="H125" s="464" t="s">
        <v>111</v>
      </c>
      <c r="I125" s="464"/>
      <c r="J125" s="464" t="s">
        <v>534</v>
      </c>
      <c r="K125" s="465" t="s">
        <v>554</v>
      </c>
      <c r="L125" s="466">
        <v>0.25</v>
      </c>
      <c r="M125" s="466">
        <v>0.41666666666666669</v>
      </c>
      <c r="N125" s="467">
        <v>6.9444444444444441E-3</v>
      </c>
      <c r="O125" s="468"/>
      <c r="P125" s="469"/>
      <c r="Q125" s="467"/>
      <c r="R12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0.15972222222222224</v>
      </c>
      <c r="S125" s="471"/>
      <c r="T125" s="472">
        <v>53</v>
      </c>
      <c r="U125" s="472"/>
      <c r="V125" s="472"/>
      <c r="W125" s="473"/>
      <c r="X125" s="473"/>
      <c r="Y125" s="472"/>
    </row>
    <row r="126" spans="1:25">
      <c r="A126" s="461">
        <f t="shared" si="6"/>
        <v>2</v>
      </c>
      <c r="B126" s="474">
        <v>43524</v>
      </c>
      <c r="C126" s="462" t="s">
        <v>3</v>
      </c>
      <c r="D126" s="462" t="str">
        <f>IFERROR(VLOOKUP([1]!Table1[[#This Row],[Mã công đoạn]],'[1]MA SO'!$B:$D,2,0),"")</f>
        <v/>
      </c>
      <c r="E126" s="463" t="str">
        <f>IFERROR(VLOOKUP([1]!Table1[[#This Row],[Mã công đoạn]],'[1]MA SO'!$B:$D,3,0),"")</f>
        <v/>
      </c>
      <c r="F126" s="461" t="s">
        <v>680</v>
      </c>
      <c r="G126" s="464"/>
      <c r="H126" s="464" t="s">
        <v>111</v>
      </c>
      <c r="I126" s="464"/>
      <c r="J126" s="464" t="s">
        <v>534</v>
      </c>
      <c r="K126" s="465" t="s">
        <v>554</v>
      </c>
      <c r="L126" s="466">
        <v>0.41666666666666669</v>
      </c>
      <c r="M126" s="466">
        <v>0.45833333333333331</v>
      </c>
      <c r="N126" s="467"/>
      <c r="O126" s="468"/>
      <c r="P126" s="469"/>
      <c r="Q126" s="467"/>
      <c r="R12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4.166666666666663E-2</v>
      </c>
      <c r="S126" s="471"/>
      <c r="T126" s="472"/>
      <c r="U126" s="472"/>
      <c r="V126" s="472"/>
      <c r="W126" s="473"/>
      <c r="X126" s="473"/>
      <c r="Y126" s="472"/>
    </row>
    <row r="127" spans="1:25">
      <c r="A127" s="461">
        <f t="shared" si="6"/>
        <v>2</v>
      </c>
      <c r="B127" s="474">
        <v>43524</v>
      </c>
      <c r="C127" s="462" t="s">
        <v>3</v>
      </c>
      <c r="D127" s="462" t="str">
        <f>IFERROR(VLOOKUP([1]!Table1[[#This Row],[Mã công đoạn]],'[1]MA SO'!$B:$D,2,0),"")</f>
        <v/>
      </c>
      <c r="E127" s="463" t="str">
        <f>IFERROR(VLOOKUP([1]!Table1[[#This Row],[Mã công đoạn]],'[1]MA SO'!$B:$D,3,0),"")</f>
        <v/>
      </c>
      <c r="F127" s="461" t="s">
        <v>175</v>
      </c>
      <c r="G127" s="464"/>
      <c r="H127" s="464" t="s">
        <v>111</v>
      </c>
      <c r="I127" s="464"/>
      <c r="J127" s="464" t="s">
        <v>534</v>
      </c>
      <c r="K127" s="465" t="s">
        <v>554</v>
      </c>
      <c r="L127" s="466">
        <v>0.47916666666666669</v>
      </c>
      <c r="M127" s="466">
        <v>0.58333333333333337</v>
      </c>
      <c r="N127" s="467"/>
      <c r="O127" s="468"/>
      <c r="P127" s="469"/>
      <c r="Q127" s="467"/>
      <c r="R12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127" s="471"/>
      <c r="T127" s="472"/>
      <c r="U127" s="472"/>
      <c r="V127" s="472"/>
      <c r="W127" s="473"/>
      <c r="X127" s="473"/>
      <c r="Y127" s="472"/>
    </row>
    <row r="128" spans="1:25">
      <c r="A128" s="461">
        <f t="shared" si="6"/>
        <v>2</v>
      </c>
      <c r="B128" s="474">
        <v>43524</v>
      </c>
      <c r="C128" s="462" t="s">
        <v>3</v>
      </c>
      <c r="D128" s="462" t="str">
        <f>IFERROR(VLOOKUP([1]!Table1[[#This Row],[Mã công đoạn]],'[1]MA SO'!$B:$D,2,0),"")</f>
        <v/>
      </c>
      <c r="E128" s="463" t="str">
        <f>IFERROR(VLOOKUP([1]!Table1[[#This Row],[Mã công đoạn]],'[1]MA SO'!$B:$D,3,0),"")</f>
        <v/>
      </c>
      <c r="F128" s="461" t="s">
        <v>175</v>
      </c>
      <c r="G128" s="464"/>
      <c r="H128" s="464" t="s">
        <v>994</v>
      </c>
      <c r="I128" s="464"/>
      <c r="J128" s="464" t="s">
        <v>531</v>
      </c>
      <c r="K128" s="465" t="s">
        <v>554</v>
      </c>
      <c r="L128" s="466">
        <v>0.47916666666666669</v>
      </c>
      <c r="M128" s="466">
        <v>0.58333333333333337</v>
      </c>
      <c r="N128" s="467"/>
      <c r="O128" s="468"/>
      <c r="P128" s="469"/>
      <c r="Q128" s="467"/>
      <c r="R12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128" s="471"/>
      <c r="T128" s="472"/>
      <c r="U128" s="472"/>
      <c r="V128" s="472"/>
      <c r="W128" s="473"/>
      <c r="X128" s="473"/>
      <c r="Y128" s="472"/>
    </row>
    <row r="129" spans="1:25">
      <c r="A129" s="461">
        <f t="shared" si="6"/>
        <v>2</v>
      </c>
      <c r="B129" s="474">
        <v>43524</v>
      </c>
      <c r="C129" s="462" t="s">
        <v>4</v>
      </c>
      <c r="D129" s="462" t="str">
        <f>IFERROR(VLOOKUP([1]!Table1[[#This Row],[Mã công đoạn]],'[1]MA SO'!$B:$D,2,0),"")</f>
        <v/>
      </c>
      <c r="E129" s="463" t="str">
        <f>IFERROR(VLOOKUP([1]!Table1[[#This Row],[Mã công đoạn]],'[1]MA SO'!$B:$D,3,0),"")</f>
        <v/>
      </c>
      <c r="F129" s="461" t="s">
        <v>904</v>
      </c>
      <c r="G129" s="464"/>
      <c r="H129" s="464" t="s">
        <v>110</v>
      </c>
      <c r="I129" s="464"/>
      <c r="J129" s="464" t="s">
        <v>543</v>
      </c>
      <c r="K129" s="465" t="s">
        <v>556</v>
      </c>
      <c r="L129" s="466">
        <v>0</v>
      </c>
      <c r="M129" s="466">
        <v>0</v>
      </c>
      <c r="N129" s="467"/>
      <c r="O129" s="468"/>
      <c r="P129" s="469"/>
      <c r="Q129" s="467"/>
      <c r="R12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29" s="471"/>
      <c r="T129" s="472"/>
      <c r="U129" s="472"/>
      <c r="V129" s="472"/>
      <c r="W129" s="473"/>
      <c r="X129" s="473"/>
      <c r="Y129" s="472"/>
    </row>
    <row r="130" spans="1:25">
      <c r="A130" s="461">
        <f t="shared" si="6"/>
        <v>2</v>
      </c>
      <c r="B130" s="474">
        <v>43524</v>
      </c>
      <c r="C130" s="462" t="s">
        <v>4</v>
      </c>
      <c r="D130" s="462" t="str">
        <f>IFERROR(VLOOKUP([1]!Table1[[#This Row],[Mã công đoạn]],'[1]MA SO'!$B:$D,2,0),"")</f>
        <v/>
      </c>
      <c r="E130" s="463" t="str">
        <f>IFERROR(VLOOKUP([1]!Table1[[#This Row],[Mã công đoạn]],'[1]MA SO'!$B:$D,3,0),"")</f>
        <v/>
      </c>
      <c r="F130" s="461" t="s">
        <v>175</v>
      </c>
      <c r="G130" s="464"/>
      <c r="H130" s="464" t="s">
        <v>111</v>
      </c>
      <c r="I130" s="464"/>
      <c r="J130" s="464" t="s">
        <v>343</v>
      </c>
      <c r="K130" s="465" t="s">
        <v>555</v>
      </c>
      <c r="L130" s="466">
        <v>0.58333333333333337</v>
      </c>
      <c r="M130" s="466">
        <v>0.66666666666666663</v>
      </c>
      <c r="N130" s="467"/>
      <c r="O130" s="468"/>
      <c r="P130" s="469"/>
      <c r="Q130" s="467"/>
      <c r="R13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8.3333333333333259E-2</v>
      </c>
      <c r="S130" s="471"/>
      <c r="T130" s="472"/>
      <c r="U130" s="472"/>
      <c r="V130" s="472"/>
      <c r="W130" s="473"/>
      <c r="X130" s="473"/>
      <c r="Y130" s="472"/>
    </row>
    <row r="131" spans="1:25">
      <c r="A131" s="461">
        <f t="shared" si="6"/>
        <v>2</v>
      </c>
      <c r="B131" s="474">
        <v>43524</v>
      </c>
      <c r="C131" s="462" t="s">
        <v>4</v>
      </c>
      <c r="D131" s="462" t="str">
        <f>IFERROR(VLOOKUP([1]!Table1[[#This Row],[Mã công đoạn]],'[1]MA SO'!$B:$D,2,0),"")</f>
        <v/>
      </c>
      <c r="E131" s="463" t="str">
        <f>IFERROR(VLOOKUP([1]!Table1[[#This Row],[Mã công đoạn]],'[1]MA SO'!$B:$D,3,0),"")</f>
        <v/>
      </c>
      <c r="F131" s="461" t="s">
        <v>175</v>
      </c>
      <c r="G131" s="464"/>
      <c r="H131" s="464" t="s">
        <v>111</v>
      </c>
      <c r="I131" s="464"/>
      <c r="J131" s="464" t="s">
        <v>343</v>
      </c>
      <c r="K131" s="465" t="s">
        <v>556</v>
      </c>
      <c r="L131" s="466">
        <v>0.6875</v>
      </c>
      <c r="M131" s="466">
        <v>0.8125</v>
      </c>
      <c r="N131" s="467"/>
      <c r="O131" s="468"/>
      <c r="P131" s="469"/>
      <c r="Q131" s="467"/>
      <c r="R13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0.125</v>
      </c>
      <c r="S131" s="471"/>
      <c r="T131" s="472"/>
      <c r="U131" s="472"/>
      <c r="V131" s="472"/>
      <c r="W131" s="473"/>
      <c r="X131" s="473"/>
      <c r="Y131" s="472"/>
    </row>
    <row r="132" spans="1:25">
      <c r="A132" s="461">
        <f t="shared" ref="A132:A163" si="7">MONTH(B132)</f>
        <v>2</v>
      </c>
      <c r="B132" s="474">
        <v>43524</v>
      </c>
      <c r="C132" s="462" t="s">
        <v>4</v>
      </c>
      <c r="D132" s="462" t="str">
        <f>IFERROR(VLOOKUP([1]!Table1[[#This Row],[Mã công đoạn]],'[1]MA SO'!$B:$D,2,0),"")</f>
        <v/>
      </c>
      <c r="E132" s="463" t="str">
        <f>IFERROR(VLOOKUP([1]!Table1[[#This Row],[Mã công đoạn]],'[1]MA SO'!$B:$D,3,0),"")</f>
        <v/>
      </c>
      <c r="F132" s="461" t="s">
        <v>175</v>
      </c>
      <c r="G132" s="464"/>
      <c r="H132" s="464" t="s">
        <v>994</v>
      </c>
      <c r="I132" s="464"/>
      <c r="J132" s="464" t="s">
        <v>543</v>
      </c>
      <c r="K132" s="465" t="s">
        <v>555</v>
      </c>
      <c r="L132" s="466">
        <v>0.58333333333333337</v>
      </c>
      <c r="M132" s="466">
        <v>0.66666666666666663</v>
      </c>
      <c r="N132" s="467"/>
      <c r="O132" s="468"/>
      <c r="P132" s="469"/>
      <c r="Q132" s="467"/>
      <c r="R13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8.3333333333333259E-2</v>
      </c>
      <c r="S132" s="471"/>
      <c r="T132" s="472"/>
      <c r="U132" s="472"/>
      <c r="V132" s="472"/>
      <c r="W132" s="473"/>
      <c r="X132" s="473"/>
      <c r="Y132" s="472"/>
    </row>
    <row r="133" spans="1:25">
      <c r="A133" s="461">
        <f t="shared" si="7"/>
        <v>2</v>
      </c>
      <c r="B133" s="474">
        <v>43524</v>
      </c>
      <c r="C133" s="462" t="s">
        <v>4</v>
      </c>
      <c r="D133" s="462" t="str">
        <f>IFERROR(VLOOKUP([1]!Table1[[#This Row],[Mã công đoạn]],'[1]MA SO'!$B:$D,2,0),"")</f>
        <v/>
      </c>
      <c r="E133" s="463" t="str">
        <f>IFERROR(VLOOKUP([1]!Table1[[#This Row],[Mã công đoạn]],'[1]MA SO'!$B:$D,3,0),"")</f>
        <v/>
      </c>
      <c r="F133" s="461" t="s">
        <v>175</v>
      </c>
      <c r="G133" s="464"/>
      <c r="H133" s="464" t="s">
        <v>994</v>
      </c>
      <c r="I133" s="464"/>
      <c r="J133" s="464" t="s">
        <v>543</v>
      </c>
      <c r="K133" s="465" t="s">
        <v>556</v>
      </c>
      <c r="L133" s="466">
        <v>0.6875</v>
      </c>
      <c r="M133" s="466">
        <v>0.8125</v>
      </c>
      <c r="N133" s="467"/>
      <c r="O133" s="468"/>
      <c r="P133" s="469"/>
      <c r="Q133" s="467"/>
      <c r="R13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0.125</v>
      </c>
      <c r="S133" s="471"/>
      <c r="T133" s="472"/>
      <c r="U133" s="472"/>
      <c r="V133" s="472"/>
      <c r="W133" s="473"/>
      <c r="X133" s="473"/>
      <c r="Y133" s="472"/>
    </row>
    <row r="134" spans="1:25">
      <c r="A134" s="461">
        <f t="shared" si="7"/>
        <v>2</v>
      </c>
      <c r="B134" s="474">
        <v>43524</v>
      </c>
      <c r="C134" s="462" t="s">
        <v>4</v>
      </c>
      <c r="D134" s="462" t="str">
        <f>IFERROR(VLOOKUP([1]!Table1[[#This Row],[Mã công đoạn]],'[1]MA SO'!$B:$D,2,0),"")</f>
        <v/>
      </c>
      <c r="E134" s="463" t="str">
        <f>IFERROR(VLOOKUP([1]!Table1[[#This Row],[Mã công đoạn]],'[1]MA SO'!$B:$D,3,0),"")</f>
        <v/>
      </c>
      <c r="F134" s="461" t="s">
        <v>177</v>
      </c>
      <c r="G134" s="464"/>
      <c r="H134" s="464" t="s">
        <v>111</v>
      </c>
      <c r="I134" s="464"/>
      <c r="J134" s="464" t="s">
        <v>343</v>
      </c>
      <c r="K134" s="465" t="s">
        <v>556</v>
      </c>
      <c r="L134" s="466">
        <v>0.8125</v>
      </c>
      <c r="M134" s="466">
        <v>0.91666666666666663</v>
      </c>
      <c r="N134" s="467"/>
      <c r="O134" s="468"/>
      <c r="P134" s="469"/>
      <c r="Q134" s="467"/>
      <c r="R13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34" s="471"/>
      <c r="T134" s="472"/>
      <c r="U134" s="472"/>
      <c r="V134" s="472"/>
      <c r="W134" s="473"/>
      <c r="X134" s="473"/>
      <c r="Y134" s="472"/>
    </row>
    <row r="135" spans="1:25">
      <c r="A135" s="461">
        <f t="shared" si="7"/>
        <v>2</v>
      </c>
      <c r="B135" s="474">
        <v>43524</v>
      </c>
      <c r="C135" s="462" t="s">
        <v>3</v>
      </c>
      <c r="D135" s="462" t="str">
        <f>IFERROR(VLOOKUP([1]!Table1[[#This Row],[Mã công đoạn]],'[1]MA SO'!$B:$D,2,0),"")</f>
        <v/>
      </c>
      <c r="E135" s="463" t="str">
        <f>IFERROR(VLOOKUP([1]!Table1[[#This Row],[Mã công đoạn]],'[1]MA SO'!$B:$D,3,0),"")</f>
        <v/>
      </c>
      <c r="F135" s="461" t="s">
        <v>202</v>
      </c>
      <c r="G135" s="464"/>
      <c r="H135" s="464" t="s">
        <v>56</v>
      </c>
      <c r="I135" s="464" t="s">
        <v>789</v>
      </c>
      <c r="J135" s="464" t="s">
        <v>473</v>
      </c>
      <c r="K135" s="465" t="s">
        <v>554</v>
      </c>
      <c r="L135" s="466">
        <v>0.3125</v>
      </c>
      <c r="M135" s="466">
        <v>0.40972222222222227</v>
      </c>
      <c r="N135" s="467">
        <v>6.9444444444444441E-3</v>
      </c>
      <c r="O135" s="468"/>
      <c r="P135" s="469"/>
      <c r="Q135" s="467"/>
      <c r="R13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9.0277777777777818E-2</v>
      </c>
      <c r="S135" s="471"/>
      <c r="T135" s="472">
        <v>30</v>
      </c>
      <c r="U135" s="472"/>
      <c r="V135" s="472"/>
      <c r="W135" s="473"/>
      <c r="X135" s="473"/>
      <c r="Y135" s="472"/>
    </row>
    <row r="136" spans="1:25">
      <c r="A136" s="461">
        <f t="shared" si="7"/>
        <v>2</v>
      </c>
      <c r="B136" s="474">
        <v>43524</v>
      </c>
      <c r="C136" s="462" t="s">
        <v>3</v>
      </c>
      <c r="D136" s="462" t="str">
        <f>IFERROR(VLOOKUP([1]!Table1[[#This Row],[Mã công đoạn]],'[1]MA SO'!$B:$D,2,0),"")</f>
        <v/>
      </c>
      <c r="E136" s="463" t="str">
        <f>IFERROR(VLOOKUP([1]!Table1[[#This Row],[Mã công đoạn]],'[1]MA SO'!$B:$D,3,0),"")</f>
        <v/>
      </c>
      <c r="F136" s="461" t="s">
        <v>202</v>
      </c>
      <c r="G136" s="464"/>
      <c r="H136" s="464"/>
      <c r="I136" s="464" t="s">
        <v>789</v>
      </c>
      <c r="J136" s="464" t="s">
        <v>525</v>
      </c>
      <c r="K136" s="465" t="s">
        <v>554</v>
      </c>
      <c r="L136" s="466">
        <v>0.3125</v>
      </c>
      <c r="M136" s="466">
        <v>0.40972222222222227</v>
      </c>
      <c r="N136" s="467"/>
      <c r="O136" s="468"/>
      <c r="P136" s="469"/>
      <c r="Q136" s="467"/>
      <c r="R13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36" s="471"/>
      <c r="T136" s="472"/>
      <c r="U136" s="472"/>
      <c r="V136" s="472"/>
      <c r="W136" s="473"/>
      <c r="X136" s="473"/>
      <c r="Y136" s="472"/>
    </row>
    <row r="137" spans="1:25">
      <c r="A137" s="461">
        <f t="shared" si="7"/>
        <v>2</v>
      </c>
      <c r="B137" s="474">
        <v>43524</v>
      </c>
      <c r="C137" s="462" t="s">
        <v>3</v>
      </c>
      <c r="D137" s="462" t="str">
        <f>IFERROR(VLOOKUP([1]!Table1[[#This Row],[Mã công đoạn]],'[1]MA SO'!$B:$D,2,0),"")</f>
        <v/>
      </c>
      <c r="E137" s="463" t="str">
        <f>IFERROR(VLOOKUP([1]!Table1[[#This Row],[Mã công đoạn]],'[1]MA SO'!$B:$D,3,0),"")</f>
        <v/>
      </c>
      <c r="F137" s="461" t="s">
        <v>202</v>
      </c>
      <c r="G137" s="464"/>
      <c r="H137" s="464"/>
      <c r="I137" s="464" t="s">
        <v>789</v>
      </c>
      <c r="J137" s="464" t="s">
        <v>519</v>
      </c>
      <c r="K137" s="465" t="s">
        <v>554</v>
      </c>
      <c r="L137" s="466">
        <v>0.3125</v>
      </c>
      <c r="M137" s="466">
        <v>0.40972222222222227</v>
      </c>
      <c r="N137" s="467"/>
      <c r="O137" s="468"/>
      <c r="P137" s="469"/>
      <c r="Q137" s="467"/>
      <c r="R13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37" s="471"/>
      <c r="T137" s="472"/>
      <c r="U137" s="472"/>
      <c r="V137" s="472"/>
      <c r="W137" s="473"/>
      <c r="X137" s="473"/>
      <c r="Y137" s="472"/>
    </row>
    <row r="138" spans="1:25">
      <c r="A138" s="461">
        <f t="shared" si="7"/>
        <v>2</v>
      </c>
      <c r="B138" s="474">
        <v>43524</v>
      </c>
      <c r="C138" s="462" t="s">
        <v>3</v>
      </c>
      <c r="D138" s="462" t="str">
        <f>IFERROR(VLOOKUP([1]!Table1[[#This Row],[Mã công đoạn]],'[1]MA SO'!$B:$D,2,0),"")</f>
        <v/>
      </c>
      <c r="E138" s="463" t="str">
        <f>IFERROR(VLOOKUP([1]!Table1[[#This Row],[Mã công đoạn]],'[1]MA SO'!$B:$D,3,0),"")</f>
        <v/>
      </c>
      <c r="F138" s="461" t="s">
        <v>202</v>
      </c>
      <c r="G138" s="464"/>
      <c r="H138" s="464"/>
      <c r="I138" s="464" t="s">
        <v>789</v>
      </c>
      <c r="J138" s="464" t="s">
        <v>524</v>
      </c>
      <c r="K138" s="465" t="s">
        <v>554</v>
      </c>
      <c r="L138" s="466">
        <v>0.3125</v>
      </c>
      <c r="M138" s="466">
        <v>0.40972222222222227</v>
      </c>
      <c r="N138" s="467"/>
      <c r="O138" s="468"/>
      <c r="P138" s="469"/>
      <c r="Q138" s="467"/>
      <c r="R13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38" s="471"/>
      <c r="T138" s="472"/>
      <c r="U138" s="472"/>
      <c r="V138" s="472"/>
      <c r="W138" s="473"/>
      <c r="X138" s="473"/>
      <c r="Y138" s="472"/>
    </row>
    <row r="139" spans="1:25">
      <c r="A139" s="461">
        <f t="shared" si="7"/>
        <v>2</v>
      </c>
      <c r="B139" s="474">
        <v>43524</v>
      </c>
      <c r="C139" s="462" t="s">
        <v>3</v>
      </c>
      <c r="D139" s="462" t="str">
        <f>IFERROR(VLOOKUP([1]!Table1[[#This Row],[Mã công đoạn]],'[1]MA SO'!$B:$D,2,0),"")</f>
        <v/>
      </c>
      <c r="E139" s="463" t="str">
        <f>IFERROR(VLOOKUP([1]!Table1[[#This Row],[Mã công đoạn]],'[1]MA SO'!$B:$D,3,0),"")</f>
        <v/>
      </c>
      <c r="F139" s="461" t="s">
        <v>202</v>
      </c>
      <c r="G139" s="464"/>
      <c r="H139" s="464"/>
      <c r="I139" s="464" t="s">
        <v>789</v>
      </c>
      <c r="J139" s="464" t="s">
        <v>527</v>
      </c>
      <c r="K139" s="465" t="s">
        <v>554</v>
      </c>
      <c r="L139" s="466">
        <v>0.3125</v>
      </c>
      <c r="M139" s="466">
        <v>0.40972222222222227</v>
      </c>
      <c r="N139" s="467"/>
      <c r="O139" s="468"/>
      <c r="P139" s="469"/>
      <c r="Q139" s="467"/>
      <c r="R13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39" s="471"/>
      <c r="T139" s="472"/>
      <c r="U139" s="472"/>
      <c r="V139" s="472"/>
      <c r="W139" s="473"/>
      <c r="X139" s="473"/>
      <c r="Y139" s="472"/>
    </row>
    <row r="140" spans="1:25">
      <c r="A140" s="461">
        <f t="shared" si="7"/>
        <v>2</v>
      </c>
      <c r="B140" s="474">
        <v>43524</v>
      </c>
      <c r="C140" s="462" t="s">
        <v>3</v>
      </c>
      <c r="D140" s="462" t="str">
        <f>IFERROR(VLOOKUP([1]!Table1[[#This Row],[Mã công đoạn]],'[1]MA SO'!$B:$D,2,0),"")</f>
        <v/>
      </c>
      <c r="E140" s="463" t="str">
        <f>IFERROR(VLOOKUP([1]!Table1[[#This Row],[Mã công đoạn]],'[1]MA SO'!$B:$D,3,0),"")</f>
        <v/>
      </c>
      <c r="F140" s="461" t="s">
        <v>202</v>
      </c>
      <c r="G140" s="464"/>
      <c r="H140" s="464"/>
      <c r="I140" s="464" t="s">
        <v>789</v>
      </c>
      <c r="J140" s="464" t="s">
        <v>526</v>
      </c>
      <c r="K140" s="465" t="s">
        <v>554</v>
      </c>
      <c r="L140" s="466">
        <v>0.3125</v>
      </c>
      <c r="M140" s="466">
        <v>0.40972222222222227</v>
      </c>
      <c r="N140" s="467"/>
      <c r="O140" s="468"/>
      <c r="P140" s="469"/>
      <c r="Q140" s="467"/>
      <c r="R14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40" s="471"/>
      <c r="T140" s="472"/>
      <c r="U140" s="472"/>
      <c r="V140" s="472"/>
      <c r="W140" s="473"/>
      <c r="X140" s="473"/>
      <c r="Y140" s="472"/>
    </row>
    <row r="141" spans="1:25">
      <c r="A141" s="461">
        <f t="shared" si="7"/>
        <v>2</v>
      </c>
      <c r="B141" s="474">
        <v>43524</v>
      </c>
      <c r="C141" s="462" t="s">
        <v>3</v>
      </c>
      <c r="D141" s="462" t="str">
        <f>IFERROR(VLOOKUP([1]!Table1[[#This Row],[Mã công đoạn]],'[1]MA SO'!$B:$D,2,0),"")</f>
        <v/>
      </c>
      <c r="E141" s="463" t="str">
        <f>IFERROR(VLOOKUP([1]!Table1[[#This Row],[Mã công đoạn]],'[1]MA SO'!$B:$D,3,0),"")</f>
        <v/>
      </c>
      <c r="F141" s="461" t="s">
        <v>202</v>
      </c>
      <c r="G141" s="464"/>
      <c r="H141" s="464"/>
      <c r="I141" s="464" t="s">
        <v>789</v>
      </c>
      <c r="J141" s="464" t="s">
        <v>528</v>
      </c>
      <c r="K141" s="465" t="s">
        <v>554</v>
      </c>
      <c r="L141" s="466">
        <v>0.3125</v>
      </c>
      <c r="M141" s="466">
        <v>0.40972222222222227</v>
      </c>
      <c r="N141" s="467"/>
      <c r="O141" s="468"/>
      <c r="P141" s="469"/>
      <c r="Q141" s="467"/>
      <c r="R14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41" s="471"/>
      <c r="T141" s="472"/>
      <c r="U141" s="472"/>
      <c r="V141" s="472"/>
      <c r="W141" s="473"/>
      <c r="X141" s="473"/>
      <c r="Y141" s="472"/>
    </row>
    <row r="142" spans="1:25">
      <c r="A142" s="461">
        <f t="shared" si="7"/>
        <v>2</v>
      </c>
      <c r="B142" s="474">
        <v>43524</v>
      </c>
      <c r="C142" s="462" t="s">
        <v>3</v>
      </c>
      <c r="D142" s="462" t="str">
        <f>IFERROR(VLOOKUP([1]!Table1[[#This Row],[Mã công đoạn]],'[1]MA SO'!$B:$D,2,0),"")</f>
        <v/>
      </c>
      <c r="E142" s="463" t="str">
        <f>IFERROR(VLOOKUP([1]!Table1[[#This Row],[Mã công đoạn]],'[1]MA SO'!$B:$D,3,0),"")</f>
        <v/>
      </c>
      <c r="F142" s="461" t="s">
        <v>202</v>
      </c>
      <c r="G142" s="464"/>
      <c r="H142" s="464"/>
      <c r="I142" s="464" t="s">
        <v>789</v>
      </c>
      <c r="J142" s="464" t="s">
        <v>521</v>
      </c>
      <c r="K142" s="465" t="s">
        <v>554</v>
      </c>
      <c r="L142" s="466">
        <v>0.3125</v>
      </c>
      <c r="M142" s="466">
        <v>0.40972222222222227</v>
      </c>
      <c r="N142" s="467"/>
      <c r="O142" s="468"/>
      <c r="P142" s="469"/>
      <c r="Q142" s="467"/>
      <c r="R14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42" s="471"/>
      <c r="T142" s="472"/>
      <c r="U142" s="472"/>
      <c r="V142" s="472"/>
      <c r="W142" s="473"/>
      <c r="X142" s="473"/>
      <c r="Y142" s="472"/>
    </row>
    <row r="143" spans="1:25">
      <c r="A143" s="461">
        <f t="shared" si="7"/>
        <v>2</v>
      </c>
      <c r="B143" s="474">
        <v>43524</v>
      </c>
      <c r="C143" s="462" t="s">
        <v>3</v>
      </c>
      <c r="D143" s="462" t="str">
        <f>IFERROR(VLOOKUP([1]!Table1[[#This Row],[Mã công đoạn]],'[1]MA SO'!$B:$D,2,0),"")</f>
        <v/>
      </c>
      <c r="E143" s="463" t="str">
        <f>IFERROR(VLOOKUP([1]!Table1[[#This Row],[Mã công đoạn]],'[1]MA SO'!$B:$D,3,0),"")</f>
        <v/>
      </c>
      <c r="F143" s="461" t="s">
        <v>701</v>
      </c>
      <c r="G143" s="464"/>
      <c r="H143" s="464" t="s">
        <v>56</v>
      </c>
      <c r="I143" s="464"/>
      <c r="J143" s="464" t="s">
        <v>473</v>
      </c>
      <c r="K143" s="465" t="s">
        <v>554</v>
      </c>
      <c r="L143" s="466">
        <v>0.40972222222222227</v>
      </c>
      <c r="M143" s="466">
        <v>0.47916666666666669</v>
      </c>
      <c r="N143" s="467"/>
      <c r="O143" s="468"/>
      <c r="P143" s="469"/>
      <c r="Q143" s="467"/>
      <c r="R14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3" s="471"/>
      <c r="T143" s="472"/>
      <c r="U143" s="472"/>
      <c r="V143" s="472"/>
      <c r="W143" s="473"/>
      <c r="X143" s="473"/>
      <c r="Y143" s="472"/>
    </row>
    <row r="144" spans="1:25">
      <c r="A144" s="461">
        <f t="shared" si="7"/>
        <v>2</v>
      </c>
      <c r="B144" s="474">
        <v>43524</v>
      </c>
      <c r="C144" s="462" t="s">
        <v>3</v>
      </c>
      <c r="D144" s="462" t="str">
        <f>IFERROR(VLOOKUP([1]!Table1[[#This Row],[Mã công đoạn]],'[1]MA SO'!$B:$D,2,0),"")</f>
        <v/>
      </c>
      <c r="E144" s="463" t="str">
        <f>IFERROR(VLOOKUP([1]!Table1[[#This Row],[Mã công đoạn]],'[1]MA SO'!$B:$D,3,0),"")</f>
        <v/>
      </c>
      <c r="F144" s="461" t="s">
        <v>701</v>
      </c>
      <c r="G144" s="464"/>
      <c r="H144" s="464" t="s">
        <v>56</v>
      </c>
      <c r="I144" s="464"/>
      <c r="J144" s="464" t="s">
        <v>473</v>
      </c>
      <c r="K144" s="465" t="s">
        <v>555</v>
      </c>
      <c r="L144" s="466">
        <v>0.52083333333333337</v>
      </c>
      <c r="M144" s="466">
        <v>0.6875</v>
      </c>
      <c r="N144" s="467"/>
      <c r="O144" s="468"/>
      <c r="P144" s="469"/>
      <c r="Q144" s="467"/>
      <c r="R14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44" s="471"/>
      <c r="T144" s="472"/>
      <c r="U144" s="472"/>
      <c r="V144" s="472"/>
      <c r="W144" s="473"/>
      <c r="X144" s="473"/>
      <c r="Y144" s="472"/>
    </row>
    <row r="145" spans="1:25">
      <c r="A145" s="461">
        <f t="shared" si="7"/>
        <v>2</v>
      </c>
      <c r="B145" s="474">
        <v>43524</v>
      </c>
      <c r="C145" s="462" t="s">
        <v>3</v>
      </c>
      <c r="D145" s="462" t="str">
        <f>IFERROR(VLOOKUP([1]!Table1[[#This Row],[Mã công đoạn]],'[1]MA SO'!$B:$D,2,0),"")</f>
        <v/>
      </c>
      <c r="E145" s="463" t="str">
        <f>IFERROR(VLOOKUP([1]!Table1[[#This Row],[Mã công đoạn]],'[1]MA SO'!$B:$D,3,0),"")</f>
        <v/>
      </c>
      <c r="F145" s="461" t="s">
        <v>701</v>
      </c>
      <c r="G145" s="464"/>
      <c r="H145" s="464"/>
      <c r="I145" s="464"/>
      <c r="J145" s="464" t="s">
        <v>527</v>
      </c>
      <c r="K145" s="465" t="s">
        <v>554</v>
      </c>
      <c r="L145" s="466">
        <v>0.40972222222222227</v>
      </c>
      <c r="M145" s="466">
        <v>0.47916666666666669</v>
      </c>
      <c r="N145" s="467"/>
      <c r="O145" s="468"/>
      <c r="P145" s="469"/>
      <c r="Q145" s="467"/>
      <c r="R14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5" s="471"/>
      <c r="T145" s="472"/>
      <c r="U145" s="472"/>
      <c r="V145" s="472"/>
      <c r="W145" s="473"/>
      <c r="X145" s="473"/>
      <c r="Y145" s="472"/>
    </row>
    <row r="146" spans="1:25">
      <c r="A146" s="461">
        <f t="shared" si="7"/>
        <v>2</v>
      </c>
      <c r="B146" s="474">
        <v>43524</v>
      </c>
      <c r="C146" s="462" t="s">
        <v>3</v>
      </c>
      <c r="D146" s="462" t="str">
        <f>IFERROR(VLOOKUP([1]!Table1[[#This Row],[Mã công đoạn]],'[1]MA SO'!$B:$D,2,0),"")</f>
        <v/>
      </c>
      <c r="E146" s="463" t="str">
        <f>IFERROR(VLOOKUP([1]!Table1[[#This Row],[Mã công đoạn]],'[1]MA SO'!$B:$D,3,0),"")</f>
        <v/>
      </c>
      <c r="F146" s="461" t="s">
        <v>701</v>
      </c>
      <c r="G146" s="464"/>
      <c r="H146" s="464"/>
      <c r="I146" s="464"/>
      <c r="J146" s="464" t="s">
        <v>526</v>
      </c>
      <c r="K146" s="465" t="s">
        <v>554</v>
      </c>
      <c r="L146" s="466">
        <v>0.40972222222222227</v>
      </c>
      <c r="M146" s="466">
        <v>0.47916666666666669</v>
      </c>
      <c r="N146" s="467"/>
      <c r="O146" s="468"/>
      <c r="P146" s="469"/>
      <c r="Q146" s="467"/>
      <c r="R14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6" s="471"/>
      <c r="T146" s="472"/>
      <c r="U146" s="472"/>
      <c r="V146" s="472"/>
      <c r="W146" s="473"/>
      <c r="X146" s="473"/>
      <c r="Y146" s="472"/>
    </row>
    <row r="147" spans="1:25">
      <c r="A147" s="461">
        <f t="shared" si="7"/>
        <v>2</v>
      </c>
      <c r="B147" s="474">
        <v>43524</v>
      </c>
      <c r="C147" s="462" t="s">
        <v>3</v>
      </c>
      <c r="D147" s="462" t="str">
        <f>IFERROR(VLOOKUP([1]!Table1[[#This Row],[Mã công đoạn]],'[1]MA SO'!$B:$D,2,0),"")</f>
        <v/>
      </c>
      <c r="E147" s="463" t="str">
        <f>IFERROR(VLOOKUP([1]!Table1[[#This Row],[Mã công đoạn]],'[1]MA SO'!$B:$D,3,0),"")</f>
        <v/>
      </c>
      <c r="F147" s="461" t="s">
        <v>701</v>
      </c>
      <c r="G147" s="464"/>
      <c r="H147" s="464"/>
      <c r="I147" s="464"/>
      <c r="J147" s="464" t="s">
        <v>528</v>
      </c>
      <c r="K147" s="465" t="s">
        <v>554</v>
      </c>
      <c r="L147" s="466">
        <v>0.40972222222222227</v>
      </c>
      <c r="M147" s="466">
        <v>0.47916666666666669</v>
      </c>
      <c r="N147" s="467"/>
      <c r="O147" s="468"/>
      <c r="P147" s="469"/>
      <c r="Q147" s="467"/>
      <c r="R14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7" s="471"/>
      <c r="T147" s="472"/>
      <c r="U147" s="472"/>
      <c r="V147" s="472"/>
      <c r="W147" s="473"/>
      <c r="X147" s="473"/>
      <c r="Y147" s="472"/>
    </row>
    <row r="148" spans="1:25">
      <c r="A148" s="461">
        <f t="shared" si="7"/>
        <v>2</v>
      </c>
      <c r="B148" s="474">
        <v>43524</v>
      </c>
      <c r="C148" s="462" t="s">
        <v>3</v>
      </c>
      <c r="D148" s="462" t="str">
        <f>IFERROR(VLOOKUP([1]!Table1[[#This Row],[Mã công đoạn]],'[1]MA SO'!$B:$D,2,0),"")</f>
        <v/>
      </c>
      <c r="E148" s="463" t="str">
        <f>IFERROR(VLOOKUP([1]!Table1[[#This Row],[Mã công đoạn]],'[1]MA SO'!$B:$D,3,0),"")</f>
        <v/>
      </c>
      <c r="F148" s="461" t="s">
        <v>701</v>
      </c>
      <c r="G148" s="464"/>
      <c r="H148" s="464"/>
      <c r="I148" s="464"/>
      <c r="J148" s="464" t="s">
        <v>521</v>
      </c>
      <c r="K148" s="465" t="s">
        <v>554</v>
      </c>
      <c r="L148" s="466">
        <v>0.40972222222222227</v>
      </c>
      <c r="M148" s="466">
        <v>0.47916666666666669</v>
      </c>
      <c r="N148" s="467"/>
      <c r="O148" s="468"/>
      <c r="P148" s="469"/>
      <c r="Q148" s="467"/>
      <c r="R14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48" s="471"/>
      <c r="T148" s="472"/>
      <c r="U148" s="472"/>
      <c r="V148" s="472"/>
      <c r="W148" s="473"/>
      <c r="X148" s="473"/>
      <c r="Y148" s="472"/>
    </row>
    <row r="149" spans="1:25">
      <c r="A149" s="461">
        <f t="shared" si="7"/>
        <v>2</v>
      </c>
      <c r="B149" s="474">
        <v>43524</v>
      </c>
      <c r="C149" s="462" t="s">
        <v>3</v>
      </c>
      <c r="D149" s="462" t="str">
        <f>IFERROR(VLOOKUP([1]!Table1[[#This Row],[Mã công đoạn]],'[1]MA SO'!$B:$D,2,0),"")</f>
        <v/>
      </c>
      <c r="E149" s="463" t="str">
        <f>IFERROR(VLOOKUP([1]!Table1[[#This Row],[Mã công đoạn]],'[1]MA SO'!$B:$D,3,0),"")</f>
        <v/>
      </c>
      <c r="F149" s="461" t="s">
        <v>701</v>
      </c>
      <c r="G149" s="464"/>
      <c r="H149" s="464"/>
      <c r="I149" s="464"/>
      <c r="J149" s="464" t="s">
        <v>527</v>
      </c>
      <c r="K149" s="465" t="s">
        <v>555</v>
      </c>
      <c r="L149" s="466">
        <v>0.52083333333333337</v>
      </c>
      <c r="M149" s="466">
        <v>0.6875</v>
      </c>
      <c r="N149" s="467"/>
      <c r="O149" s="468"/>
      <c r="P149" s="469"/>
      <c r="Q149" s="467"/>
      <c r="R14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49" s="471"/>
      <c r="T149" s="472"/>
      <c r="U149" s="472"/>
      <c r="V149" s="472"/>
      <c r="W149" s="473"/>
      <c r="X149" s="473"/>
      <c r="Y149" s="472"/>
    </row>
    <row r="150" spans="1:25">
      <c r="A150" s="461">
        <f t="shared" si="7"/>
        <v>2</v>
      </c>
      <c r="B150" s="474">
        <v>43524</v>
      </c>
      <c r="C150" s="462" t="s">
        <v>3</v>
      </c>
      <c r="D150" s="462" t="str">
        <f>IFERROR(VLOOKUP([1]!Table1[[#This Row],[Mã công đoạn]],'[1]MA SO'!$B:$D,2,0),"")</f>
        <v/>
      </c>
      <c r="E150" s="463" t="str">
        <f>IFERROR(VLOOKUP([1]!Table1[[#This Row],[Mã công đoạn]],'[1]MA SO'!$B:$D,3,0),"")</f>
        <v/>
      </c>
      <c r="F150" s="461" t="s">
        <v>701</v>
      </c>
      <c r="G150" s="464"/>
      <c r="H150" s="464"/>
      <c r="I150" s="464"/>
      <c r="J150" s="464" t="s">
        <v>526</v>
      </c>
      <c r="K150" s="465" t="s">
        <v>555</v>
      </c>
      <c r="L150" s="466">
        <v>0.52083333333333337</v>
      </c>
      <c r="M150" s="466">
        <v>0.6875</v>
      </c>
      <c r="N150" s="467"/>
      <c r="O150" s="468"/>
      <c r="P150" s="469"/>
      <c r="Q150" s="467"/>
      <c r="R15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50" s="471"/>
      <c r="T150" s="472"/>
      <c r="U150" s="472"/>
      <c r="V150" s="472"/>
      <c r="W150" s="473"/>
      <c r="X150" s="473"/>
      <c r="Y150" s="472"/>
    </row>
    <row r="151" spans="1:25">
      <c r="A151" s="461">
        <f t="shared" si="7"/>
        <v>2</v>
      </c>
      <c r="B151" s="474">
        <v>43524</v>
      </c>
      <c r="C151" s="462" t="s">
        <v>3</v>
      </c>
      <c r="D151" s="462" t="str">
        <f>IFERROR(VLOOKUP([1]!Table1[[#This Row],[Mã công đoạn]],'[1]MA SO'!$B:$D,2,0),"")</f>
        <v/>
      </c>
      <c r="E151" s="463" t="str">
        <f>IFERROR(VLOOKUP([1]!Table1[[#This Row],[Mã công đoạn]],'[1]MA SO'!$B:$D,3,0),"")</f>
        <v/>
      </c>
      <c r="F151" s="461" t="s">
        <v>701</v>
      </c>
      <c r="G151" s="464"/>
      <c r="H151" s="464"/>
      <c r="I151" s="464"/>
      <c r="J151" s="464" t="s">
        <v>528</v>
      </c>
      <c r="K151" s="465" t="s">
        <v>555</v>
      </c>
      <c r="L151" s="466">
        <v>0.52083333333333337</v>
      </c>
      <c r="M151" s="466">
        <v>0.6875</v>
      </c>
      <c r="N151" s="467"/>
      <c r="O151" s="468"/>
      <c r="P151" s="469"/>
      <c r="Q151" s="467"/>
      <c r="R15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51" s="471"/>
      <c r="T151" s="472"/>
      <c r="U151" s="472"/>
      <c r="V151" s="472"/>
      <c r="W151" s="473"/>
      <c r="X151" s="473"/>
      <c r="Y151" s="472"/>
    </row>
    <row r="152" spans="1:25">
      <c r="A152" s="461">
        <f t="shared" si="7"/>
        <v>2</v>
      </c>
      <c r="B152" s="474">
        <v>43524</v>
      </c>
      <c r="C152" s="462" t="s">
        <v>3</v>
      </c>
      <c r="D152" s="462" t="str">
        <f>IFERROR(VLOOKUP([1]!Table1[[#This Row],[Mã công đoạn]],'[1]MA SO'!$B:$D,2,0),"")</f>
        <v/>
      </c>
      <c r="E152" s="463" t="str">
        <f>IFERROR(VLOOKUP([1]!Table1[[#This Row],[Mã công đoạn]],'[1]MA SO'!$B:$D,3,0),"")</f>
        <v/>
      </c>
      <c r="F152" s="461" t="s">
        <v>701</v>
      </c>
      <c r="G152" s="464"/>
      <c r="H152" s="464"/>
      <c r="I152" s="464"/>
      <c r="J152" s="464" t="s">
        <v>521</v>
      </c>
      <c r="K152" s="465" t="s">
        <v>555</v>
      </c>
      <c r="L152" s="466">
        <v>0.52083333333333337</v>
      </c>
      <c r="M152" s="466">
        <v>0.6875</v>
      </c>
      <c r="N152" s="467"/>
      <c r="O152" s="468"/>
      <c r="P152" s="469"/>
      <c r="Q152" s="467"/>
      <c r="R15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52" s="471"/>
      <c r="T152" s="472"/>
      <c r="U152" s="472"/>
      <c r="V152" s="472"/>
      <c r="W152" s="473"/>
      <c r="X152" s="473"/>
      <c r="Y152" s="472"/>
    </row>
    <row r="153" spans="1:25">
      <c r="A153" s="461">
        <f t="shared" si="7"/>
        <v>2</v>
      </c>
      <c r="B153" s="474">
        <v>43524</v>
      </c>
      <c r="C153" s="462" t="s">
        <v>3</v>
      </c>
      <c r="D153" s="462" t="str">
        <f>IFERROR(VLOOKUP([1]!Table1[[#This Row],[Mã công đoạn]],'[1]MA SO'!$B:$D,2,0),"")</f>
        <v/>
      </c>
      <c r="E153" s="463" t="str">
        <f>IFERROR(VLOOKUP([1]!Table1[[#This Row],[Mã công đoạn]],'[1]MA SO'!$B:$D,3,0),"")</f>
        <v/>
      </c>
      <c r="F153" s="461" t="s">
        <v>904</v>
      </c>
      <c r="G153" s="464"/>
      <c r="H153" s="464" t="s">
        <v>57</v>
      </c>
      <c r="I153" s="464"/>
      <c r="J153" s="464"/>
      <c r="K153" s="465" t="s">
        <v>554</v>
      </c>
      <c r="L153" s="466">
        <v>0.29166666666666669</v>
      </c>
      <c r="M153" s="466">
        <v>0.58333333333333337</v>
      </c>
      <c r="N153" s="467"/>
      <c r="O153" s="468">
        <v>0.29166666666666669</v>
      </c>
      <c r="P153" s="469"/>
      <c r="Q153" s="467"/>
      <c r="R15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53" s="471"/>
      <c r="T153" s="472"/>
      <c r="U153" s="472">
        <v>15</v>
      </c>
      <c r="V153" s="472">
        <v>18</v>
      </c>
      <c r="W153" s="473"/>
      <c r="X153" s="473"/>
      <c r="Y153" s="472"/>
    </row>
    <row r="154" spans="1:25">
      <c r="A154" s="461">
        <f t="shared" si="7"/>
        <v>2</v>
      </c>
      <c r="B154" s="474">
        <v>43524</v>
      </c>
      <c r="C154" s="462" t="s">
        <v>3</v>
      </c>
      <c r="D154" s="462" t="str">
        <f>IFERROR(VLOOKUP([1]!Table1[[#This Row],[Mã công đoạn]],'[1]MA SO'!$B:$D,2,0),"")</f>
        <v/>
      </c>
      <c r="E154" s="463" t="str">
        <f>IFERROR(VLOOKUP([1]!Table1[[#This Row],[Mã công đoạn]],'[1]MA SO'!$B:$D,3,0),"")</f>
        <v/>
      </c>
      <c r="F154" s="461" t="s">
        <v>904</v>
      </c>
      <c r="G154" s="464"/>
      <c r="H154" s="464" t="s">
        <v>33</v>
      </c>
      <c r="I154" s="464"/>
      <c r="J154" s="464"/>
      <c r="K154" s="465" t="s">
        <v>554</v>
      </c>
      <c r="L154" s="466">
        <v>0.29166666666666669</v>
      </c>
      <c r="M154" s="466">
        <v>0.58333333333333337</v>
      </c>
      <c r="N154" s="467"/>
      <c r="O154" s="468">
        <v>0.29166666666666669</v>
      </c>
      <c r="P154" s="469"/>
      <c r="Q154" s="467"/>
      <c r="R15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54" s="471"/>
      <c r="T154" s="472"/>
      <c r="U154" s="472"/>
      <c r="V154" s="472"/>
      <c r="W154" s="473"/>
      <c r="X154" s="473"/>
      <c r="Y154" s="472"/>
    </row>
    <row r="155" spans="1:25">
      <c r="A155" s="461">
        <f t="shared" si="7"/>
        <v>2</v>
      </c>
      <c r="B155" s="474">
        <v>43524</v>
      </c>
      <c r="C155" s="462" t="s">
        <v>3</v>
      </c>
      <c r="D155" s="462" t="str">
        <f>IFERROR(VLOOKUP([1]!Table1[[#This Row],[Mã công đoạn]],'[1]MA SO'!$B:$D,2,0),"")</f>
        <v/>
      </c>
      <c r="E155" s="463" t="str">
        <f>IFERROR(VLOOKUP([1]!Table1[[#This Row],[Mã công đoạn]],'[1]MA SO'!$B:$D,3,0),"")</f>
        <v/>
      </c>
      <c r="F155" s="461" t="s">
        <v>904</v>
      </c>
      <c r="G155" s="464"/>
      <c r="H155" s="464" t="s">
        <v>36</v>
      </c>
      <c r="I155" s="464"/>
      <c r="J155" s="464"/>
      <c r="K155" s="465" t="s">
        <v>554</v>
      </c>
      <c r="L155" s="466">
        <v>0.29166666666666669</v>
      </c>
      <c r="M155" s="466">
        <v>0.58333333333333337</v>
      </c>
      <c r="N155" s="467"/>
      <c r="O155" s="468">
        <v>0.29166666666666669</v>
      </c>
      <c r="P155" s="469"/>
      <c r="Q155" s="467"/>
      <c r="R15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</v>
      </c>
      <c r="S155" s="471"/>
      <c r="T155" s="472"/>
      <c r="U155" s="472"/>
      <c r="V155" s="472"/>
      <c r="W155" s="473"/>
      <c r="X155" s="473"/>
      <c r="Y155" s="472"/>
    </row>
    <row r="156" spans="1:25">
      <c r="A156" s="461">
        <f t="shared" si="7"/>
        <v>2</v>
      </c>
      <c r="B156" s="474">
        <v>43524</v>
      </c>
      <c r="C156" s="462" t="s">
        <v>3</v>
      </c>
      <c r="D156" s="462" t="str">
        <f>IFERROR(VLOOKUP([1]!Table1[[#This Row],[Mã công đoạn]],'[1]MA SO'!$B:$D,2,0),"")</f>
        <v/>
      </c>
      <c r="E156" s="463" t="str">
        <f>IFERROR(VLOOKUP([1]!Table1[[#This Row],[Mã công đoạn]],'[1]MA SO'!$B:$D,3,0),"")</f>
        <v/>
      </c>
      <c r="F156" s="461" t="s">
        <v>566</v>
      </c>
      <c r="G156" s="464"/>
      <c r="H156" s="464" t="s">
        <v>51</v>
      </c>
      <c r="I156" s="464"/>
      <c r="J156" s="464" t="s">
        <v>470</v>
      </c>
      <c r="K156" s="465" t="s">
        <v>554</v>
      </c>
      <c r="L156" s="466">
        <v>0.3125</v>
      </c>
      <c r="M156" s="466">
        <v>0.33333333333333331</v>
      </c>
      <c r="N156" s="467"/>
      <c r="O156" s="468"/>
      <c r="P156" s="469"/>
      <c r="Q156" s="467"/>
      <c r="R15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2.0833333333333315E-2</v>
      </c>
      <c r="S156" s="471"/>
      <c r="T156" s="472"/>
      <c r="U156" s="472"/>
      <c r="V156" s="472"/>
      <c r="W156" s="473"/>
      <c r="X156" s="473"/>
      <c r="Y156" s="472"/>
    </row>
    <row r="157" spans="1:25">
      <c r="A157" s="461">
        <f t="shared" si="7"/>
        <v>2</v>
      </c>
      <c r="B157" s="474">
        <v>43524</v>
      </c>
      <c r="C157" s="462" t="s">
        <v>3</v>
      </c>
      <c r="D157" s="462" t="str">
        <f>IFERROR(VLOOKUP([1]!Table1[[#This Row],[Mã công đoạn]],'[1]MA SO'!$B:$D,2,0),"")</f>
        <v/>
      </c>
      <c r="E157" s="463" t="str">
        <f>IFERROR(VLOOKUP([1]!Table1[[#This Row],[Mã công đoạn]],'[1]MA SO'!$B:$D,3,0),"")</f>
        <v/>
      </c>
      <c r="F157" s="461" t="s">
        <v>185</v>
      </c>
      <c r="G157" s="464"/>
      <c r="H157" s="464" t="s">
        <v>34</v>
      </c>
      <c r="I157" s="464"/>
      <c r="J157" s="464" t="s">
        <v>536</v>
      </c>
      <c r="K157" s="465" t="s">
        <v>554</v>
      </c>
      <c r="L157" s="466">
        <v>0.25</v>
      </c>
      <c r="M157" s="466">
        <v>0.45833333333333331</v>
      </c>
      <c r="N157" s="467"/>
      <c r="O157" s="468"/>
      <c r="P157" s="469"/>
      <c r="Q157" s="467"/>
      <c r="R15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0.20833333333333331</v>
      </c>
      <c r="S157" s="471"/>
      <c r="T157" s="472">
        <v>119</v>
      </c>
      <c r="U157" s="472"/>
      <c r="V157" s="472"/>
      <c r="W157" s="473"/>
      <c r="X157" s="473"/>
      <c r="Y157" s="472"/>
    </row>
    <row r="158" spans="1:25">
      <c r="A158" s="461">
        <f t="shared" si="7"/>
        <v>2</v>
      </c>
      <c r="B158" s="474">
        <v>43524</v>
      </c>
      <c r="C158" s="462" t="s">
        <v>3</v>
      </c>
      <c r="D158" s="462" t="str">
        <f>IFERROR(VLOOKUP([1]!Table1[[#This Row],[Mã công đoạn]],'[1]MA SO'!$B:$D,2,0),"")</f>
        <v/>
      </c>
      <c r="E158" s="463" t="str">
        <f>IFERROR(VLOOKUP([1]!Table1[[#This Row],[Mã công đoạn]],'[1]MA SO'!$B:$D,3,0),"")</f>
        <v/>
      </c>
      <c r="F158" s="461" t="s">
        <v>185</v>
      </c>
      <c r="G158" s="464"/>
      <c r="H158" s="464" t="s">
        <v>34</v>
      </c>
      <c r="I158" s="464"/>
      <c r="J158" s="464" t="s">
        <v>536</v>
      </c>
      <c r="K158" s="465" t="s">
        <v>555</v>
      </c>
      <c r="L158" s="466">
        <v>0.47916666666666669</v>
      </c>
      <c r="M158" s="466">
        <v>0.58333333333333337</v>
      </c>
      <c r="N158" s="467"/>
      <c r="O158" s="468"/>
      <c r="P158" s="469"/>
      <c r="Q158" s="467"/>
      <c r="R15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158" s="471"/>
      <c r="T158" s="472"/>
      <c r="U158" s="472"/>
      <c r="V158" s="472"/>
      <c r="W158" s="473"/>
      <c r="X158" s="473"/>
      <c r="Y158" s="472"/>
    </row>
    <row r="159" spans="1:25">
      <c r="A159" s="461">
        <f t="shared" si="7"/>
        <v>2</v>
      </c>
      <c r="B159" s="474">
        <v>43524</v>
      </c>
      <c r="C159" s="462" t="s">
        <v>4</v>
      </c>
      <c r="D159" s="462" t="str">
        <f>IFERROR(VLOOKUP([1]!Table1[[#This Row],[Mã công đoạn]],'[1]MA SO'!$B:$D,2,0),"")</f>
        <v/>
      </c>
      <c r="E159" s="463" t="str">
        <f>IFERROR(VLOOKUP([1]!Table1[[#This Row],[Mã công đoạn]],'[1]MA SO'!$B:$D,3,0),"")</f>
        <v/>
      </c>
      <c r="F159" s="461" t="s">
        <v>206</v>
      </c>
      <c r="G159" s="464"/>
      <c r="H159" s="464" t="s">
        <v>34</v>
      </c>
      <c r="I159" s="464"/>
      <c r="J159" s="464" t="s">
        <v>538</v>
      </c>
      <c r="K159" s="465" t="s">
        <v>555</v>
      </c>
      <c r="L159" s="466">
        <v>0.58333333333333337</v>
      </c>
      <c r="M159" s="466">
        <v>0.72222222222222221</v>
      </c>
      <c r="N159" s="467"/>
      <c r="O159" s="468"/>
      <c r="P159" s="469"/>
      <c r="Q159" s="467"/>
      <c r="R15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0.13888888888888884</v>
      </c>
      <c r="S159" s="471"/>
      <c r="T159" s="472"/>
      <c r="U159" s="472"/>
      <c r="V159" s="472"/>
      <c r="W159" s="473"/>
      <c r="X159" s="473"/>
      <c r="Y159" s="472"/>
    </row>
    <row r="160" spans="1:25">
      <c r="A160" s="461">
        <f t="shared" si="7"/>
        <v>2</v>
      </c>
      <c r="B160" s="474">
        <v>43524</v>
      </c>
      <c r="C160" s="462" t="s">
        <v>4</v>
      </c>
      <c r="D160" s="462" t="str">
        <f>IFERROR(VLOOKUP([1]!Table1[[#This Row],[Mã công đoạn]],'[1]MA SO'!$B:$D,2,0),"")</f>
        <v/>
      </c>
      <c r="E160" s="463" t="str">
        <f>IFERROR(VLOOKUP([1]!Table1[[#This Row],[Mã công đoạn]],'[1]MA SO'!$B:$D,3,0),"")</f>
        <v/>
      </c>
      <c r="F160" s="461" t="s">
        <v>175</v>
      </c>
      <c r="G160" s="464"/>
      <c r="H160" s="464" t="s">
        <v>34</v>
      </c>
      <c r="I160" s="464"/>
      <c r="J160" s="464" t="s">
        <v>538</v>
      </c>
      <c r="K160" s="465" t="s">
        <v>556</v>
      </c>
      <c r="L160" s="466">
        <v>0.72222222222222221</v>
      </c>
      <c r="M160" s="466">
        <v>0.75</v>
      </c>
      <c r="N160" s="467"/>
      <c r="O160" s="468"/>
      <c r="P160" s="469"/>
      <c r="Q160" s="467"/>
      <c r="R16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2.777777777777779E-2</v>
      </c>
      <c r="S160" s="471"/>
      <c r="T160" s="472"/>
      <c r="U160" s="472"/>
      <c r="V160" s="472"/>
      <c r="W160" s="473"/>
      <c r="X160" s="473"/>
      <c r="Y160" s="472"/>
    </row>
    <row r="161" spans="1:25">
      <c r="A161" s="461">
        <f t="shared" si="7"/>
        <v>2</v>
      </c>
      <c r="B161" s="474">
        <v>43524</v>
      </c>
      <c r="C161" s="462" t="s">
        <v>4</v>
      </c>
      <c r="D161" s="462" t="str">
        <f>IFERROR(VLOOKUP([1]!Table1[[#This Row],[Mã công đoạn]],'[1]MA SO'!$B:$D,2,0),"")</f>
        <v/>
      </c>
      <c r="E161" s="463" t="str">
        <f>IFERROR(VLOOKUP([1]!Table1[[#This Row],[Mã công đoạn]],'[1]MA SO'!$B:$D,3,0),"")</f>
        <v/>
      </c>
      <c r="F161" s="461" t="s">
        <v>175</v>
      </c>
      <c r="G161" s="464"/>
      <c r="H161" s="464" t="s">
        <v>34</v>
      </c>
      <c r="I161" s="464"/>
      <c r="J161" s="464" t="s">
        <v>538</v>
      </c>
      <c r="K161" s="465" t="s">
        <v>556</v>
      </c>
      <c r="L161" s="466">
        <v>0.77083333333333337</v>
      </c>
      <c r="M161" s="466">
        <v>0.8125</v>
      </c>
      <c r="N161" s="467"/>
      <c r="O161" s="468"/>
      <c r="P161" s="469"/>
      <c r="Q161" s="467"/>
      <c r="R16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4.166666666666663E-2</v>
      </c>
      <c r="S161" s="471"/>
      <c r="T161" s="472"/>
      <c r="U161" s="472"/>
      <c r="V161" s="472"/>
      <c r="W161" s="473"/>
      <c r="X161" s="473"/>
      <c r="Y161" s="472"/>
    </row>
    <row r="162" spans="1:25">
      <c r="A162" s="461">
        <f t="shared" si="7"/>
        <v>2</v>
      </c>
      <c r="B162" s="474">
        <v>43524</v>
      </c>
      <c r="C162" s="462" t="s">
        <v>4</v>
      </c>
      <c r="D162" s="462" t="str">
        <f>IFERROR(VLOOKUP([1]!Table1[[#This Row],[Mã công đoạn]],'[1]MA SO'!$B:$D,2,0),"")</f>
        <v/>
      </c>
      <c r="E162" s="463" t="str">
        <f>IFERROR(VLOOKUP([1]!Table1[[#This Row],[Mã công đoạn]],'[1]MA SO'!$B:$D,3,0),"")</f>
        <v/>
      </c>
      <c r="F162" s="461" t="s">
        <v>177</v>
      </c>
      <c r="G162" s="464"/>
      <c r="H162" s="464" t="s">
        <v>34</v>
      </c>
      <c r="I162" s="464"/>
      <c r="J162" s="464" t="s">
        <v>538</v>
      </c>
      <c r="K162" s="465" t="s">
        <v>556</v>
      </c>
      <c r="L162" s="466">
        <v>0.8125</v>
      </c>
      <c r="M162" s="466">
        <v>0.91666666666666663</v>
      </c>
      <c r="N162" s="467"/>
      <c r="O162" s="468"/>
      <c r="P162" s="469"/>
      <c r="Q162" s="467"/>
      <c r="R16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62" s="471"/>
      <c r="T162" s="472"/>
      <c r="U162" s="472"/>
      <c r="V162" s="472"/>
      <c r="W162" s="473"/>
      <c r="X162" s="473"/>
      <c r="Y162" s="472"/>
    </row>
    <row r="163" spans="1:25">
      <c r="A163" s="461">
        <f t="shared" si="7"/>
        <v>2</v>
      </c>
      <c r="B163" s="474">
        <v>43524</v>
      </c>
      <c r="C163" s="462" t="s">
        <v>3</v>
      </c>
      <c r="D163" s="462" t="str">
        <f>IFERROR(VLOOKUP([1]!Table1[[#This Row],[Mã công đoạn]],'[1]MA SO'!$B:$D,2,0),"")</f>
        <v/>
      </c>
      <c r="E163" s="463" t="str">
        <f>IFERROR(VLOOKUP([1]!Table1[[#This Row],[Mã công đoạn]],'[1]MA SO'!$B:$D,3,0),"")</f>
        <v/>
      </c>
      <c r="F163" s="461" t="s">
        <v>680</v>
      </c>
      <c r="G163" s="464"/>
      <c r="H163" s="464" t="s">
        <v>32</v>
      </c>
      <c r="I163" s="464"/>
      <c r="J163" s="464" t="s">
        <v>558</v>
      </c>
      <c r="K163" s="465" t="s">
        <v>554</v>
      </c>
      <c r="L163" s="466">
        <v>0.3125</v>
      </c>
      <c r="M163" s="466">
        <v>0.47916666666666669</v>
      </c>
      <c r="N163" s="467"/>
      <c r="O163" s="468"/>
      <c r="P163" s="469"/>
      <c r="Q163" s="467"/>
      <c r="R16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63" s="471">
        <v>53</v>
      </c>
      <c r="T163" s="472">
        <v>260</v>
      </c>
      <c r="U163" s="472"/>
      <c r="V163" s="472"/>
      <c r="W163" s="473"/>
      <c r="X163" s="473"/>
      <c r="Y163" s="472" t="s">
        <v>998</v>
      </c>
    </row>
    <row r="164" spans="1:25">
      <c r="A164" s="461">
        <f t="shared" ref="A164:A195" si="8">MONTH(B164)</f>
        <v>2</v>
      </c>
      <c r="B164" s="474">
        <v>43524</v>
      </c>
      <c r="C164" s="462" t="s">
        <v>3</v>
      </c>
      <c r="D164" s="462" t="str">
        <f>IFERROR(VLOOKUP([1]!Table1[[#This Row],[Mã công đoạn]],'[1]MA SO'!$B:$D,2,0),"")</f>
        <v/>
      </c>
      <c r="E164" s="463" t="str">
        <f>IFERROR(VLOOKUP([1]!Table1[[#This Row],[Mã công đoạn]],'[1]MA SO'!$B:$D,3,0),"")</f>
        <v/>
      </c>
      <c r="F164" s="461" t="s">
        <v>680</v>
      </c>
      <c r="G164" s="464"/>
      <c r="H164" s="464" t="s">
        <v>32</v>
      </c>
      <c r="I164" s="464"/>
      <c r="J164" s="464" t="s">
        <v>558</v>
      </c>
      <c r="K164" s="465" t="s">
        <v>555</v>
      </c>
      <c r="L164" s="466">
        <v>0.52083333333333337</v>
      </c>
      <c r="M164" s="466">
        <v>0.6875</v>
      </c>
      <c r="N164" s="467"/>
      <c r="O164" s="468"/>
      <c r="P164" s="469"/>
      <c r="Q164" s="467"/>
      <c r="R16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64" s="471">
        <v>48</v>
      </c>
      <c r="T164" s="472"/>
      <c r="U164" s="472"/>
      <c r="V164" s="472"/>
      <c r="W164" s="473"/>
      <c r="X164" s="473"/>
      <c r="Y164" s="472"/>
    </row>
    <row r="165" spans="1:25">
      <c r="A165" s="461">
        <f t="shared" si="8"/>
        <v>2</v>
      </c>
      <c r="B165" s="474">
        <v>43524</v>
      </c>
      <c r="C165" s="462" t="s">
        <v>3</v>
      </c>
      <c r="D165" s="462" t="str">
        <f>IFERROR(VLOOKUP([1]!Table1[[#This Row],[Mã công đoạn]],'[1]MA SO'!$B:$D,2,0),"")</f>
        <v/>
      </c>
      <c r="E165" s="463" t="str">
        <f>IFERROR(VLOOKUP([1]!Table1[[#This Row],[Mã công đoạn]],'[1]MA SO'!$B:$D,3,0),"")</f>
        <v/>
      </c>
      <c r="F165" s="461" t="s">
        <v>680</v>
      </c>
      <c r="G165" s="464"/>
      <c r="H165" s="464" t="s">
        <v>55</v>
      </c>
      <c r="I165" s="464"/>
      <c r="J165" s="464" t="s">
        <v>558</v>
      </c>
      <c r="K165" s="465" t="s">
        <v>554</v>
      </c>
      <c r="L165" s="466">
        <v>0.3125</v>
      </c>
      <c r="M165" s="466">
        <v>0.40972222222222227</v>
      </c>
      <c r="N165" s="467"/>
      <c r="O165" s="468"/>
      <c r="P165" s="469"/>
      <c r="Q165" s="467"/>
      <c r="R16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9.7222222222222265E-2</v>
      </c>
      <c r="S165" s="471">
        <v>25</v>
      </c>
      <c r="T165" s="472"/>
      <c r="U165" s="472"/>
      <c r="V165" s="472"/>
      <c r="W165" s="473"/>
      <c r="X165" s="473"/>
      <c r="Y165" s="472"/>
    </row>
    <row r="166" spans="1:25">
      <c r="A166" s="461">
        <f t="shared" si="8"/>
        <v>2</v>
      </c>
      <c r="B166" s="474">
        <v>43524</v>
      </c>
      <c r="C166" s="462" t="s">
        <v>3</v>
      </c>
      <c r="D166" s="462" t="str">
        <f>IFERROR(VLOOKUP([1]!Table1[[#This Row],[Mã công đoạn]],'[1]MA SO'!$B:$D,2,0),"")</f>
        <v/>
      </c>
      <c r="E166" s="463" t="str">
        <f>IFERROR(VLOOKUP([1]!Table1[[#This Row],[Mã công đoạn]],'[1]MA SO'!$B:$D,3,0),"")</f>
        <v/>
      </c>
      <c r="F166" s="461" t="s">
        <v>680</v>
      </c>
      <c r="G166" s="464"/>
      <c r="H166" s="464" t="s">
        <v>38</v>
      </c>
      <c r="I166" s="464"/>
      <c r="J166" s="464" t="s">
        <v>558</v>
      </c>
      <c r="K166" s="465" t="s">
        <v>554</v>
      </c>
      <c r="L166" s="466">
        <v>0.3125</v>
      </c>
      <c r="M166" s="466">
        <v>0.47916666666666669</v>
      </c>
      <c r="N166" s="467"/>
      <c r="O166" s="468"/>
      <c r="P166" s="469"/>
      <c r="Q166" s="467"/>
      <c r="R16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66" s="471">
        <v>27</v>
      </c>
      <c r="T166" s="472">
        <v>157</v>
      </c>
      <c r="U166" s="472"/>
      <c r="V166" s="472"/>
      <c r="W166" s="473"/>
      <c r="X166" s="473"/>
      <c r="Y166" s="472"/>
    </row>
    <row r="167" spans="1:25">
      <c r="A167" s="461">
        <f t="shared" si="8"/>
        <v>2</v>
      </c>
      <c r="B167" s="474">
        <v>43524</v>
      </c>
      <c r="C167" s="462" t="s">
        <v>3</v>
      </c>
      <c r="D167" s="462" t="str">
        <f>IFERROR(VLOOKUP([1]!Table1[[#This Row],[Mã công đoạn]],'[1]MA SO'!$B:$D,2,0),"")</f>
        <v/>
      </c>
      <c r="E167" s="463" t="str">
        <f>IFERROR(VLOOKUP([1]!Table1[[#This Row],[Mã công đoạn]],'[1]MA SO'!$B:$D,3,0),"")</f>
        <v/>
      </c>
      <c r="F167" s="461" t="s">
        <v>680</v>
      </c>
      <c r="G167" s="464"/>
      <c r="H167" s="464" t="s">
        <v>38</v>
      </c>
      <c r="I167" s="464"/>
      <c r="J167" s="464" t="s">
        <v>558</v>
      </c>
      <c r="K167" s="465" t="s">
        <v>555</v>
      </c>
      <c r="L167" s="466">
        <v>0.52083333333333337</v>
      </c>
      <c r="M167" s="466">
        <v>0.6875</v>
      </c>
      <c r="N167" s="467"/>
      <c r="O167" s="468"/>
      <c r="P167" s="469"/>
      <c r="Q167" s="467"/>
      <c r="R16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67" s="471">
        <v>24</v>
      </c>
      <c r="T167" s="472"/>
      <c r="U167" s="472"/>
      <c r="V167" s="472"/>
      <c r="W167" s="473"/>
      <c r="X167" s="473"/>
      <c r="Y167" s="472"/>
    </row>
    <row r="168" spans="1:25">
      <c r="A168" s="461">
        <f t="shared" si="8"/>
        <v>2</v>
      </c>
      <c r="B168" s="474">
        <v>43524</v>
      </c>
      <c r="C168" s="462" t="s">
        <v>3</v>
      </c>
      <c r="D168" s="462" t="str">
        <f>IFERROR(VLOOKUP([1]!Table1[[#This Row],[Mã công đoạn]],'[1]MA SO'!$B:$D,2,0),"")</f>
        <v/>
      </c>
      <c r="E168" s="463" t="str">
        <f>IFERROR(VLOOKUP([1]!Table1[[#This Row],[Mã công đoạn]],'[1]MA SO'!$B:$D,3,0),"")</f>
        <v/>
      </c>
      <c r="F168" s="461" t="s">
        <v>680</v>
      </c>
      <c r="G168" s="464"/>
      <c r="H168" s="464" t="s">
        <v>41</v>
      </c>
      <c r="I168" s="464"/>
      <c r="J168" s="464" t="s">
        <v>558</v>
      </c>
      <c r="K168" s="465" t="s">
        <v>554</v>
      </c>
      <c r="L168" s="466">
        <v>0.3125</v>
      </c>
      <c r="M168" s="466">
        <v>0.47569444444444442</v>
      </c>
      <c r="N168" s="467"/>
      <c r="O168" s="468"/>
      <c r="P168" s="469"/>
      <c r="Q168" s="467"/>
      <c r="R16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0.16319444444444442</v>
      </c>
      <c r="S168" s="471">
        <v>26</v>
      </c>
      <c r="T168" s="472">
        <v>292</v>
      </c>
      <c r="U168" s="472"/>
      <c r="V168" s="472"/>
      <c r="W168" s="473"/>
      <c r="X168" s="473"/>
      <c r="Y168" s="472"/>
    </row>
    <row r="169" spans="1:25">
      <c r="A169" s="461">
        <f t="shared" si="8"/>
        <v>2</v>
      </c>
      <c r="B169" s="474">
        <v>43524</v>
      </c>
      <c r="C169" s="462" t="s">
        <v>3</v>
      </c>
      <c r="D169" s="462" t="str">
        <f>IFERROR(VLOOKUP([1]!Table1[[#This Row],[Mã công đoạn]],'[1]MA SO'!$B:$D,2,0),"")</f>
        <v/>
      </c>
      <c r="E169" s="463" t="str">
        <f>IFERROR(VLOOKUP([1]!Table1[[#This Row],[Mã công đoạn]],'[1]MA SO'!$B:$D,3,0),"")</f>
        <v/>
      </c>
      <c r="F169" s="461" t="s">
        <v>680</v>
      </c>
      <c r="G169" s="464"/>
      <c r="H169" s="464" t="s">
        <v>41</v>
      </c>
      <c r="I169" s="464"/>
      <c r="J169" s="464" t="s">
        <v>558</v>
      </c>
      <c r="K169" s="465" t="s">
        <v>555</v>
      </c>
      <c r="L169" s="466">
        <v>0.52083333333333337</v>
      </c>
      <c r="M169" s="466">
        <v>0.6875</v>
      </c>
      <c r="N169" s="467"/>
      <c r="O169" s="468"/>
      <c r="P169" s="469"/>
      <c r="Q169" s="467"/>
      <c r="R16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69" s="471">
        <v>22</v>
      </c>
      <c r="T169" s="472"/>
      <c r="U169" s="472"/>
      <c r="V169" s="472"/>
      <c r="W169" s="473"/>
      <c r="X169" s="473"/>
      <c r="Y169" s="472"/>
    </row>
    <row r="170" spans="1:25">
      <c r="A170" s="461">
        <f t="shared" si="8"/>
        <v>2</v>
      </c>
      <c r="B170" s="474">
        <v>43524</v>
      </c>
      <c r="C170" s="462" t="s">
        <v>3</v>
      </c>
      <c r="D170" s="462" t="str">
        <f>IFERROR(VLOOKUP([1]!Table1[[#This Row],[Mã công đoạn]],'[1]MA SO'!$B:$D,2,0),"")</f>
        <v/>
      </c>
      <c r="E170" s="463" t="str">
        <f>IFERROR(VLOOKUP([1]!Table1[[#This Row],[Mã công đoạn]],'[1]MA SO'!$B:$D,3,0),"")</f>
        <v/>
      </c>
      <c r="F170" s="461" t="s">
        <v>680</v>
      </c>
      <c r="G170" s="464"/>
      <c r="H170" s="464" t="s">
        <v>126</v>
      </c>
      <c r="I170" s="464"/>
      <c r="J170" s="464" t="s">
        <v>558</v>
      </c>
      <c r="K170" s="465" t="s">
        <v>554</v>
      </c>
      <c r="L170" s="466">
        <v>0.3125</v>
      </c>
      <c r="M170" s="466">
        <v>0.47916666666666669</v>
      </c>
      <c r="N170" s="467"/>
      <c r="O170" s="468"/>
      <c r="P170" s="469"/>
      <c r="Q170" s="467"/>
      <c r="R17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70" s="471">
        <v>53</v>
      </c>
      <c r="T170" s="472"/>
      <c r="U170" s="472"/>
      <c r="V170" s="472"/>
      <c r="W170" s="473"/>
      <c r="X170" s="473"/>
      <c r="Y170" s="472"/>
    </row>
    <row r="171" spans="1:25">
      <c r="A171" s="461">
        <f t="shared" si="8"/>
        <v>2</v>
      </c>
      <c r="B171" s="474">
        <v>43524</v>
      </c>
      <c r="C171" s="462" t="s">
        <v>3</v>
      </c>
      <c r="D171" s="462" t="str">
        <f>IFERROR(VLOOKUP([1]!Table1[[#This Row],[Mã công đoạn]],'[1]MA SO'!$B:$D,2,0),"")</f>
        <v/>
      </c>
      <c r="E171" s="463" t="str">
        <f>IFERROR(VLOOKUP([1]!Table1[[#This Row],[Mã công đoạn]],'[1]MA SO'!$B:$D,3,0),"")</f>
        <v/>
      </c>
      <c r="F171" s="461" t="s">
        <v>680</v>
      </c>
      <c r="G171" s="464"/>
      <c r="H171" s="464" t="s">
        <v>126</v>
      </c>
      <c r="I171" s="464"/>
      <c r="J171" s="464" t="s">
        <v>558</v>
      </c>
      <c r="K171" s="465" t="s">
        <v>555</v>
      </c>
      <c r="L171" s="466">
        <v>0.52083333333333337</v>
      </c>
      <c r="M171" s="466">
        <v>0.6875</v>
      </c>
      <c r="N171" s="467"/>
      <c r="O171" s="468"/>
      <c r="P171" s="469"/>
      <c r="Q171" s="467"/>
      <c r="R17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171" s="471">
        <v>48</v>
      </c>
      <c r="T171" s="472"/>
      <c r="U171" s="472"/>
      <c r="V171" s="472"/>
      <c r="W171" s="473"/>
      <c r="X171" s="473"/>
      <c r="Y171" s="472"/>
    </row>
    <row r="172" spans="1:25">
      <c r="A172" s="461">
        <f t="shared" si="8"/>
        <v>2</v>
      </c>
      <c r="B172" s="474">
        <v>43524</v>
      </c>
      <c r="C172" s="462" t="s">
        <v>3</v>
      </c>
      <c r="D172" s="462" t="str">
        <f>IFERROR(VLOOKUP([1]!Table1[[#This Row],[Mã công đoạn]],'[1]MA SO'!$B:$D,2,0),"")</f>
        <v/>
      </c>
      <c r="E172" s="463" t="str">
        <f>IFERROR(VLOOKUP([1]!Table1[[#This Row],[Mã công đoạn]],'[1]MA SO'!$B:$D,3,0),"")</f>
        <v/>
      </c>
      <c r="F172" s="461" t="s">
        <v>166</v>
      </c>
      <c r="G172" s="464"/>
      <c r="H172" s="464"/>
      <c r="I172" s="464" t="s">
        <v>953</v>
      </c>
      <c r="J172" s="464" t="s">
        <v>525</v>
      </c>
      <c r="K172" s="465" t="s">
        <v>554</v>
      </c>
      <c r="L172" s="466">
        <v>0.40972222222222227</v>
      </c>
      <c r="M172" s="466">
        <v>0.47916666666666669</v>
      </c>
      <c r="N172" s="467"/>
      <c r="O172" s="468"/>
      <c r="P172" s="469"/>
      <c r="Q172" s="467"/>
      <c r="R17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72" s="471"/>
      <c r="T172" s="472"/>
      <c r="U172" s="472"/>
      <c r="V172" s="472"/>
      <c r="W172" s="473"/>
      <c r="X172" s="473"/>
      <c r="Y172" s="472"/>
    </row>
    <row r="173" spans="1:25">
      <c r="A173" s="461">
        <f t="shared" si="8"/>
        <v>2</v>
      </c>
      <c r="B173" s="474">
        <v>43524</v>
      </c>
      <c r="C173" s="462" t="s">
        <v>3</v>
      </c>
      <c r="D173" s="462" t="str">
        <f>IFERROR(VLOOKUP([1]!Table1[[#This Row],[Mã công đoạn]],'[1]MA SO'!$B:$D,2,0),"")</f>
        <v/>
      </c>
      <c r="E173" s="463" t="str">
        <f>IFERROR(VLOOKUP([1]!Table1[[#This Row],[Mã công đoạn]],'[1]MA SO'!$B:$D,3,0),"")</f>
        <v/>
      </c>
      <c r="F173" s="461" t="s">
        <v>166</v>
      </c>
      <c r="G173" s="464"/>
      <c r="H173" s="464"/>
      <c r="I173" s="464" t="s">
        <v>953</v>
      </c>
      <c r="J173" s="464" t="s">
        <v>519</v>
      </c>
      <c r="K173" s="465" t="s">
        <v>554</v>
      </c>
      <c r="L173" s="466">
        <v>0.40972222222222227</v>
      </c>
      <c r="M173" s="466">
        <v>0.47916666666666669</v>
      </c>
      <c r="N173" s="467"/>
      <c r="O173" s="468"/>
      <c r="P173" s="469"/>
      <c r="Q173" s="467"/>
      <c r="R17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73" s="471"/>
      <c r="T173" s="472"/>
      <c r="U173" s="472"/>
      <c r="V173" s="472"/>
      <c r="W173" s="473"/>
      <c r="X173" s="473"/>
      <c r="Y173" s="472"/>
    </row>
    <row r="174" spans="1:25">
      <c r="A174" s="461">
        <f t="shared" si="8"/>
        <v>2</v>
      </c>
      <c r="B174" s="474">
        <v>43524</v>
      </c>
      <c r="C174" s="462" t="s">
        <v>3</v>
      </c>
      <c r="D174" s="462" t="str">
        <f>IFERROR(VLOOKUP([1]!Table1[[#This Row],[Mã công đoạn]],'[1]MA SO'!$B:$D,2,0),"")</f>
        <v/>
      </c>
      <c r="E174" s="463" t="str">
        <f>IFERROR(VLOOKUP([1]!Table1[[#This Row],[Mã công đoạn]],'[1]MA SO'!$B:$D,3,0),"")</f>
        <v/>
      </c>
      <c r="F174" s="461" t="s">
        <v>166</v>
      </c>
      <c r="G174" s="464"/>
      <c r="H174" s="464"/>
      <c r="I174" s="464" t="s">
        <v>953</v>
      </c>
      <c r="J174" s="464" t="s">
        <v>524</v>
      </c>
      <c r="K174" s="465" t="s">
        <v>554</v>
      </c>
      <c r="L174" s="466">
        <v>0.40972222222222227</v>
      </c>
      <c r="M174" s="466">
        <v>0.47916666666666669</v>
      </c>
      <c r="N174" s="467"/>
      <c r="O174" s="468"/>
      <c r="P174" s="469"/>
      <c r="Q174" s="467"/>
      <c r="R17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74" s="471"/>
      <c r="T174" s="472"/>
      <c r="U174" s="472"/>
      <c r="V174" s="472"/>
      <c r="W174" s="473"/>
      <c r="X174" s="473"/>
      <c r="Y174" s="472"/>
    </row>
    <row r="175" spans="1:25">
      <c r="A175" s="461">
        <f t="shared" si="8"/>
        <v>2</v>
      </c>
      <c r="B175" s="474">
        <v>43524</v>
      </c>
      <c r="C175" s="462" t="s">
        <v>3</v>
      </c>
      <c r="D175" s="462" t="str">
        <f>IFERROR(VLOOKUP([1]!Table1[[#This Row],[Mã công đoạn]],'[1]MA SO'!$B:$D,2,0),"")</f>
        <v/>
      </c>
      <c r="E175" s="463" t="str">
        <f>IFERROR(VLOOKUP([1]!Table1[[#This Row],[Mã công đoạn]],'[1]MA SO'!$B:$D,3,0),"")</f>
        <v/>
      </c>
      <c r="F175" s="461" t="s">
        <v>166</v>
      </c>
      <c r="G175" s="464"/>
      <c r="H175" s="464"/>
      <c r="I175" s="464" t="s">
        <v>953</v>
      </c>
      <c r="J175" s="464" t="s">
        <v>525</v>
      </c>
      <c r="K175" s="465" t="s">
        <v>555</v>
      </c>
      <c r="L175" s="466">
        <v>0.52083333333333337</v>
      </c>
      <c r="M175" s="466">
        <v>0.54166666666666663</v>
      </c>
      <c r="N175" s="467"/>
      <c r="O175" s="468"/>
      <c r="P175" s="469"/>
      <c r="Q175" s="467"/>
      <c r="R17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175" s="471"/>
      <c r="T175" s="472"/>
      <c r="U175" s="472"/>
      <c r="V175" s="472"/>
      <c r="W175" s="473"/>
      <c r="X175" s="473"/>
      <c r="Y175" s="472"/>
    </row>
    <row r="176" spans="1:25">
      <c r="A176" s="461">
        <f t="shared" si="8"/>
        <v>2</v>
      </c>
      <c r="B176" s="474">
        <v>43524</v>
      </c>
      <c r="C176" s="462" t="s">
        <v>3</v>
      </c>
      <c r="D176" s="462" t="str">
        <f>IFERROR(VLOOKUP([1]!Table1[[#This Row],[Mã công đoạn]],'[1]MA SO'!$B:$D,2,0),"")</f>
        <v/>
      </c>
      <c r="E176" s="463" t="str">
        <f>IFERROR(VLOOKUP([1]!Table1[[#This Row],[Mã công đoạn]],'[1]MA SO'!$B:$D,3,0),"")</f>
        <v/>
      </c>
      <c r="F176" s="461" t="s">
        <v>166</v>
      </c>
      <c r="G176" s="464"/>
      <c r="H176" s="464"/>
      <c r="I176" s="464" t="s">
        <v>953</v>
      </c>
      <c r="J176" s="464" t="s">
        <v>519</v>
      </c>
      <c r="K176" s="465" t="s">
        <v>555</v>
      </c>
      <c r="L176" s="466">
        <v>0.52083333333333337</v>
      </c>
      <c r="M176" s="466">
        <v>0.54166666666666663</v>
      </c>
      <c r="N176" s="467"/>
      <c r="O176" s="468"/>
      <c r="P176" s="469"/>
      <c r="Q176" s="467"/>
      <c r="R17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176" s="471"/>
      <c r="T176" s="472"/>
      <c r="U176" s="472"/>
      <c r="V176" s="472"/>
      <c r="W176" s="473"/>
      <c r="X176" s="473"/>
      <c r="Y176" s="472"/>
    </row>
    <row r="177" spans="1:25">
      <c r="A177" s="461">
        <f t="shared" si="8"/>
        <v>2</v>
      </c>
      <c r="B177" s="474">
        <v>43524</v>
      </c>
      <c r="C177" s="462" t="s">
        <v>3</v>
      </c>
      <c r="D177" s="462" t="str">
        <f>IFERROR(VLOOKUP([1]!Table1[[#This Row],[Mã công đoạn]],'[1]MA SO'!$B:$D,2,0),"")</f>
        <v/>
      </c>
      <c r="E177" s="463" t="str">
        <f>IFERROR(VLOOKUP([1]!Table1[[#This Row],[Mã công đoạn]],'[1]MA SO'!$B:$D,3,0),"")</f>
        <v/>
      </c>
      <c r="F177" s="461" t="s">
        <v>166</v>
      </c>
      <c r="G177" s="464"/>
      <c r="H177" s="464"/>
      <c r="I177" s="464" t="s">
        <v>953</v>
      </c>
      <c r="J177" s="464" t="s">
        <v>524</v>
      </c>
      <c r="K177" s="465" t="s">
        <v>555</v>
      </c>
      <c r="L177" s="466">
        <v>0.52083333333333337</v>
      </c>
      <c r="M177" s="466">
        <v>0.54166666666666663</v>
      </c>
      <c r="N177" s="467"/>
      <c r="O177" s="468"/>
      <c r="P177" s="469"/>
      <c r="Q177" s="467"/>
      <c r="R17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2.0833333333333259E-2</v>
      </c>
      <c r="S177" s="471"/>
      <c r="T177" s="472"/>
      <c r="U177" s="472"/>
      <c r="V177" s="472"/>
      <c r="W177" s="473"/>
      <c r="X177" s="473"/>
      <c r="Y177" s="472"/>
    </row>
    <row r="178" spans="1:25">
      <c r="A178" s="461">
        <f t="shared" si="8"/>
        <v>2</v>
      </c>
      <c r="B178" s="474">
        <v>43524</v>
      </c>
      <c r="C178" s="462" t="s">
        <v>3</v>
      </c>
      <c r="D178" s="462" t="str">
        <f>IFERROR(VLOOKUP([1]!Table1[[#This Row],[Mã công đoạn]],'[1]MA SO'!$B:$D,2,0),"")</f>
        <v/>
      </c>
      <c r="E178" s="463" t="str">
        <f>IFERROR(VLOOKUP([1]!Table1[[#This Row],[Mã công đoạn]],'[1]MA SO'!$B:$D,3,0),"")</f>
        <v/>
      </c>
      <c r="F178" s="461" t="s">
        <v>202</v>
      </c>
      <c r="G178" s="464"/>
      <c r="H178" s="464"/>
      <c r="I178" s="464" t="s">
        <v>789</v>
      </c>
      <c r="J178" s="464" t="s">
        <v>525</v>
      </c>
      <c r="K178" s="465" t="s">
        <v>555</v>
      </c>
      <c r="L178" s="466">
        <v>0.54166666666666663</v>
      </c>
      <c r="M178" s="466">
        <v>0.6875</v>
      </c>
      <c r="N178" s="467"/>
      <c r="O178" s="468"/>
      <c r="P178" s="469"/>
      <c r="Q178" s="467"/>
      <c r="R17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78" s="471"/>
      <c r="T178" s="472"/>
      <c r="U178" s="472"/>
      <c r="V178" s="472"/>
      <c r="W178" s="473"/>
      <c r="X178" s="473"/>
      <c r="Y178" s="472"/>
    </row>
    <row r="179" spans="1:25">
      <c r="A179" s="461">
        <f t="shared" si="8"/>
        <v>2</v>
      </c>
      <c r="B179" s="474">
        <v>43524</v>
      </c>
      <c r="C179" s="462" t="s">
        <v>3</v>
      </c>
      <c r="D179" s="462" t="str">
        <f>IFERROR(VLOOKUP([1]!Table1[[#This Row],[Mã công đoạn]],'[1]MA SO'!$B:$D,2,0),"")</f>
        <v/>
      </c>
      <c r="E179" s="463" t="str">
        <f>IFERROR(VLOOKUP([1]!Table1[[#This Row],[Mã công đoạn]],'[1]MA SO'!$B:$D,3,0),"")</f>
        <v/>
      </c>
      <c r="F179" s="461" t="s">
        <v>202</v>
      </c>
      <c r="G179" s="464"/>
      <c r="H179" s="464"/>
      <c r="I179" s="464" t="s">
        <v>789</v>
      </c>
      <c r="J179" s="464" t="s">
        <v>519</v>
      </c>
      <c r="K179" s="465" t="s">
        <v>555</v>
      </c>
      <c r="L179" s="466">
        <v>0.54166666666666663</v>
      </c>
      <c r="M179" s="466">
        <v>0.6875</v>
      </c>
      <c r="N179" s="467"/>
      <c r="O179" s="468"/>
      <c r="P179" s="469"/>
      <c r="Q179" s="467"/>
      <c r="R17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79" s="471"/>
      <c r="T179" s="472"/>
      <c r="U179" s="472"/>
      <c r="V179" s="472"/>
      <c r="W179" s="473"/>
      <c r="X179" s="473"/>
      <c r="Y179" s="472"/>
    </row>
    <row r="180" spans="1:25">
      <c r="A180" s="461">
        <f t="shared" si="8"/>
        <v>2</v>
      </c>
      <c r="B180" s="474">
        <v>43524</v>
      </c>
      <c r="C180" s="462" t="s">
        <v>3</v>
      </c>
      <c r="D180" s="462" t="str">
        <f>IFERROR(VLOOKUP([1]!Table1[[#This Row],[Mã công đoạn]],'[1]MA SO'!$B:$D,2,0),"")</f>
        <v/>
      </c>
      <c r="E180" s="463" t="str">
        <f>IFERROR(VLOOKUP([1]!Table1[[#This Row],[Mã công đoạn]],'[1]MA SO'!$B:$D,3,0),"")</f>
        <v/>
      </c>
      <c r="F180" s="461" t="s">
        <v>202</v>
      </c>
      <c r="G180" s="464"/>
      <c r="H180" s="464"/>
      <c r="I180" s="464" t="s">
        <v>789</v>
      </c>
      <c r="J180" s="464" t="s">
        <v>524</v>
      </c>
      <c r="K180" s="465" t="s">
        <v>555</v>
      </c>
      <c r="L180" s="466">
        <v>0.54166666666666663</v>
      </c>
      <c r="M180" s="466">
        <v>0.6875</v>
      </c>
      <c r="N180" s="467"/>
      <c r="O180" s="468"/>
      <c r="P180" s="469"/>
      <c r="Q180" s="467"/>
      <c r="R18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80" s="471"/>
      <c r="T180" s="472"/>
      <c r="U180" s="472"/>
      <c r="V180" s="472"/>
      <c r="W180" s="473"/>
      <c r="X180" s="473"/>
      <c r="Y180" s="472"/>
    </row>
    <row r="181" spans="1:25">
      <c r="A181" s="461">
        <f t="shared" si="8"/>
        <v>2</v>
      </c>
      <c r="B181" s="474">
        <v>43524</v>
      </c>
      <c r="C181" s="462" t="s">
        <v>3</v>
      </c>
      <c r="D181" s="462" t="str">
        <f>IFERROR(VLOOKUP([1]!Table1[[#This Row],[Mã công đoạn]],'[1]MA SO'!$B:$D,2,0),"")</f>
        <v/>
      </c>
      <c r="E181" s="463" t="str">
        <f>IFERROR(VLOOKUP([1]!Table1[[#This Row],[Mã công đoạn]],'[1]MA SO'!$B:$D,3,0),"")</f>
        <v/>
      </c>
      <c r="F181" s="461" t="s">
        <v>706</v>
      </c>
      <c r="G181" s="464"/>
      <c r="H181" s="464" t="s">
        <v>51</v>
      </c>
      <c r="I181" s="464"/>
      <c r="J181" s="464" t="s">
        <v>470</v>
      </c>
      <c r="K181" s="465" t="s">
        <v>554</v>
      </c>
      <c r="L181" s="466">
        <v>0.33333333333333331</v>
      </c>
      <c r="M181" s="466">
        <v>0.47916666666666669</v>
      </c>
      <c r="N181" s="467"/>
      <c r="O181" s="468">
        <v>6.25E-2</v>
      </c>
      <c r="P181" s="469"/>
      <c r="Q181" s="467"/>
      <c r="R18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8.333333333333337E-2</v>
      </c>
      <c r="S181" s="471">
        <v>30</v>
      </c>
      <c r="T181" s="472"/>
      <c r="U181" s="472"/>
      <c r="V181" s="472"/>
      <c r="W181" s="473"/>
      <c r="X181" s="473"/>
      <c r="Y181" s="472"/>
    </row>
    <row r="182" spans="1:25">
      <c r="A182" s="461">
        <f t="shared" si="8"/>
        <v>2</v>
      </c>
      <c r="B182" s="474">
        <v>43524</v>
      </c>
      <c r="C182" s="462" t="s">
        <v>3</v>
      </c>
      <c r="D182" s="462" t="str">
        <f>IFERROR(VLOOKUP([1]!Table1[[#This Row],[Mã công đoạn]],'[1]MA SO'!$B:$D,2,0),"")</f>
        <v/>
      </c>
      <c r="E182" s="463" t="str">
        <f>IFERROR(VLOOKUP([1]!Table1[[#This Row],[Mã công đoạn]],'[1]MA SO'!$B:$D,3,0),"")</f>
        <v/>
      </c>
      <c r="F182" s="461" t="s">
        <v>904</v>
      </c>
      <c r="G182" s="464"/>
      <c r="H182" s="464" t="s">
        <v>51</v>
      </c>
      <c r="I182" s="464"/>
      <c r="J182" s="464" t="s">
        <v>470</v>
      </c>
      <c r="K182" s="465" t="s">
        <v>555</v>
      </c>
      <c r="L182" s="466">
        <v>0.51736111111111105</v>
      </c>
      <c r="M182" s="466">
        <v>0.68402777777777779</v>
      </c>
      <c r="N182" s="467"/>
      <c r="O182" s="468">
        <v>0.16666666666666666</v>
      </c>
      <c r="P182" s="469"/>
      <c r="Q182" s="467"/>
      <c r="R18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8.3266726846886741E-17</v>
      </c>
      <c r="S182" s="471"/>
      <c r="T182" s="472"/>
      <c r="U182" s="472"/>
      <c r="V182" s="472"/>
      <c r="W182" s="473"/>
      <c r="X182" s="473"/>
      <c r="Y182" s="472"/>
    </row>
    <row r="183" spans="1:25">
      <c r="A183" s="461">
        <f t="shared" si="8"/>
        <v>2</v>
      </c>
      <c r="B183" s="474">
        <v>43524</v>
      </c>
      <c r="C183" s="462" t="s">
        <v>3</v>
      </c>
      <c r="D183" s="462" t="str">
        <f>IFERROR(VLOOKUP([1]!Table1[[#This Row],[Mã công đoạn]],'[1]MA SO'!$B:$D,2,0),"")</f>
        <v/>
      </c>
      <c r="E183" s="463" t="str">
        <f>IFERROR(VLOOKUP([1]!Table1[[#This Row],[Mã công đoạn]],'[1]MA SO'!$B:$D,3,0),"")</f>
        <v/>
      </c>
      <c r="F183" s="461" t="s">
        <v>706</v>
      </c>
      <c r="G183" s="464"/>
      <c r="H183" s="464" t="s">
        <v>50</v>
      </c>
      <c r="I183" s="464"/>
      <c r="J183" s="464" t="s">
        <v>468</v>
      </c>
      <c r="K183" s="465" t="s">
        <v>554</v>
      </c>
      <c r="L183" s="466">
        <v>0.42708333333333331</v>
      </c>
      <c r="M183" s="466">
        <v>0.47569444444444442</v>
      </c>
      <c r="N183" s="467"/>
      <c r="O183" s="468"/>
      <c r="P183" s="469"/>
      <c r="Q183" s="467"/>
      <c r="R18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4.8611111111111105E-2</v>
      </c>
      <c r="S183" s="471">
        <v>10</v>
      </c>
      <c r="T183" s="472">
        <v>314</v>
      </c>
      <c r="U183" s="472"/>
      <c r="V183" s="472"/>
      <c r="W183" s="473"/>
      <c r="X183" s="473"/>
      <c r="Y183" s="472"/>
    </row>
    <row r="184" spans="1:25">
      <c r="A184" s="461">
        <f t="shared" si="8"/>
        <v>2</v>
      </c>
      <c r="B184" s="474">
        <v>43524</v>
      </c>
      <c r="C184" s="462" t="s">
        <v>3</v>
      </c>
      <c r="D184" s="462" t="str">
        <f>IFERROR(VLOOKUP([1]!Table1[[#This Row],[Mã công đoạn]],'[1]MA SO'!$B:$D,2,0),"")</f>
        <v/>
      </c>
      <c r="E184" s="463" t="str">
        <f>IFERROR(VLOOKUP([1]!Table1[[#This Row],[Mã công đoạn]],'[1]MA SO'!$B:$D,3,0),"")</f>
        <v/>
      </c>
      <c r="F184" s="461" t="s">
        <v>706</v>
      </c>
      <c r="G184" s="464"/>
      <c r="H184" s="464" t="s">
        <v>50</v>
      </c>
      <c r="I184" s="464"/>
      <c r="J184" s="464" t="s">
        <v>468</v>
      </c>
      <c r="K184" s="465" t="s">
        <v>555</v>
      </c>
      <c r="L184" s="466">
        <v>0.52083333333333337</v>
      </c>
      <c r="M184" s="466">
        <v>0.58333333333333337</v>
      </c>
      <c r="N184" s="467"/>
      <c r="O184" s="468"/>
      <c r="P184" s="469"/>
      <c r="Q184" s="467"/>
      <c r="R18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6.25E-2</v>
      </c>
      <c r="S184" s="471">
        <v>11</v>
      </c>
      <c r="T184" s="472"/>
      <c r="U184" s="472"/>
      <c r="V184" s="472"/>
      <c r="W184" s="473"/>
      <c r="X184" s="473"/>
      <c r="Y184" s="472"/>
    </row>
    <row r="185" spans="1:25">
      <c r="A185" s="461">
        <f t="shared" si="8"/>
        <v>2</v>
      </c>
      <c r="B185" s="474">
        <v>43524</v>
      </c>
      <c r="C185" s="462" t="s">
        <v>3</v>
      </c>
      <c r="D185" s="462" t="str">
        <f>IFERROR(VLOOKUP([1]!Table1[[#This Row],[Mã công đoạn]],'[1]MA SO'!$B:$D,2,0),"")</f>
        <v/>
      </c>
      <c r="E185" s="463" t="str">
        <f>IFERROR(VLOOKUP([1]!Table1[[#This Row],[Mã công đoạn]],'[1]MA SO'!$B:$D,3,0),"")</f>
        <v/>
      </c>
      <c r="F185" s="461" t="s">
        <v>706</v>
      </c>
      <c r="G185" s="464"/>
      <c r="H185" s="464" t="s">
        <v>42</v>
      </c>
      <c r="I185" s="464"/>
      <c r="J185" s="464" t="s">
        <v>558</v>
      </c>
      <c r="K185" s="465" t="s">
        <v>554</v>
      </c>
      <c r="L185" s="466">
        <v>0.33333333333333331</v>
      </c>
      <c r="M185" s="466">
        <v>0.47916666666666669</v>
      </c>
      <c r="N185" s="467"/>
      <c r="O185" s="468"/>
      <c r="P185" s="469"/>
      <c r="Q185" s="467"/>
      <c r="R18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85" s="471">
        <v>15</v>
      </c>
      <c r="T185" s="472">
        <v>230</v>
      </c>
      <c r="U185" s="472"/>
      <c r="V185" s="472"/>
      <c r="W185" s="473"/>
      <c r="X185" s="473"/>
      <c r="Y185" s="472"/>
    </row>
    <row r="186" spans="1:25">
      <c r="A186" s="461">
        <f t="shared" si="8"/>
        <v>2</v>
      </c>
      <c r="B186" s="474">
        <v>43524</v>
      </c>
      <c r="C186" s="462" t="s">
        <v>3</v>
      </c>
      <c r="D186" s="462" t="str">
        <f>IFERROR(VLOOKUP([1]!Table1[[#This Row],[Mã công đoạn]],'[1]MA SO'!$B:$D,2,0),"")</f>
        <v/>
      </c>
      <c r="E186" s="463" t="str">
        <f>IFERROR(VLOOKUP([1]!Table1[[#This Row],[Mã công đoạn]],'[1]MA SO'!$B:$D,3,0),"")</f>
        <v/>
      </c>
      <c r="F186" s="461" t="s">
        <v>706</v>
      </c>
      <c r="G186" s="464"/>
      <c r="H186" s="464" t="s">
        <v>42</v>
      </c>
      <c r="I186" s="464"/>
      <c r="J186" s="464" t="s">
        <v>558</v>
      </c>
      <c r="K186" s="465" t="s">
        <v>555</v>
      </c>
      <c r="L186" s="466">
        <v>0.52083333333333337</v>
      </c>
      <c r="M186" s="466">
        <v>0.58680555555555558</v>
      </c>
      <c r="N186" s="467"/>
      <c r="O186" s="468"/>
      <c r="P186" s="469"/>
      <c r="Q186" s="467"/>
      <c r="R18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6.597222222222221E-2</v>
      </c>
      <c r="S186" s="471">
        <v>6</v>
      </c>
      <c r="T186" s="472"/>
      <c r="U186" s="472"/>
      <c r="V186" s="472"/>
      <c r="W186" s="473"/>
      <c r="X186" s="473"/>
      <c r="Y186" s="472"/>
    </row>
    <row r="187" spans="1:25">
      <c r="A187" s="461">
        <f t="shared" si="8"/>
        <v>2</v>
      </c>
      <c r="B187" s="474">
        <v>43524</v>
      </c>
      <c r="C187" s="462" t="s">
        <v>3</v>
      </c>
      <c r="D187" s="462" t="str">
        <f>IFERROR(VLOOKUP([1]!Table1[[#This Row],[Mã công đoạn]],'[1]MA SO'!$B:$D,2,0),"")</f>
        <v/>
      </c>
      <c r="E187" s="463" t="str">
        <f>IFERROR(VLOOKUP([1]!Table1[[#This Row],[Mã công đoạn]],'[1]MA SO'!$B:$D,3,0),"")</f>
        <v/>
      </c>
      <c r="F187" s="461" t="s">
        <v>706</v>
      </c>
      <c r="G187" s="464"/>
      <c r="H187" s="464" t="s">
        <v>121</v>
      </c>
      <c r="I187" s="464"/>
      <c r="J187" s="464" t="s">
        <v>558</v>
      </c>
      <c r="K187" s="465" t="s">
        <v>554</v>
      </c>
      <c r="L187" s="466">
        <v>0.33333333333333331</v>
      </c>
      <c r="M187" s="466">
        <v>0.47916666666666669</v>
      </c>
      <c r="N187" s="467"/>
      <c r="O187" s="468"/>
      <c r="P187" s="469"/>
      <c r="Q187" s="467"/>
      <c r="R18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187" s="471">
        <v>15</v>
      </c>
      <c r="T187" s="472">
        <v>275</v>
      </c>
      <c r="U187" s="472"/>
      <c r="V187" s="472"/>
      <c r="W187" s="473"/>
      <c r="X187" s="473"/>
      <c r="Y187" s="472"/>
    </row>
    <row r="188" spans="1:25">
      <c r="A188" s="461">
        <f t="shared" si="8"/>
        <v>2</v>
      </c>
      <c r="B188" s="474">
        <v>43524</v>
      </c>
      <c r="C188" s="462" t="s">
        <v>3</v>
      </c>
      <c r="D188" s="462" t="str">
        <f>IFERROR(VLOOKUP([1]!Table1[[#This Row],[Mã công đoạn]],'[1]MA SO'!$B:$D,2,0),"")</f>
        <v/>
      </c>
      <c r="E188" s="463" t="str">
        <f>IFERROR(VLOOKUP([1]!Table1[[#This Row],[Mã công đoạn]],'[1]MA SO'!$B:$D,3,0),"")</f>
        <v/>
      </c>
      <c r="F188" s="461" t="s">
        <v>706</v>
      </c>
      <c r="G188" s="464"/>
      <c r="H188" s="464" t="s">
        <v>121</v>
      </c>
      <c r="I188" s="464"/>
      <c r="J188" s="464" t="s">
        <v>558</v>
      </c>
      <c r="K188" s="465" t="s">
        <v>555</v>
      </c>
      <c r="L188" s="466">
        <v>0.52083333333333337</v>
      </c>
      <c r="M188" s="466">
        <v>0.59027777777777779</v>
      </c>
      <c r="N188" s="467"/>
      <c r="O188" s="468"/>
      <c r="P188" s="469"/>
      <c r="Q188" s="467"/>
      <c r="R18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6.944444444444442E-2</v>
      </c>
      <c r="S188" s="471">
        <v>5</v>
      </c>
      <c r="T188" s="472"/>
      <c r="U188" s="472"/>
      <c r="V188" s="472"/>
      <c r="W188" s="473"/>
      <c r="X188" s="473"/>
      <c r="Y188" s="472"/>
    </row>
    <row r="189" spans="1:25">
      <c r="A189" s="461">
        <f t="shared" si="8"/>
        <v>2</v>
      </c>
      <c r="B189" s="474">
        <v>43524</v>
      </c>
      <c r="C189" s="462" t="s">
        <v>3</v>
      </c>
      <c r="D189" s="462" t="str">
        <f>IFERROR(VLOOKUP([1]!Table1[[#This Row],[Mã công đoạn]],'[1]MA SO'!$B:$D,2,0),"")</f>
        <v/>
      </c>
      <c r="E189" s="463" t="str">
        <f>IFERROR(VLOOKUP([1]!Table1[[#This Row],[Mã công đoạn]],'[1]MA SO'!$B:$D,3,0),"")</f>
        <v/>
      </c>
      <c r="F189" s="461" t="s">
        <v>706</v>
      </c>
      <c r="G189" s="464"/>
      <c r="H189" s="464" t="s">
        <v>146</v>
      </c>
      <c r="I189" s="464"/>
      <c r="J189" s="464" t="s">
        <v>558</v>
      </c>
      <c r="K189" s="465" t="s">
        <v>554</v>
      </c>
      <c r="L189" s="466">
        <v>0.3125</v>
      </c>
      <c r="M189" s="466">
        <v>0.47916666666666669</v>
      </c>
      <c r="N189" s="467"/>
      <c r="O189" s="468"/>
      <c r="P189" s="469"/>
      <c r="Q189" s="467"/>
      <c r="R18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89" s="471">
        <v>30</v>
      </c>
      <c r="T189" s="472">
        <v>80</v>
      </c>
      <c r="U189" s="472"/>
      <c r="V189" s="472"/>
      <c r="W189" s="473"/>
      <c r="X189" s="473"/>
      <c r="Y189" s="472"/>
    </row>
    <row r="190" spans="1:25">
      <c r="A190" s="461">
        <f t="shared" si="8"/>
        <v>2</v>
      </c>
      <c r="B190" s="474">
        <v>43524</v>
      </c>
      <c r="C190" s="462" t="s">
        <v>3</v>
      </c>
      <c r="D190" s="462" t="str">
        <f>IFERROR(VLOOKUP([1]!Table1[[#This Row],[Mã công đoạn]],'[1]MA SO'!$B:$D,2,0),"")</f>
        <v/>
      </c>
      <c r="E190" s="463" t="str">
        <f>IFERROR(VLOOKUP([1]!Table1[[#This Row],[Mã công đoạn]],'[1]MA SO'!$B:$D,3,0),"")</f>
        <v/>
      </c>
      <c r="F190" s="461" t="s">
        <v>706</v>
      </c>
      <c r="G190" s="464"/>
      <c r="H190" s="464" t="s">
        <v>139</v>
      </c>
      <c r="I190" s="464"/>
      <c r="J190" s="464" t="s">
        <v>558</v>
      </c>
      <c r="K190" s="465" t="s">
        <v>554</v>
      </c>
      <c r="L190" s="466">
        <v>0.3125</v>
      </c>
      <c r="M190" s="466">
        <v>0.47916666666666669</v>
      </c>
      <c r="N190" s="467"/>
      <c r="O190" s="468"/>
      <c r="P190" s="469"/>
      <c r="Q190" s="467"/>
      <c r="R19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0.16666666666666669</v>
      </c>
      <c r="S190" s="471">
        <v>30</v>
      </c>
      <c r="T190" s="472">
        <v>93</v>
      </c>
      <c r="U190" s="472"/>
      <c r="V190" s="472"/>
      <c r="W190" s="473"/>
      <c r="X190" s="473"/>
      <c r="Y190" s="472"/>
    </row>
    <row r="191" spans="1:25">
      <c r="A191" s="461">
        <f t="shared" si="8"/>
        <v>2</v>
      </c>
      <c r="B191" s="474">
        <v>43524</v>
      </c>
      <c r="C191" s="462" t="s">
        <v>3</v>
      </c>
      <c r="D191" s="462" t="str">
        <f>IFERROR(VLOOKUP([1]!Table1[[#This Row],[Mã công đoạn]],'[1]MA SO'!$B:$D,2,0),"")</f>
        <v/>
      </c>
      <c r="E191" s="463" t="str">
        <f>IFERROR(VLOOKUP([1]!Table1[[#This Row],[Mã công đoạn]],'[1]MA SO'!$B:$D,3,0),"")</f>
        <v/>
      </c>
      <c r="F191" s="461" t="s">
        <v>706</v>
      </c>
      <c r="G191" s="464"/>
      <c r="H191" s="464" t="s">
        <v>139</v>
      </c>
      <c r="I191" s="464"/>
      <c r="J191" s="464" t="s">
        <v>558</v>
      </c>
      <c r="K191" s="465" t="s">
        <v>555</v>
      </c>
      <c r="L191" s="466">
        <v>0.52083333333333337</v>
      </c>
      <c r="M191" s="466">
        <v>0.57291666666666663</v>
      </c>
      <c r="N191" s="467"/>
      <c r="O191" s="468"/>
      <c r="P191" s="469"/>
      <c r="Q191" s="467"/>
      <c r="R19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5.2083333333333259E-2</v>
      </c>
      <c r="S191" s="471">
        <v>11</v>
      </c>
      <c r="T191" s="472"/>
      <c r="U191" s="472"/>
      <c r="V191" s="472"/>
      <c r="W191" s="473"/>
      <c r="X191" s="473"/>
      <c r="Y191" s="472"/>
    </row>
    <row r="192" spans="1:25">
      <c r="A192" s="461">
        <f t="shared" si="8"/>
        <v>2</v>
      </c>
      <c r="B192" s="474">
        <v>43524</v>
      </c>
      <c r="C192" s="462" t="s">
        <v>3</v>
      </c>
      <c r="D192" s="462" t="str">
        <f>IFERROR(VLOOKUP([1]!Table1[[#This Row],[Mã công đoạn]],'[1]MA SO'!$B:$D,2,0),"")</f>
        <v/>
      </c>
      <c r="E192" s="463" t="str">
        <f>IFERROR(VLOOKUP([1]!Table1[[#This Row],[Mã công đoạn]],'[1]MA SO'!$B:$D,3,0),"")</f>
        <v/>
      </c>
      <c r="F192" s="461" t="s">
        <v>682</v>
      </c>
      <c r="G192" s="464" t="s">
        <v>995</v>
      </c>
      <c r="H192" s="464" t="s">
        <v>35</v>
      </c>
      <c r="I192" s="464" t="s">
        <v>312</v>
      </c>
      <c r="J192" s="464" t="s">
        <v>478</v>
      </c>
      <c r="K192" s="465" t="s">
        <v>554</v>
      </c>
      <c r="L192" s="466">
        <v>0.3125</v>
      </c>
      <c r="M192" s="466">
        <v>0.41319444444444442</v>
      </c>
      <c r="N192" s="467"/>
      <c r="O192" s="468"/>
      <c r="P192" s="469"/>
      <c r="Q192" s="467"/>
      <c r="R19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0.10069444444444442</v>
      </c>
      <c r="S192" s="471">
        <v>27</v>
      </c>
      <c r="T192" s="472"/>
      <c r="U192" s="472"/>
      <c r="V192" s="472"/>
      <c r="W192" s="473"/>
      <c r="X192" s="473"/>
      <c r="Y192" s="472"/>
    </row>
    <row r="193" spans="1:25">
      <c r="A193" s="461">
        <f t="shared" si="8"/>
        <v>2</v>
      </c>
      <c r="B193" s="474">
        <v>43524</v>
      </c>
      <c r="C193" s="462" t="s">
        <v>3</v>
      </c>
      <c r="D193" s="462" t="str">
        <f>IFERROR(VLOOKUP([1]!Table1[[#This Row],[Mã công đoạn]],'[1]MA SO'!$B:$D,2,0),"")</f>
        <v/>
      </c>
      <c r="E193" s="463" t="str">
        <f>IFERROR(VLOOKUP([1]!Table1[[#This Row],[Mã công đoạn]],'[1]MA SO'!$B:$D,3,0),"")</f>
        <v/>
      </c>
      <c r="F193" s="461" t="s">
        <v>682</v>
      </c>
      <c r="G193" s="464" t="s">
        <v>995</v>
      </c>
      <c r="H193" s="464" t="s">
        <v>117</v>
      </c>
      <c r="I193" s="464" t="s">
        <v>312</v>
      </c>
      <c r="J193" s="464" t="s">
        <v>477</v>
      </c>
      <c r="K193" s="465" t="s">
        <v>554</v>
      </c>
      <c r="L193" s="466">
        <v>0.3125</v>
      </c>
      <c r="M193" s="466">
        <v>0.41319444444444442</v>
      </c>
      <c r="N193" s="467"/>
      <c r="O193" s="468"/>
      <c r="P193" s="469"/>
      <c r="Q193" s="467"/>
      <c r="R19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0.10069444444444442</v>
      </c>
      <c r="S193" s="471">
        <v>9</v>
      </c>
      <c r="T193" s="472"/>
      <c r="U193" s="472"/>
      <c r="V193" s="472"/>
      <c r="W193" s="473"/>
      <c r="X193" s="473"/>
      <c r="Y193" s="472"/>
    </row>
    <row r="194" spans="1:25">
      <c r="A194" s="461">
        <f t="shared" si="8"/>
        <v>2</v>
      </c>
      <c r="B194" s="474">
        <v>43524</v>
      </c>
      <c r="C194" s="462" t="s">
        <v>3</v>
      </c>
      <c r="D194" s="462" t="str">
        <f>IFERROR(VLOOKUP([1]!Table1[[#This Row],[Mã công đoạn]],'[1]MA SO'!$B:$D,2,0),"")</f>
        <v/>
      </c>
      <c r="E194" s="463" t="str">
        <f>IFERROR(VLOOKUP([1]!Table1[[#This Row],[Mã công đoạn]],'[1]MA SO'!$B:$D,3,0),"")</f>
        <v/>
      </c>
      <c r="F194" s="461" t="s">
        <v>682</v>
      </c>
      <c r="G194" s="464" t="s">
        <v>995</v>
      </c>
      <c r="H194" s="464" t="s">
        <v>116</v>
      </c>
      <c r="I194" s="464" t="s">
        <v>312</v>
      </c>
      <c r="J194" s="464" t="s">
        <v>472</v>
      </c>
      <c r="K194" s="465" t="s">
        <v>790</v>
      </c>
      <c r="L194" s="466">
        <v>0.3125</v>
      </c>
      <c r="M194" s="466">
        <v>0.41666666666666669</v>
      </c>
      <c r="N194" s="467"/>
      <c r="O194" s="468"/>
      <c r="P194" s="469"/>
      <c r="Q194" s="467"/>
      <c r="R19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0.10416666666666669</v>
      </c>
      <c r="S194" s="471">
        <f>9*9.8</f>
        <v>88.2</v>
      </c>
      <c r="T194" s="472"/>
      <c r="U194" s="472"/>
      <c r="V194" s="472"/>
      <c r="W194" s="473"/>
      <c r="X194" s="473"/>
      <c r="Y194" s="472"/>
    </row>
    <row r="195" spans="1:25">
      <c r="A195" s="461">
        <f t="shared" si="8"/>
        <v>2</v>
      </c>
      <c r="B195" s="474">
        <v>43524</v>
      </c>
      <c r="C195" s="462" t="s">
        <v>3</v>
      </c>
      <c r="D195" s="462" t="str">
        <f>IFERROR(VLOOKUP([1]!Table1[[#This Row],[Mã công đoạn]],'[1]MA SO'!$B:$D,2,0),"")</f>
        <v/>
      </c>
      <c r="E195" s="463" t="str">
        <f>IFERROR(VLOOKUP([1]!Table1[[#This Row],[Mã công đoạn]],'[1]MA SO'!$B:$D,3,0),"")</f>
        <v/>
      </c>
      <c r="F195" s="461" t="s">
        <v>682</v>
      </c>
      <c r="G195" s="464" t="s">
        <v>995</v>
      </c>
      <c r="H195" s="464" t="s">
        <v>131</v>
      </c>
      <c r="I195" s="464" t="s">
        <v>312</v>
      </c>
      <c r="J195" s="464" t="s">
        <v>342</v>
      </c>
      <c r="K195" s="465" t="s">
        <v>554</v>
      </c>
      <c r="L195" s="466">
        <v>0.3125</v>
      </c>
      <c r="M195" s="466">
        <v>0.4201388888888889</v>
      </c>
      <c r="N195" s="467"/>
      <c r="O195" s="468"/>
      <c r="P195" s="469"/>
      <c r="Q195" s="467"/>
      <c r="R19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0.1076388888888889</v>
      </c>
      <c r="S195" s="471">
        <v>9</v>
      </c>
      <c r="T195" s="472"/>
      <c r="U195" s="472"/>
      <c r="V195" s="472"/>
      <c r="W195" s="473"/>
      <c r="X195" s="473"/>
      <c r="Y195" s="472"/>
    </row>
    <row r="196" spans="1:25">
      <c r="A196" s="461">
        <f t="shared" ref="A196:A213" si="9">MONTH(B196)</f>
        <v>2</v>
      </c>
      <c r="B196" s="474">
        <v>43524</v>
      </c>
      <c r="C196" s="462" t="s">
        <v>3</v>
      </c>
      <c r="D196" s="462" t="str">
        <f>IFERROR(VLOOKUP([1]!Table1[[#This Row],[Mã công đoạn]],'[1]MA SO'!$B:$D,2,0),"")</f>
        <v/>
      </c>
      <c r="E196" s="463" t="str">
        <f>IFERROR(VLOOKUP([1]!Table1[[#This Row],[Mã công đoạn]],'[1]MA SO'!$B:$D,3,0),"")</f>
        <v/>
      </c>
      <c r="F196" s="461" t="s">
        <v>704</v>
      </c>
      <c r="G196" s="464"/>
      <c r="H196" s="464" t="s">
        <v>50</v>
      </c>
      <c r="I196" s="464"/>
      <c r="J196" s="464" t="s">
        <v>468</v>
      </c>
      <c r="K196" s="465" t="s">
        <v>555</v>
      </c>
      <c r="L196" s="466">
        <v>0.58333333333333337</v>
      </c>
      <c r="M196" s="466">
        <v>0.6875</v>
      </c>
      <c r="N196" s="467"/>
      <c r="O196" s="468"/>
      <c r="P196" s="469"/>
      <c r="Q196" s="467"/>
      <c r="R19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0.10416666666666663</v>
      </c>
      <c r="S196" s="471"/>
      <c r="T196" s="472"/>
      <c r="U196" s="472"/>
      <c r="V196" s="472"/>
      <c r="W196" s="473"/>
      <c r="X196" s="473"/>
      <c r="Y196" s="472"/>
    </row>
    <row r="197" spans="1:25">
      <c r="A197" s="461">
        <f t="shared" si="9"/>
        <v>2</v>
      </c>
      <c r="B197" s="474">
        <v>43524</v>
      </c>
      <c r="C197" s="462" t="s">
        <v>3</v>
      </c>
      <c r="D197" s="462" t="str">
        <f>IFERROR(VLOOKUP([1]!Table1[[#This Row],[Mã công đoạn]],'[1]MA SO'!$B:$D,2,0),"")</f>
        <v/>
      </c>
      <c r="E197" s="463" t="str">
        <f>IFERROR(VLOOKUP([1]!Table1[[#This Row],[Mã công đoạn]],'[1]MA SO'!$B:$D,3,0),"")</f>
        <v/>
      </c>
      <c r="F197" s="461" t="s">
        <v>682</v>
      </c>
      <c r="G197" s="464" t="s">
        <v>995</v>
      </c>
      <c r="H197" s="464" t="s">
        <v>50</v>
      </c>
      <c r="I197" s="464" t="s">
        <v>312</v>
      </c>
      <c r="J197" s="464" t="s">
        <v>468</v>
      </c>
      <c r="K197" s="465" t="s">
        <v>554</v>
      </c>
      <c r="L197" s="466">
        <v>0.3125</v>
      </c>
      <c r="M197" s="466">
        <v>0.42708333333333331</v>
      </c>
      <c r="N197" s="467">
        <v>6.9444444444444441E-3</v>
      </c>
      <c r="O197" s="468"/>
      <c r="P197" s="469"/>
      <c r="Q197" s="467"/>
      <c r="R19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0.10763888888888887</v>
      </c>
      <c r="S197" s="471">
        <v>27</v>
      </c>
      <c r="T197" s="472"/>
      <c r="U197" s="472"/>
      <c r="V197" s="472"/>
      <c r="W197" s="473"/>
      <c r="X197" s="473"/>
      <c r="Y197" s="472"/>
    </row>
    <row r="198" spans="1:25">
      <c r="A198" s="461">
        <f t="shared" si="9"/>
        <v>2</v>
      </c>
      <c r="B198" s="474">
        <v>43524</v>
      </c>
      <c r="C198" s="462" t="s">
        <v>3</v>
      </c>
      <c r="D198" s="462" t="str">
        <f>IFERROR(VLOOKUP([1]!Table1[[#This Row],[Mã công đoạn]],'[1]MA SO'!$B:$D,2,0),"")</f>
        <v/>
      </c>
      <c r="E198" s="463" t="str">
        <f>IFERROR(VLOOKUP([1]!Table1[[#This Row],[Mã công đoạn]],'[1]MA SO'!$B:$D,3,0),"")</f>
        <v/>
      </c>
      <c r="F198" s="461" t="s">
        <v>682</v>
      </c>
      <c r="G198" s="464" t="s">
        <v>995</v>
      </c>
      <c r="H198" s="464" t="s">
        <v>35</v>
      </c>
      <c r="I198" s="464" t="s">
        <v>312</v>
      </c>
      <c r="J198" s="464" t="s">
        <v>478</v>
      </c>
      <c r="K198" s="465" t="s">
        <v>554</v>
      </c>
      <c r="L198" s="466">
        <v>0.41319444444444442</v>
      </c>
      <c r="M198" s="466">
        <v>0.4375</v>
      </c>
      <c r="N198" s="467"/>
      <c r="O198" s="468"/>
      <c r="P198" s="469"/>
      <c r="Q198" s="467"/>
      <c r="R19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2.430555555555558E-2</v>
      </c>
      <c r="S198" s="471">
        <v>8</v>
      </c>
      <c r="T198" s="472"/>
      <c r="U198" s="472"/>
      <c r="V198" s="472"/>
      <c r="W198" s="473"/>
      <c r="X198" s="473"/>
      <c r="Y198" s="472"/>
    </row>
    <row r="199" spans="1:25">
      <c r="A199" s="461">
        <f t="shared" si="9"/>
        <v>2</v>
      </c>
      <c r="B199" s="474">
        <v>43524</v>
      </c>
      <c r="C199" s="462" t="s">
        <v>3</v>
      </c>
      <c r="D199" s="462" t="str">
        <f>IFERROR(VLOOKUP([1]!Table1[[#This Row],[Mã công đoạn]],'[1]MA SO'!$B:$D,2,0),"")</f>
        <v/>
      </c>
      <c r="E199" s="463" t="str">
        <f>IFERROR(VLOOKUP([1]!Table1[[#This Row],[Mã công đoạn]],'[1]MA SO'!$B:$D,3,0),"")</f>
        <v/>
      </c>
      <c r="F199" s="461" t="s">
        <v>682</v>
      </c>
      <c r="G199" s="464" t="s">
        <v>995</v>
      </c>
      <c r="H199" s="464" t="s">
        <v>117</v>
      </c>
      <c r="I199" s="464" t="s">
        <v>312</v>
      </c>
      <c r="J199" s="464" t="s">
        <v>477</v>
      </c>
      <c r="K199" s="465" t="s">
        <v>554</v>
      </c>
      <c r="L199" s="466">
        <v>0.41319444444444442</v>
      </c>
      <c r="M199" s="466">
        <v>0.44097222222222227</v>
      </c>
      <c r="N199" s="467"/>
      <c r="O199" s="468"/>
      <c r="P199" s="469"/>
      <c r="Q199" s="467"/>
      <c r="R19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2.7777777777777846E-2</v>
      </c>
      <c r="S199" s="471">
        <v>3</v>
      </c>
      <c r="T199" s="472"/>
      <c r="U199" s="472"/>
      <c r="V199" s="472"/>
      <c r="W199" s="473"/>
      <c r="X199" s="473"/>
      <c r="Y199" s="472"/>
    </row>
    <row r="200" spans="1:25">
      <c r="A200" s="461">
        <f t="shared" si="9"/>
        <v>2</v>
      </c>
      <c r="B200" s="474">
        <v>43524</v>
      </c>
      <c r="C200" s="462" t="s">
        <v>3</v>
      </c>
      <c r="D200" s="462" t="str">
        <f>IFERROR(VLOOKUP([1]!Table1[[#This Row],[Mã công đoạn]],'[1]MA SO'!$B:$D,2,0),"")</f>
        <v/>
      </c>
      <c r="E200" s="463" t="str">
        <f>IFERROR(VLOOKUP([1]!Table1[[#This Row],[Mã công đoạn]],'[1]MA SO'!$B:$D,3,0),"")</f>
        <v/>
      </c>
      <c r="F200" s="461" t="s">
        <v>682</v>
      </c>
      <c r="G200" s="464" t="s">
        <v>995</v>
      </c>
      <c r="H200" s="464" t="s">
        <v>116</v>
      </c>
      <c r="I200" s="464" t="s">
        <v>312</v>
      </c>
      <c r="J200" s="464" t="s">
        <v>472</v>
      </c>
      <c r="K200" s="465" t="s">
        <v>791</v>
      </c>
      <c r="L200" s="466">
        <v>0.41666666666666669</v>
      </c>
      <c r="M200" s="466">
        <v>0.44444444444444442</v>
      </c>
      <c r="N200" s="467"/>
      <c r="O200" s="468"/>
      <c r="P200" s="469"/>
      <c r="Q200" s="467"/>
      <c r="R20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2.7777777777777735E-2</v>
      </c>
      <c r="S200" s="471">
        <f>3*9.8</f>
        <v>29.400000000000002</v>
      </c>
      <c r="T200" s="472"/>
      <c r="U200" s="472"/>
      <c r="V200" s="472"/>
      <c r="W200" s="473"/>
      <c r="X200" s="473"/>
      <c r="Y200" s="472"/>
    </row>
    <row r="201" spans="1:25">
      <c r="A201" s="461">
        <f t="shared" si="9"/>
        <v>2</v>
      </c>
      <c r="B201" s="474">
        <v>43524</v>
      </c>
      <c r="C201" s="462" t="s">
        <v>3</v>
      </c>
      <c r="D201" s="462" t="str">
        <f>IFERROR(VLOOKUP([1]!Table1[[#This Row],[Mã công đoạn]],'[1]MA SO'!$B:$D,2,0),"")</f>
        <v/>
      </c>
      <c r="E201" s="463" t="str">
        <f>IFERROR(VLOOKUP([1]!Table1[[#This Row],[Mã công đoạn]],'[1]MA SO'!$B:$D,3,0),"")</f>
        <v/>
      </c>
      <c r="F201" s="461" t="s">
        <v>682</v>
      </c>
      <c r="G201" s="464" t="s">
        <v>995</v>
      </c>
      <c r="H201" s="464" t="s">
        <v>131</v>
      </c>
      <c r="I201" s="464" t="s">
        <v>312</v>
      </c>
      <c r="J201" s="464" t="s">
        <v>342</v>
      </c>
      <c r="K201" s="465" t="s">
        <v>554</v>
      </c>
      <c r="L201" s="466">
        <v>0.4201388888888889</v>
      </c>
      <c r="M201" s="466">
        <v>0.4375</v>
      </c>
      <c r="N201" s="467"/>
      <c r="O201" s="468"/>
      <c r="P201" s="469"/>
      <c r="Q201" s="467"/>
      <c r="R20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1.7361111111111105E-2</v>
      </c>
      <c r="S201" s="471">
        <v>2</v>
      </c>
      <c r="T201" s="472"/>
      <c r="U201" s="472"/>
      <c r="V201" s="472"/>
      <c r="W201" s="473"/>
      <c r="X201" s="473"/>
      <c r="Y201" s="472"/>
    </row>
    <row r="202" spans="1:25">
      <c r="A202" s="461">
        <f t="shared" si="9"/>
        <v>2</v>
      </c>
      <c r="B202" s="474">
        <v>43524</v>
      </c>
      <c r="C202" s="462" t="s">
        <v>3</v>
      </c>
      <c r="D202" s="462" t="str">
        <f>IFERROR(VLOOKUP([1]!Table1[[#This Row],[Mã công đoạn]],'[1]MA SO'!$B:$D,2,0),"")</f>
        <v/>
      </c>
      <c r="E202" s="463" t="str">
        <f>IFERROR(VLOOKUP([1]!Table1[[#This Row],[Mã công đoạn]],'[1]MA SO'!$B:$D,3,0),"")</f>
        <v/>
      </c>
      <c r="F202" s="461" t="s">
        <v>199</v>
      </c>
      <c r="G202" s="464"/>
      <c r="H202" s="464" t="s">
        <v>112</v>
      </c>
      <c r="I202" s="464"/>
      <c r="J202" s="464" t="s">
        <v>471</v>
      </c>
      <c r="K202" s="465" t="s">
        <v>554</v>
      </c>
      <c r="L202" s="466">
        <v>0.3125</v>
      </c>
      <c r="M202" s="466">
        <v>0.4236111111111111</v>
      </c>
      <c r="N202" s="467">
        <v>6.9444444444444441E-3</v>
      </c>
      <c r="O202" s="468"/>
      <c r="P202" s="469"/>
      <c r="Q202" s="467"/>
      <c r="R20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0.10416666666666666</v>
      </c>
      <c r="S202" s="471"/>
      <c r="T202" s="472">
        <v>30</v>
      </c>
      <c r="U202" s="472"/>
      <c r="V202" s="472"/>
      <c r="W202" s="473"/>
      <c r="X202" s="473"/>
      <c r="Y202" s="472"/>
    </row>
    <row r="203" spans="1:25">
      <c r="A203" s="461">
        <f t="shared" si="9"/>
        <v>2</v>
      </c>
      <c r="B203" s="474">
        <v>43524</v>
      </c>
      <c r="C203" s="462" t="s">
        <v>3</v>
      </c>
      <c r="D203" s="462" t="str">
        <f>IFERROR(VLOOKUP([1]!Table1[[#This Row],[Mã công đoạn]],'[1]MA SO'!$B:$D,2,0),"")</f>
        <v/>
      </c>
      <c r="E203" s="463" t="str">
        <f>IFERROR(VLOOKUP([1]!Table1[[#This Row],[Mã công đoạn]],'[1]MA SO'!$B:$D,3,0),"")</f>
        <v/>
      </c>
      <c r="F203" s="461" t="s">
        <v>682</v>
      </c>
      <c r="G203" s="464" t="s">
        <v>995</v>
      </c>
      <c r="H203" s="464" t="s">
        <v>112</v>
      </c>
      <c r="I203" s="464" t="s">
        <v>312</v>
      </c>
      <c r="J203" s="464" t="s">
        <v>471</v>
      </c>
      <c r="K203" s="465" t="s">
        <v>554</v>
      </c>
      <c r="L203" s="466">
        <v>0.4236111111111111</v>
      </c>
      <c r="M203" s="466">
        <v>0.47916666666666669</v>
      </c>
      <c r="N203" s="467"/>
      <c r="O203" s="468"/>
      <c r="P203" s="469"/>
      <c r="Q203" s="467"/>
      <c r="R20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5.555555555555558E-2</v>
      </c>
      <c r="S203" s="471">
        <v>9</v>
      </c>
      <c r="T203" s="472"/>
      <c r="U203" s="472"/>
      <c r="V203" s="472"/>
      <c r="W203" s="473"/>
      <c r="X203" s="473"/>
      <c r="Y203" s="472"/>
    </row>
    <row r="204" spans="1:25">
      <c r="A204" s="461">
        <f t="shared" si="9"/>
        <v>2</v>
      </c>
      <c r="B204" s="474">
        <v>43524</v>
      </c>
      <c r="C204" s="462" t="s">
        <v>3</v>
      </c>
      <c r="D204" s="462" t="str">
        <f>IFERROR(VLOOKUP([1]!Table1[[#This Row],[Mã công đoạn]],'[1]MA SO'!$B:$D,2,0),"")</f>
        <v/>
      </c>
      <c r="E204" s="463" t="str">
        <f>IFERROR(VLOOKUP([1]!Table1[[#This Row],[Mã công đoạn]],'[1]MA SO'!$B:$D,3,0),"")</f>
        <v/>
      </c>
      <c r="F204" s="461" t="s">
        <v>682</v>
      </c>
      <c r="G204" s="464" t="s">
        <v>995</v>
      </c>
      <c r="H204" s="464" t="s">
        <v>112</v>
      </c>
      <c r="I204" s="464" t="s">
        <v>312</v>
      </c>
      <c r="J204" s="464" t="s">
        <v>471</v>
      </c>
      <c r="K204" s="465" t="s">
        <v>555</v>
      </c>
      <c r="L204" s="466">
        <v>0.52083333333333337</v>
      </c>
      <c r="M204" s="466">
        <v>0.6875</v>
      </c>
      <c r="N204" s="467"/>
      <c r="O204" s="468"/>
      <c r="P204" s="469"/>
      <c r="Q204" s="467"/>
      <c r="R204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204" s="471">
        <v>26</v>
      </c>
      <c r="T204" s="472"/>
      <c r="U204" s="472"/>
      <c r="V204" s="472"/>
      <c r="W204" s="473"/>
      <c r="X204" s="473"/>
      <c r="Y204" s="472"/>
    </row>
    <row r="205" spans="1:25">
      <c r="A205" s="461">
        <f t="shared" si="9"/>
        <v>2</v>
      </c>
      <c r="B205" s="474">
        <v>43524</v>
      </c>
      <c r="C205" s="462" t="s">
        <v>3</v>
      </c>
      <c r="D205" s="462" t="str">
        <f>IFERROR(VLOOKUP([1]!Table1[[#This Row],[Mã công đoạn]],'[1]MA SO'!$B:$D,2,0),"")</f>
        <v/>
      </c>
      <c r="E205" s="463" t="str">
        <f>IFERROR(VLOOKUP([1]!Table1[[#This Row],[Mã công đoạn]],'[1]MA SO'!$B:$D,3,0),"")</f>
        <v/>
      </c>
      <c r="F205" s="461" t="s">
        <v>565</v>
      </c>
      <c r="G205" s="464"/>
      <c r="H205" s="464" t="s">
        <v>35</v>
      </c>
      <c r="I205" s="464"/>
      <c r="J205" s="464" t="s">
        <v>478</v>
      </c>
      <c r="K205" s="465" t="s">
        <v>555</v>
      </c>
      <c r="L205" s="466">
        <v>0.54861111111111105</v>
      </c>
      <c r="M205" s="466">
        <v>0.6875</v>
      </c>
      <c r="N205" s="467"/>
      <c r="O205" s="468"/>
      <c r="P205" s="469"/>
      <c r="Q205" s="467"/>
      <c r="R205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0.13888888888888895</v>
      </c>
      <c r="S205" s="471"/>
      <c r="T205" s="472"/>
      <c r="U205" s="472"/>
      <c r="V205" s="472"/>
      <c r="W205" s="473"/>
      <c r="X205" s="473"/>
      <c r="Y205" s="472"/>
    </row>
    <row r="206" spans="1:25">
      <c r="A206" s="461">
        <f t="shared" si="9"/>
        <v>2</v>
      </c>
      <c r="B206" s="474">
        <v>43524</v>
      </c>
      <c r="C206" s="462" t="s">
        <v>4</v>
      </c>
      <c r="D206" s="462" t="str">
        <f>IFERROR(VLOOKUP([1]!Table1[[#This Row],[Mã công đoạn]],'[1]MA SO'!$B:$D,2,0),"")</f>
        <v/>
      </c>
      <c r="E206" s="463" t="str">
        <f>IFERROR(VLOOKUP([1]!Table1[[#This Row],[Mã công đoạn]],'[1]MA SO'!$B:$D,3,0),"")</f>
        <v/>
      </c>
      <c r="F206" s="461" t="s">
        <v>565</v>
      </c>
      <c r="G206" s="464"/>
      <c r="H206" s="464" t="s">
        <v>35</v>
      </c>
      <c r="I206" s="464"/>
      <c r="J206" s="464" t="s">
        <v>478</v>
      </c>
      <c r="K206" s="465" t="s">
        <v>556</v>
      </c>
      <c r="L206" s="466">
        <v>0.6875</v>
      </c>
      <c r="M206" s="466">
        <v>0.83333333333333337</v>
      </c>
      <c r="N206" s="467"/>
      <c r="O206" s="468"/>
      <c r="P206" s="469"/>
      <c r="Q206" s="467"/>
      <c r="R206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0.14583333333333337</v>
      </c>
      <c r="S206" s="471"/>
      <c r="T206" s="472"/>
      <c r="U206" s="472"/>
      <c r="V206" s="472"/>
      <c r="W206" s="473"/>
      <c r="X206" s="473"/>
      <c r="Y206" s="472"/>
    </row>
    <row r="207" spans="1:25">
      <c r="A207" s="461">
        <f t="shared" si="9"/>
        <v>2</v>
      </c>
      <c r="B207" s="474">
        <v>43524</v>
      </c>
      <c r="C207" s="462" t="s">
        <v>4</v>
      </c>
      <c r="D207" s="462" t="str">
        <f>IFERROR(VLOOKUP([1]!Table1[[#This Row],[Mã công đoạn]],'[1]MA SO'!$B:$D,2,0),"")</f>
        <v/>
      </c>
      <c r="E207" s="463" t="str">
        <f>IFERROR(VLOOKUP([1]!Table1[[#This Row],[Mã công đoạn]],'[1]MA SO'!$B:$D,3,0),"")</f>
        <v/>
      </c>
      <c r="F207" s="461" t="s">
        <v>719</v>
      </c>
      <c r="G207" s="464"/>
      <c r="H207" s="464" t="s">
        <v>596</v>
      </c>
      <c r="I207" s="464"/>
      <c r="J207" s="464" t="s">
        <v>542</v>
      </c>
      <c r="K207" s="465" t="s">
        <v>556</v>
      </c>
      <c r="L207" s="466">
        <v>0.6875</v>
      </c>
      <c r="M207" s="466">
        <v>0.91666666666666663</v>
      </c>
      <c r="N207" s="467"/>
      <c r="O207" s="468"/>
      <c r="P207" s="469"/>
      <c r="Q207" s="467"/>
      <c r="R207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0.22916666666666663</v>
      </c>
      <c r="S207" s="471"/>
      <c r="T207" s="472"/>
      <c r="U207" s="472"/>
      <c r="V207" s="472"/>
      <c r="W207" s="473"/>
      <c r="X207" s="473"/>
      <c r="Y207" s="472"/>
    </row>
    <row r="208" spans="1:25">
      <c r="A208" s="461">
        <f t="shared" si="9"/>
        <v>2</v>
      </c>
      <c r="B208" s="474">
        <v>43524</v>
      </c>
      <c r="C208" s="462" t="s">
        <v>4</v>
      </c>
      <c r="D208" s="462" t="str">
        <f>IFERROR(VLOOKUP([1]!Table1[[#This Row],[Mã công đoạn]],'[1]MA SO'!$B:$D,2,0),"")</f>
        <v/>
      </c>
      <c r="E208" s="463" t="str">
        <f>IFERROR(VLOOKUP([1]!Table1[[#This Row],[Mã công đoạn]],'[1]MA SO'!$B:$D,3,0),"")</f>
        <v/>
      </c>
      <c r="F208" s="461" t="s">
        <v>724</v>
      </c>
      <c r="G208" s="464"/>
      <c r="H208" s="464" t="s">
        <v>812</v>
      </c>
      <c r="I208" s="464"/>
      <c r="J208" s="464" t="s">
        <v>545</v>
      </c>
      <c r="K208" s="465" t="s">
        <v>556</v>
      </c>
      <c r="L208" s="466">
        <v>0.6875</v>
      </c>
      <c r="M208" s="466">
        <v>0.91666666666666663</v>
      </c>
      <c r="N208" s="467"/>
      <c r="O208" s="468"/>
      <c r="P208" s="469"/>
      <c r="Q208" s="467"/>
      <c r="R208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0.22916666666666663</v>
      </c>
      <c r="S208" s="471"/>
      <c r="T208" s="472"/>
      <c r="U208" s="472"/>
      <c r="V208" s="472"/>
      <c r="W208" s="473"/>
      <c r="X208" s="473"/>
      <c r="Y208" s="472"/>
    </row>
    <row r="209" spans="1:25">
      <c r="A209" s="461">
        <f t="shared" si="9"/>
        <v>2</v>
      </c>
      <c r="B209" s="474">
        <v>43524</v>
      </c>
      <c r="C209" s="462" t="s">
        <v>4</v>
      </c>
      <c r="D209" s="462" t="str">
        <f>IFERROR(VLOOKUP([1]!Table1[[#This Row],[Mã công đoạn]],'[1]MA SO'!$B:$D,2,0),"")</f>
        <v/>
      </c>
      <c r="E209" s="463" t="str">
        <f>IFERROR(VLOOKUP([1]!Table1[[#This Row],[Mã công đoạn]],'[1]MA SO'!$B:$D,3,0),"")</f>
        <v/>
      </c>
      <c r="F209" s="461" t="s">
        <v>717</v>
      </c>
      <c r="G209" s="464"/>
      <c r="H209" s="464" t="s">
        <v>52</v>
      </c>
      <c r="I209" s="464"/>
      <c r="J209" s="464" t="s">
        <v>476</v>
      </c>
      <c r="K209" s="465" t="s">
        <v>556</v>
      </c>
      <c r="L209" s="466">
        <v>0.70833333333333337</v>
      </c>
      <c r="M209" s="466">
        <v>0.87152777777777779</v>
      </c>
      <c r="N209" s="467"/>
      <c r="O209" s="468"/>
      <c r="P209" s="469"/>
      <c r="Q209" s="467"/>
      <c r="R209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0.16319444444444442</v>
      </c>
      <c r="S209" s="471">
        <v>24</v>
      </c>
      <c r="T209" s="472"/>
      <c r="U209" s="472"/>
      <c r="V209" s="472"/>
      <c r="W209" s="473"/>
      <c r="X209" s="473"/>
      <c r="Y209" s="472"/>
    </row>
    <row r="210" spans="1:25">
      <c r="A210" s="461">
        <f t="shared" si="9"/>
        <v>2</v>
      </c>
      <c r="B210" s="474">
        <v>43524</v>
      </c>
      <c r="C210" s="462" t="s">
        <v>4</v>
      </c>
      <c r="D210" s="462" t="str">
        <f>IFERROR(VLOOKUP([1]!Table1[[#This Row],[Mã công đoạn]],'[1]MA SO'!$B:$D,2,0),"")</f>
        <v/>
      </c>
      <c r="E210" s="463" t="str">
        <f>IFERROR(VLOOKUP([1]!Table1[[#This Row],[Mã công đoạn]],'[1]MA SO'!$B:$D,3,0),"")</f>
        <v/>
      </c>
      <c r="F210" s="461" t="s">
        <v>717</v>
      </c>
      <c r="G210" s="464"/>
      <c r="H210" s="464" t="s">
        <v>113</v>
      </c>
      <c r="I210" s="464"/>
      <c r="J210" s="464" t="s">
        <v>558</v>
      </c>
      <c r="K210" s="465" t="s">
        <v>556</v>
      </c>
      <c r="L210" s="466">
        <v>0.70833333333333337</v>
      </c>
      <c r="M210" s="466">
        <v>0.875</v>
      </c>
      <c r="N210" s="467"/>
      <c r="O210" s="468"/>
      <c r="P210" s="469"/>
      <c r="Q210" s="467"/>
      <c r="R210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210" s="471">
        <v>12</v>
      </c>
      <c r="T210" s="472"/>
      <c r="U210" s="472"/>
      <c r="V210" s="472"/>
      <c r="W210" s="473"/>
      <c r="X210" s="473"/>
      <c r="Y210" s="472"/>
    </row>
    <row r="211" spans="1:25">
      <c r="A211" s="461">
        <f t="shared" si="9"/>
        <v>2</v>
      </c>
      <c r="B211" s="474">
        <v>43524</v>
      </c>
      <c r="C211" s="462" t="s">
        <v>4</v>
      </c>
      <c r="D211" s="462" t="str">
        <f>IFERROR(VLOOKUP([1]!Table1[[#This Row],[Mã công đoạn]],'[1]MA SO'!$B:$D,2,0),"")</f>
        <v/>
      </c>
      <c r="E211" s="463" t="str">
        <f>IFERROR(VLOOKUP([1]!Table1[[#This Row],[Mã công đoạn]],'[1]MA SO'!$B:$D,3,0),"")</f>
        <v/>
      </c>
      <c r="F211" s="461" t="s">
        <v>717</v>
      </c>
      <c r="G211" s="464"/>
      <c r="H211" s="464" t="s">
        <v>40</v>
      </c>
      <c r="I211" s="464"/>
      <c r="J211" s="464" t="s">
        <v>558</v>
      </c>
      <c r="K211" s="465" t="s">
        <v>556</v>
      </c>
      <c r="L211" s="466">
        <v>0.70833333333333337</v>
      </c>
      <c r="M211" s="466">
        <v>0.875</v>
      </c>
      <c r="N211" s="467"/>
      <c r="O211" s="468"/>
      <c r="P211" s="469"/>
      <c r="Q211" s="467"/>
      <c r="R211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0.16666666666666663</v>
      </c>
      <c r="S211" s="471">
        <v>12</v>
      </c>
      <c r="T211" s="472"/>
      <c r="U211" s="472"/>
      <c r="V211" s="472"/>
      <c r="W211" s="473"/>
      <c r="X211" s="473"/>
      <c r="Y211" s="472"/>
    </row>
    <row r="212" spans="1:25">
      <c r="A212" s="461">
        <f t="shared" si="9"/>
        <v>2</v>
      </c>
      <c r="B212" s="474">
        <v>43524</v>
      </c>
      <c r="C212" s="462" t="s">
        <v>4</v>
      </c>
      <c r="D212" s="462" t="str">
        <f>IFERROR(VLOOKUP([1]!Table1[[#This Row],[Mã công đoạn]],'[1]MA SO'!$B:$D,2,0),"")</f>
        <v/>
      </c>
      <c r="E212" s="463" t="str">
        <f>IFERROR(VLOOKUP([1]!Table1[[#This Row],[Mã công đoạn]],'[1]MA SO'!$B:$D,3,0),"")</f>
        <v/>
      </c>
      <c r="F212" s="461" t="s">
        <v>680</v>
      </c>
      <c r="G212" s="464"/>
      <c r="H212" s="464" t="s">
        <v>50</v>
      </c>
      <c r="I212" s="464"/>
      <c r="J212" s="464" t="s">
        <v>468</v>
      </c>
      <c r="K212" s="465" t="s">
        <v>556</v>
      </c>
      <c r="L212" s="466">
        <v>0.72916666666666663</v>
      </c>
      <c r="M212" s="466">
        <v>0.86111111111111116</v>
      </c>
      <c r="N212" s="467"/>
      <c r="O212" s="468"/>
      <c r="P212" s="469"/>
      <c r="Q212" s="467"/>
      <c r="R212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0.13194444444444453</v>
      </c>
      <c r="S212" s="471"/>
      <c r="T212" s="472"/>
      <c r="U212" s="472"/>
      <c r="V212" s="472"/>
      <c r="W212" s="473"/>
      <c r="X212" s="473"/>
      <c r="Y212" s="472"/>
    </row>
    <row r="213" spans="1:25">
      <c r="A213" s="461">
        <f t="shared" si="9"/>
        <v>2</v>
      </c>
      <c r="B213" s="474">
        <v>43524</v>
      </c>
      <c r="C213" s="462" t="s">
        <v>4</v>
      </c>
      <c r="D213" s="462" t="str">
        <f>IFERROR(VLOOKUP([1]!Table1[[#This Row],[Mã công đoạn]],'[1]MA SO'!$B:$D,2,0),"")</f>
        <v/>
      </c>
      <c r="E213" s="463" t="str">
        <f>IFERROR(VLOOKUP([1]!Table1[[#This Row],[Mã công đoạn]],'[1]MA SO'!$B:$D,3,0),"")</f>
        <v/>
      </c>
      <c r="F213" s="461" t="s">
        <v>680</v>
      </c>
      <c r="G213" s="464"/>
      <c r="H213" s="464" t="s">
        <v>50</v>
      </c>
      <c r="I213" s="464"/>
      <c r="J213" s="464" t="s">
        <v>468</v>
      </c>
      <c r="K213" s="465" t="s">
        <v>556</v>
      </c>
      <c r="L213" s="466">
        <v>0.86111111111111116</v>
      </c>
      <c r="M213" s="466">
        <v>0.89583333333333337</v>
      </c>
      <c r="N213" s="467"/>
      <c r="O213" s="468"/>
      <c r="P213" s="469"/>
      <c r="Q213" s="467"/>
      <c r="R213" s="470">
        <f>(Table1[[#This Row],[Thời gian kết thúc]]-Table1[[#This Row],[Thời gian bắt đâu]])-Table1[[#This Row],[Thời gian BTTQ]]-Table1[[#This Row],[Thời gian xe hư]]-Table1[[#This Row],[Thời gian nghỉ]]-Table1[[#This Row],[Thời gian CV khác]]</f>
        <v>3.472222222222221E-2</v>
      </c>
      <c r="S213" s="471"/>
      <c r="T213" s="472"/>
      <c r="U213" s="472"/>
      <c r="V213" s="472"/>
      <c r="W213" s="473"/>
      <c r="X213" s="473"/>
      <c r="Y213" s="472" t="s">
        <v>999</v>
      </c>
    </row>
  </sheetData>
  <phoneticPr fontId="18" type="noConversion"/>
  <pageMargins left="0.2" right="0.2" top="0.2" bottom="0.2" header="0.2" footer="0.2"/>
  <pageSetup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'Nhân Sự'!$E$5:$E$115</xm:f>
          </x14:formula1>
          <xm:sqref>J2:J1048576</xm:sqref>
        </x14:dataValidation>
        <x14:dataValidation type="list" allowBlank="1" showInputMessage="1" showErrorMessage="1">
          <x14:formula1>
            <xm:f>'MA SO'!$A:$A</xm:f>
          </x14:formula1>
          <xm:sqref>C3:C1048576</xm:sqref>
        </x14:dataValidation>
        <x14:dataValidation type="list" allowBlank="1" showInputMessage="1" showErrorMessage="1">
          <x14:formula1>
            <xm:f>'MA SO'!$B:$B</xm:f>
          </x14:formula1>
          <xm:sqref>F2:F1048576</xm:sqref>
        </x14:dataValidation>
        <x14:dataValidation type="list" allowBlank="1" showInputMessage="1" showErrorMessage="1">
          <x14:formula1>
            <xm:f>'MA SO'!$E:$E</xm:f>
          </x14:formula1>
          <xm:sqref>H2:H1048576</xm:sqref>
        </x14:dataValidation>
        <x14:dataValidation type="list" allowBlank="1" showInputMessage="1" showErrorMessage="1">
          <x14:formula1>
            <xm:f>'MA SO'!$G:$G</xm:f>
          </x14:formula1>
          <xm:sqref>I2:I1048576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2"/>
  <sheetViews>
    <sheetView topLeftCell="D1" workbookViewId="0">
      <selection activeCell="B8" sqref="B8:C8"/>
    </sheetView>
  </sheetViews>
  <sheetFormatPr defaultColWidth="9" defaultRowHeight="15.5"/>
  <cols>
    <col min="1" max="1" width="9.25" style="325" customWidth="1"/>
    <col min="2" max="2" width="11.4140625" style="325" customWidth="1"/>
    <col min="3" max="3" width="7.25" style="325" customWidth="1"/>
    <col min="4" max="4" width="1.33203125" style="325" customWidth="1"/>
    <col min="5" max="5" width="5.9140625" style="325" customWidth="1"/>
    <col min="6" max="6" width="0.4140625" style="325" customWidth="1"/>
    <col min="7" max="7" width="12.25" style="325" customWidth="1"/>
    <col min="8" max="8" width="1.75" style="325" customWidth="1"/>
    <col min="9" max="9" width="5.08203125" style="325" customWidth="1"/>
    <col min="10" max="10" width="0.6640625" style="325" customWidth="1"/>
    <col min="11" max="11" width="6.4140625" style="325" customWidth="1"/>
    <col min="12" max="12" width="5.08203125" style="325" customWidth="1"/>
    <col min="13" max="13" width="8.08203125" style="325" customWidth="1"/>
    <col min="14" max="14" width="7.75" style="325" customWidth="1"/>
    <col min="15" max="15" width="9.75" style="325" customWidth="1"/>
    <col min="16" max="16" width="9" style="325" customWidth="1"/>
    <col min="17" max="17" width="13.9140625" style="325" bestFit="1" customWidth="1"/>
    <col min="18" max="18" width="9" style="325" customWidth="1"/>
    <col min="19" max="19" width="11.08203125" style="325" bestFit="1" customWidth="1"/>
    <col min="20" max="20" width="18.33203125" style="325" bestFit="1" customWidth="1"/>
    <col min="21" max="21" width="32" style="325" customWidth="1"/>
    <col min="22" max="22" width="24.33203125" style="325" bestFit="1" customWidth="1"/>
    <col min="23" max="23" width="22.08203125" style="325" customWidth="1"/>
    <col min="24" max="24" width="14.75" style="325" customWidth="1"/>
    <col min="25" max="25" width="9" style="325" customWidth="1"/>
    <col min="26" max="16384" width="9" style="325"/>
  </cols>
  <sheetData>
    <row r="1" spans="1:25" ht="5.25" customHeight="1"/>
    <row r="2" spans="1:25">
      <c r="C2" s="512" t="s">
        <v>368</v>
      </c>
      <c r="D2" s="512"/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</row>
    <row r="3" spans="1:25" ht="20.25" customHeight="1">
      <c r="C3" s="512" t="s">
        <v>615</v>
      </c>
      <c r="D3" s="512"/>
      <c r="E3" s="512"/>
      <c r="F3" s="512"/>
      <c r="G3" s="512"/>
      <c r="H3" s="512"/>
      <c r="I3" s="512"/>
      <c r="J3" s="512"/>
      <c r="K3" s="512"/>
      <c r="L3" s="512"/>
      <c r="M3" s="512"/>
      <c r="N3" s="512"/>
      <c r="O3" s="512"/>
      <c r="S3" s="329" t="s">
        <v>154</v>
      </c>
      <c r="T3" s="329" t="s">
        <v>148</v>
      </c>
      <c r="U3" s="377" t="s">
        <v>616</v>
      </c>
      <c r="V3" s="328" t="s">
        <v>617</v>
      </c>
      <c r="W3" s="327" t="s">
        <v>618</v>
      </c>
      <c r="X3" s="327" t="s">
        <v>619</v>
      </c>
    </row>
    <row r="4" spans="1:25">
      <c r="C4" s="512" t="s">
        <v>620</v>
      </c>
      <c r="D4" s="512"/>
      <c r="E4" s="512"/>
      <c r="F4" s="512"/>
      <c r="G4" s="512"/>
      <c r="H4" s="512"/>
      <c r="I4" s="512"/>
      <c r="J4" s="512"/>
      <c r="K4" s="512"/>
      <c r="L4" s="512"/>
      <c r="M4" s="512"/>
      <c r="N4" s="512"/>
      <c r="O4" s="512"/>
      <c r="S4" s="329" t="s">
        <v>156</v>
      </c>
      <c r="T4" s="329" t="s">
        <v>148</v>
      </c>
      <c r="U4" s="378" t="s">
        <v>125</v>
      </c>
      <c r="V4" s="329" t="s">
        <v>621</v>
      </c>
      <c r="W4" s="329" t="s">
        <v>882</v>
      </c>
      <c r="X4" s="329" t="s">
        <v>623</v>
      </c>
      <c r="Y4" s="330" t="s">
        <v>818</v>
      </c>
    </row>
    <row r="5" spans="1:25" ht="2.25" customHeight="1">
      <c r="C5" s="335"/>
      <c r="D5" s="335"/>
      <c r="E5" s="335"/>
      <c r="F5" s="335"/>
      <c r="G5" s="335"/>
      <c r="H5" s="335"/>
      <c r="I5" s="335"/>
      <c r="J5" s="335"/>
      <c r="K5" s="335"/>
      <c r="L5" s="335"/>
      <c r="M5" s="335"/>
      <c r="N5" s="335"/>
      <c r="O5" s="335"/>
      <c r="S5" s="329" t="s">
        <v>568</v>
      </c>
      <c r="T5" s="329" t="s">
        <v>148</v>
      </c>
      <c r="U5" s="378" t="s">
        <v>56</v>
      </c>
      <c r="V5" s="329" t="s">
        <v>624</v>
      </c>
      <c r="W5" s="329" t="s">
        <v>882</v>
      </c>
      <c r="X5" s="329" t="s">
        <v>625</v>
      </c>
      <c r="Y5" s="330" t="s">
        <v>819</v>
      </c>
    </row>
    <row r="6" spans="1:25" ht="14.25" customHeight="1">
      <c r="C6" s="512" t="s">
        <v>626</v>
      </c>
      <c r="D6" s="512"/>
      <c r="E6" s="512"/>
      <c r="F6" s="512"/>
      <c r="G6" s="512"/>
      <c r="H6" s="512"/>
      <c r="I6" s="512"/>
      <c r="J6" s="512"/>
      <c r="K6" s="512"/>
      <c r="L6" s="512"/>
      <c r="M6" s="512"/>
      <c r="N6" s="512"/>
      <c r="O6" s="512"/>
      <c r="S6" s="329" t="s">
        <v>569</v>
      </c>
      <c r="T6" s="329" t="s">
        <v>148</v>
      </c>
      <c r="U6" s="378" t="s">
        <v>57</v>
      </c>
      <c r="V6" s="329" t="s">
        <v>624</v>
      </c>
      <c r="W6" s="329" t="s">
        <v>882</v>
      </c>
      <c r="X6" s="329" t="s">
        <v>627</v>
      </c>
      <c r="Y6" s="330" t="s">
        <v>820</v>
      </c>
    </row>
    <row r="7" spans="1:25" ht="4.5" customHeight="1">
      <c r="A7" s="391"/>
      <c r="B7" s="391"/>
      <c r="C7" s="335"/>
      <c r="D7" s="335"/>
      <c r="E7" s="335"/>
      <c r="F7" s="335"/>
      <c r="G7" s="335"/>
      <c r="H7" s="335"/>
      <c r="I7" s="335"/>
      <c r="J7" s="335"/>
      <c r="K7" s="335"/>
      <c r="L7" s="335"/>
      <c r="M7" s="335"/>
      <c r="N7" s="335"/>
      <c r="O7" s="335"/>
      <c r="S7" s="329" t="s">
        <v>160</v>
      </c>
      <c r="T7" s="329" t="s">
        <v>148</v>
      </c>
      <c r="U7" s="378" t="s">
        <v>58</v>
      </c>
      <c r="V7" s="329" t="s">
        <v>624</v>
      </c>
      <c r="W7" s="329" t="s">
        <v>628</v>
      </c>
      <c r="X7" s="329" t="s">
        <v>629</v>
      </c>
      <c r="Y7" s="330" t="s">
        <v>821</v>
      </c>
    </row>
    <row r="8" spans="1:25">
      <c r="A8" s="394" t="s">
        <v>630</v>
      </c>
      <c r="B8" s="515" t="str">
        <f ca="1">VLOOKUP($I$9,$U$4:$Y$107,5,FALSE)&amp;":"&amp;YEAR(I8)&amp;"-"&amp;MONTH(I8)&amp;"-"&amp;DAY(I8)</f>
        <v>XCG30:2019-9-25</v>
      </c>
      <c r="C8" s="515"/>
      <c r="D8" s="396" t="s">
        <v>631</v>
      </c>
      <c r="E8" s="513"/>
      <c r="F8" s="513"/>
      <c r="G8" s="397" t="s">
        <v>814</v>
      </c>
      <c r="H8" s="398" t="s">
        <v>631</v>
      </c>
      <c r="I8" s="514">
        <f ca="1">TODAY()-2</f>
        <v>43733</v>
      </c>
      <c r="J8" s="514"/>
      <c r="K8" s="514"/>
      <c r="L8" s="514"/>
      <c r="M8" s="514"/>
      <c r="N8" s="514"/>
      <c r="O8" s="514"/>
      <c r="S8" s="329" t="s">
        <v>162</v>
      </c>
      <c r="T8" s="329" t="s">
        <v>148</v>
      </c>
      <c r="U8" s="379" t="s">
        <v>62</v>
      </c>
      <c r="V8" s="329" t="s">
        <v>624</v>
      </c>
      <c r="W8" s="329" t="s">
        <v>633</v>
      </c>
      <c r="X8" s="329" t="s">
        <v>629</v>
      </c>
      <c r="Y8" s="330" t="s">
        <v>822</v>
      </c>
    </row>
    <row r="9" spans="1:25">
      <c r="A9" s="394" t="s">
        <v>880</v>
      </c>
      <c r="B9" s="521" t="str">
        <f>VLOOKUP($I$9,$U$4:$X$107,3,FALSE)</f>
        <v>Nhà Máy</v>
      </c>
      <c r="C9" s="521"/>
      <c r="D9" s="396" t="s">
        <v>631</v>
      </c>
      <c r="E9" s="396"/>
      <c r="F9" s="396"/>
      <c r="G9" s="397" t="s">
        <v>815</v>
      </c>
      <c r="H9" s="399" t="s">
        <v>631</v>
      </c>
      <c r="I9" s="516" t="s">
        <v>116</v>
      </c>
      <c r="J9" s="516"/>
      <c r="K9" s="516"/>
      <c r="L9" s="516"/>
      <c r="M9" s="516"/>
      <c r="N9" s="516"/>
      <c r="O9" s="516"/>
      <c r="Q9" s="367" t="s">
        <v>672</v>
      </c>
      <c r="S9" s="329" t="s">
        <v>560</v>
      </c>
      <c r="T9" s="329" t="s">
        <v>148</v>
      </c>
      <c r="U9" s="378" t="s">
        <v>50</v>
      </c>
      <c r="V9" s="329" t="s">
        <v>636</v>
      </c>
      <c r="W9" s="329" t="s">
        <v>882</v>
      </c>
      <c r="X9" s="329" t="s">
        <v>629</v>
      </c>
      <c r="Y9" s="330" t="s">
        <v>823</v>
      </c>
    </row>
    <row r="10" spans="1:25" s="340" customFormat="1">
      <c r="A10" s="400" t="s">
        <v>804</v>
      </c>
      <c r="B10" s="403" t="s">
        <v>682</v>
      </c>
      <c r="C10" s="394" t="s">
        <v>639</v>
      </c>
      <c r="D10" s="398" t="s">
        <v>631</v>
      </c>
      <c r="E10" s="401">
        <f t="array" aca="1" ref="E10" ca="1">MIN(IF('DATA VAN HANH'!$B:$B='IN CA 2'!$I$8,IF('DATA VAN HANH'!$H:$H='IN CA 2'!$I$9,IF('DATA VAN HANH'!$K:$K='IN CA 2'!$R$10,'DATA VAN HANH'!$L:$L))))</f>
        <v>0</v>
      </c>
      <c r="F10" s="402"/>
      <c r="G10" s="397" t="s">
        <v>640</v>
      </c>
      <c r="H10" s="398" t="s">
        <v>631</v>
      </c>
      <c r="I10" s="401">
        <f t="array" aca="1" ref="I10" ca="1">MAX(IF('DATA VAN HANH'!$B:$B='IN CA 2'!$I$8,IF('DATA VAN HANH'!$H:$H='IN CA 2'!$I$9,IF('DATA VAN HANH'!$K:$K='IN CA 2'!$R$10,'DATA VAN HANH'!$M:$M))))</f>
        <v>0</v>
      </c>
      <c r="J10" s="403"/>
      <c r="K10" s="400" t="s">
        <v>813</v>
      </c>
      <c r="L10" s="404">
        <f ca="1">($I$10-$E$10)*24-$E$20-$E$19</f>
        <v>0</v>
      </c>
      <c r="M10" s="400" t="s">
        <v>802</v>
      </c>
      <c r="N10" s="405">
        <f t="array" aca="1" ref="N10" ca="1">SUMIFS('DATA VAN HANH'!$S:$S,'DATA VAN HANH'!$H:$H,'IN CA 2'!$I$9:$O$9,'DATA VAN HANH'!$B:$B,'IN CA 2'!$I$8:$K$8,'DATA VAN HANH'!$K:$K,$R$10)</f>
        <v>0</v>
      </c>
      <c r="O10" s="395"/>
      <c r="Q10" s="365" t="s">
        <v>817</v>
      </c>
      <c r="R10" s="392" t="s">
        <v>790</v>
      </c>
      <c r="S10" s="371" t="s">
        <v>562</v>
      </c>
      <c r="T10" s="362" t="s">
        <v>148</v>
      </c>
      <c r="U10" s="378" t="s">
        <v>51</v>
      </c>
      <c r="V10" s="329" t="s">
        <v>636</v>
      </c>
      <c r="W10" s="329" t="s">
        <v>882</v>
      </c>
      <c r="X10" s="329" t="s">
        <v>623</v>
      </c>
      <c r="Y10" s="330" t="s">
        <v>824</v>
      </c>
    </row>
    <row r="11" spans="1:25" s="340" customFormat="1">
      <c r="A11" s="400" t="s">
        <v>804</v>
      </c>
      <c r="B11" s="403" t="s">
        <v>682</v>
      </c>
      <c r="C11" s="394" t="s">
        <v>642</v>
      </c>
      <c r="D11" s="398" t="s">
        <v>631</v>
      </c>
      <c r="E11" s="401">
        <f t="array" aca="1" ref="E11" ca="1">MIN(IF('DATA VAN HANH'!$B:$B='IN CA 2'!$I$8,IF('DATA VAN HANH'!$H:$H='IN CA 2'!$I$9,IF('DATA VAN HANH'!$K:$K='IN CA 2'!$R$11,'DATA VAN HANH'!$L:$L))))</f>
        <v>0</v>
      </c>
      <c r="F11" s="402"/>
      <c r="G11" s="397" t="s">
        <v>643</v>
      </c>
      <c r="H11" s="398" t="s">
        <v>631</v>
      </c>
      <c r="I11" s="401">
        <f t="array" aca="1" ref="I11" ca="1">MAX(IF('DATA VAN HANH'!$B:$B='IN CA 2'!$I$8,IF('DATA VAN HANH'!$H:$H='IN CA 2'!$I$9,IF('DATA VAN HANH'!$K:$K='IN CA 2'!$R$11,'DATA VAN HANH'!$M:$M))))</f>
        <v>0</v>
      </c>
      <c r="J11" s="403"/>
      <c r="K11" s="400" t="s">
        <v>813</v>
      </c>
      <c r="L11" s="404">
        <f ca="1">($I$11-$E$11)*24</f>
        <v>0</v>
      </c>
      <c r="M11" s="400" t="s">
        <v>802</v>
      </c>
      <c r="N11" s="405">
        <f t="array" aca="1" ref="N11" ca="1">SUMIFS('DATA VAN HANH'!$S:$S,'DATA VAN HANH'!$H:$H,'IN CA 2'!$I$9:$O$9,'DATA VAN HANH'!$B:$B,'IN CA 2'!$I$8:$K$8,'DATA VAN HANH'!$K:$K,$R$11)</f>
        <v>0</v>
      </c>
      <c r="O11" s="395"/>
      <c r="Q11" s="365" t="s">
        <v>817</v>
      </c>
      <c r="R11" s="392" t="s">
        <v>791</v>
      </c>
      <c r="S11" s="371" t="s">
        <v>673</v>
      </c>
      <c r="T11" s="362" t="s">
        <v>148</v>
      </c>
      <c r="U11" s="378" t="s">
        <v>52</v>
      </c>
      <c r="V11" s="329" t="s">
        <v>636</v>
      </c>
      <c r="W11" s="329" t="s">
        <v>882</v>
      </c>
      <c r="X11" s="329" t="s">
        <v>629</v>
      </c>
      <c r="Y11" s="330" t="s">
        <v>825</v>
      </c>
    </row>
    <row r="12" spans="1:25" s="340" customFormat="1">
      <c r="A12" s="400" t="s">
        <v>804</v>
      </c>
      <c r="B12" s="403" t="s">
        <v>575</v>
      </c>
      <c r="C12" s="394" t="s">
        <v>644</v>
      </c>
      <c r="D12" s="398"/>
      <c r="E12" s="401">
        <f t="array" aca="1" ref="E12" ca="1">MIN(IF('DATA VAN HANH'!$B:$B='IN CA 2'!$I$8,IF('DATA VAN HANH'!$H:$H='IN CA 2'!$I$9,IF('DATA VAN HANH'!$K:$K='IN CA 2'!$R$12,'DATA VAN HANH'!$L:$L))))</f>
        <v>0</v>
      </c>
      <c r="F12" s="402"/>
      <c r="G12" s="397" t="s">
        <v>645</v>
      </c>
      <c r="H12" s="398"/>
      <c r="I12" s="401">
        <f t="array" aca="1" ref="I12" ca="1">MAX(IF('DATA VAN HANH'!$B:$B='IN CA 2'!$I$8,IF('DATA VAN HANH'!$H:$H='IN CA 2'!$I$9,IF('DATA VAN HANH'!$K:$K='IN CA 2'!$R$12,'DATA VAN HANH'!$M:$M))))</f>
        <v>0</v>
      </c>
      <c r="J12" s="403"/>
      <c r="K12" s="400" t="s">
        <v>813</v>
      </c>
      <c r="L12" s="404">
        <f ca="1">($I$12-$E$12)*24</f>
        <v>0</v>
      </c>
      <c r="M12" s="400" t="s">
        <v>802</v>
      </c>
      <c r="N12" s="405">
        <f t="array" aca="1" ref="N12" ca="1">SUMIFS('DATA VAN HANH'!$S:$S,'DATA VAN HANH'!$H:$H,'IN CA 2'!$I$9:$O$9,'DATA VAN HANH'!$B:$B,'IN CA 2'!$I$8:$K$8,'DATA VAN HANH'!$K:$K,$R$12)</f>
        <v>0</v>
      </c>
      <c r="O12" s="395"/>
      <c r="Q12" s="365" t="s">
        <v>817</v>
      </c>
      <c r="R12" s="374" t="s">
        <v>792</v>
      </c>
      <c r="S12" s="371" t="s">
        <v>675</v>
      </c>
      <c r="T12" s="362"/>
      <c r="U12" s="378" t="s">
        <v>53</v>
      </c>
      <c r="V12" s="329" t="s">
        <v>636</v>
      </c>
      <c r="W12" s="329" t="s">
        <v>882</v>
      </c>
      <c r="X12" s="329" t="s">
        <v>623</v>
      </c>
      <c r="Y12" s="330" t="s">
        <v>826</v>
      </c>
    </row>
    <row r="13" spans="1:25" s="340" customFormat="1">
      <c r="A13" s="400" t="s">
        <v>804</v>
      </c>
      <c r="B13" s="403" t="s">
        <v>575</v>
      </c>
      <c r="C13" s="394" t="s">
        <v>783</v>
      </c>
      <c r="D13" s="398" t="s">
        <v>631</v>
      </c>
      <c r="E13" s="401">
        <f t="array" aca="1" ref="E13" ca="1">MIN(IF('DATA VAN HANH'!$B:$B='IN CA 2'!$I$8,IF('DATA VAN HANH'!$H:$H='IN CA 2'!$I$9,IF('DATA VAN HANH'!$K:$K='IN CA 2'!$R$13,'DATA VAN HANH'!$L:$L))))</f>
        <v>0</v>
      </c>
      <c r="F13" s="396"/>
      <c r="G13" s="397" t="s">
        <v>786</v>
      </c>
      <c r="H13" s="398" t="s">
        <v>631</v>
      </c>
      <c r="I13" s="401">
        <f t="array" aca="1" ref="I13" ca="1">MAX(IF('DATA VAN HANH'!$B:$B='IN CA 2'!$I$8,IF('DATA VAN HANH'!$H:$H='IN CA 2'!$I$9,IF('DATA VAN HANH'!$K:$K='IN CA 2'!$R$13,'DATA VAN HANH'!$M:$M))))</f>
        <v>0</v>
      </c>
      <c r="J13" s="395"/>
      <c r="K13" s="400" t="s">
        <v>813</v>
      </c>
      <c r="L13" s="404">
        <f ca="1">($I$13-$E$13)*24</f>
        <v>0</v>
      </c>
      <c r="M13" s="400" t="s">
        <v>802</v>
      </c>
      <c r="N13" s="405">
        <f t="array" aca="1" ref="N13" ca="1">SUMIFS('DATA VAN HANH'!$S:$S,'DATA VAN HANH'!$H:$H,'IN CA 2'!$I$9:$O$9,'DATA VAN HANH'!$B:$B,'IN CA 2'!$I$8:$K$8,'DATA VAN HANH'!$K:$K,R13)</f>
        <v>0</v>
      </c>
      <c r="O13" s="395"/>
      <c r="Q13" s="365" t="s">
        <v>817</v>
      </c>
      <c r="R13" s="392" t="s">
        <v>793</v>
      </c>
      <c r="S13" s="371" t="s">
        <v>677</v>
      </c>
      <c r="T13" s="362" t="s">
        <v>148</v>
      </c>
      <c r="U13" s="378" t="s">
        <v>32</v>
      </c>
      <c r="V13" s="329" t="s">
        <v>636</v>
      </c>
      <c r="W13" s="329" t="s">
        <v>646</v>
      </c>
      <c r="X13" s="329" t="s">
        <v>629</v>
      </c>
      <c r="Y13" s="330" t="s">
        <v>827</v>
      </c>
    </row>
    <row r="14" spans="1:25" s="340" customFormat="1">
      <c r="A14" s="400" t="s">
        <v>804</v>
      </c>
      <c r="B14" s="403" t="s">
        <v>570</v>
      </c>
      <c r="C14" s="394" t="s">
        <v>784</v>
      </c>
      <c r="D14" s="398" t="s">
        <v>631</v>
      </c>
      <c r="E14" s="401">
        <f t="array" aca="1" ref="E14" ca="1">MIN(IF('DATA VAN HANH'!$B:$B='IN CA 2'!$I$8,IF('DATA VAN HANH'!$H:$H='IN CA 2'!$I$9,IF('DATA VAN HANH'!$K:$K='IN CA 2'!$R$14,'DATA VAN HANH'!$L:$L))))</f>
        <v>0</v>
      </c>
      <c r="F14" s="396"/>
      <c r="G14" s="397" t="s">
        <v>787</v>
      </c>
      <c r="H14" s="398" t="s">
        <v>631</v>
      </c>
      <c r="I14" s="401">
        <f t="array" aca="1" ref="I14" ca="1">MAX(IF('DATA VAN HANH'!$B:$B='IN CA 2'!$I$8,IF('DATA VAN HANH'!$H:$H='IN CA 2'!$I$9,IF('DATA VAN HANH'!$K:$K='IN CA 2'!$R$14,'DATA VAN HANH'!$M:$M))))</f>
        <v>0</v>
      </c>
      <c r="J14" s="395"/>
      <c r="K14" s="400" t="s">
        <v>813</v>
      </c>
      <c r="L14" s="404">
        <f ca="1">($I$14-$E$14)*24</f>
        <v>0</v>
      </c>
      <c r="M14" s="400" t="s">
        <v>802</v>
      </c>
      <c r="N14" s="405">
        <f t="array" aca="1" ref="N14" ca="1">SUMIFS('DATA VAN HANH'!$S:$S,'DATA VAN HANH'!$H:$H,'IN CA 2'!$I$9:$O$9,'DATA VAN HANH'!$B:$B,'IN CA 2'!$I$8:$K$8,'DATA VAN HANH'!$K:$K,R14)</f>
        <v>0</v>
      </c>
      <c r="O14" s="395"/>
      <c r="Q14" s="365" t="s">
        <v>817</v>
      </c>
      <c r="R14" s="392" t="s">
        <v>794</v>
      </c>
      <c r="S14" s="371" t="s">
        <v>565</v>
      </c>
      <c r="T14" s="362" t="s">
        <v>148</v>
      </c>
      <c r="U14" s="378" t="s">
        <v>54</v>
      </c>
      <c r="V14" s="329" t="s">
        <v>636</v>
      </c>
      <c r="W14" s="329" t="s">
        <v>649</v>
      </c>
      <c r="X14" s="329" t="s">
        <v>629</v>
      </c>
      <c r="Y14" s="330" t="s">
        <v>828</v>
      </c>
    </row>
    <row r="15" spans="1:25" s="340" customFormat="1">
      <c r="A15" s="400" t="s">
        <v>804</v>
      </c>
      <c r="B15" s="403"/>
      <c r="C15" s="394" t="s">
        <v>785</v>
      </c>
      <c r="D15" s="398"/>
      <c r="E15" s="401">
        <f t="array" aca="1" ref="E15" ca="1">MIN(IF('DATA VAN HANH'!$B:$B='IN CA 2'!$I$8,IF('DATA VAN HANH'!$H:$H='IN CA 2'!$I$9,IF('DATA VAN HANH'!$K:$K='IN CA 2'!$R$15,'DATA VAN HANH'!$L:$L))))</f>
        <v>0</v>
      </c>
      <c r="F15" s="396"/>
      <c r="G15" s="397" t="s">
        <v>788</v>
      </c>
      <c r="H15" s="398"/>
      <c r="I15" s="401">
        <f t="array" aca="1" ref="I15" ca="1">MAX(IF('DATA VAN HANH'!$B:$B='IN CA 2'!$I$8,IF('DATA VAN HANH'!$H:$H='IN CA 2'!$I$9,IF('DATA VAN HANH'!$K:$K='IN CA 2'!$R$15,'DATA VAN HANH'!$M:$M))))</f>
        <v>0</v>
      </c>
      <c r="J15" s="395"/>
      <c r="K15" s="400" t="s">
        <v>813</v>
      </c>
      <c r="L15" s="404">
        <f ca="1">($I$15-$E$15)*24</f>
        <v>0</v>
      </c>
      <c r="M15" s="400" t="s">
        <v>802</v>
      </c>
      <c r="N15" s="405">
        <f t="array" aca="1" ref="N15" ca="1">SUMIFS('DATA VAN HANH'!$S:$S,'DATA VAN HANH'!$H:$H,'IN CA 2'!$I$9:$O$9,'DATA VAN HANH'!$B:$B,'IN CA 2'!$I$8:$K$8,'DATA VAN HANH'!$K:$K,$R$15)</f>
        <v>0</v>
      </c>
      <c r="O15" s="395"/>
      <c r="Q15" s="365" t="s">
        <v>817</v>
      </c>
      <c r="R15" s="374" t="s">
        <v>795</v>
      </c>
      <c r="S15" s="371" t="s">
        <v>679</v>
      </c>
      <c r="T15" s="362"/>
      <c r="U15" s="378" t="s">
        <v>55</v>
      </c>
      <c r="V15" s="329" t="s">
        <v>636</v>
      </c>
      <c r="W15" s="329" t="s">
        <v>874</v>
      </c>
      <c r="X15" s="329" t="s">
        <v>629</v>
      </c>
      <c r="Y15" s="330" t="s">
        <v>829</v>
      </c>
    </row>
    <row r="16" spans="1:25" s="340" customFormat="1">
      <c r="A16" s="400" t="s">
        <v>804</v>
      </c>
      <c r="B16" s="403"/>
      <c r="C16" s="394" t="s">
        <v>805</v>
      </c>
      <c r="D16" s="398" t="s">
        <v>631</v>
      </c>
      <c r="E16" s="401">
        <f t="array" aca="1" ref="E16" ca="1">MIN(IF('DATA VAN HANH'!$B:$B='IN CA 2'!$I$8,IF('DATA VAN HANH'!$H:$H='IN CA 2'!$I$9,IF('DATA VAN HANH'!$K:$K='IN CA 2'!$R$16,'DATA VAN HANH'!$L:$L))))</f>
        <v>0</v>
      </c>
      <c r="F16" s="396"/>
      <c r="G16" s="397" t="s">
        <v>808</v>
      </c>
      <c r="H16" s="398" t="s">
        <v>631</v>
      </c>
      <c r="I16" s="401">
        <f t="array" aca="1" ref="I16" ca="1">MAX(IF('DATA VAN HANH'!$B:$B='IN CA 2'!$I$8,IF('DATA VAN HANH'!$H:$H='IN CA 2'!$I$9,IF('DATA VAN HANH'!$K:$K='IN CA 2'!$R$16,'DATA VAN HANH'!$M:$M))))</f>
        <v>0</v>
      </c>
      <c r="J16" s="395"/>
      <c r="K16" s="400" t="s">
        <v>813</v>
      </c>
      <c r="L16" s="404">
        <f ca="1">($I$16-$E$16)*24</f>
        <v>0</v>
      </c>
      <c r="M16" s="400" t="s">
        <v>802</v>
      </c>
      <c r="N16" s="405">
        <f t="array" aca="1" ref="N16" ca="1">SUMIFS('DATA VAN HANH'!$S:$S,'DATA VAN HANH'!$H:$H,'IN CA 2'!$I$9:$O$9,'DATA VAN HANH'!$B:$B,'IN CA 2'!$I$8:$K$8,'DATA VAN HANH'!$K:$K,$R$16)</f>
        <v>0</v>
      </c>
      <c r="O16" s="395"/>
      <c r="Q16" s="365" t="s">
        <v>817</v>
      </c>
      <c r="R16" s="393" t="s">
        <v>796</v>
      </c>
      <c r="S16" s="371" t="s">
        <v>566</v>
      </c>
      <c r="T16" s="362" t="s">
        <v>148</v>
      </c>
      <c r="U16" s="378" t="s">
        <v>126</v>
      </c>
      <c r="V16" s="329" t="s">
        <v>636</v>
      </c>
      <c r="W16" s="329" t="s">
        <v>646</v>
      </c>
      <c r="X16" s="329" t="s">
        <v>629</v>
      </c>
      <c r="Y16" s="330" t="s">
        <v>830</v>
      </c>
    </row>
    <row r="17" spans="1:25" s="340" customFormat="1">
      <c r="A17" s="400" t="s">
        <v>804</v>
      </c>
      <c r="B17" s="403"/>
      <c r="C17" s="394" t="s">
        <v>806</v>
      </c>
      <c r="D17" s="398" t="s">
        <v>631</v>
      </c>
      <c r="E17" s="401">
        <f t="array" aca="1" ref="E17" ca="1">MIN(IF('DATA VAN HANH'!$B:$B='IN CA 2'!$I$8,IF('DATA VAN HANH'!$H:$H='IN CA 2'!$I$9,IF('DATA VAN HANH'!$K:$K='IN CA 2'!$R$17,'DATA VAN HANH'!$L:$L))))</f>
        <v>0</v>
      </c>
      <c r="F17" s="396"/>
      <c r="G17" s="397" t="s">
        <v>809</v>
      </c>
      <c r="H17" s="398" t="s">
        <v>631</v>
      </c>
      <c r="I17" s="401">
        <f t="array" aca="1" ref="I17" ca="1">MAX(IF('DATA VAN HANH'!$B:$B='IN CA 2'!$I$8,IF('DATA VAN HANH'!$H:$H='IN CA 2'!$I$9,IF('DATA VAN HANH'!$K:$K='IN CA 2'!$R$17,'DATA VAN HANH'!$M:$M))))</f>
        <v>0</v>
      </c>
      <c r="J17" s="395"/>
      <c r="K17" s="400" t="s">
        <v>813</v>
      </c>
      <c r="L17" s="404">
        <f ca="1">($I$17-$E$17)*24</f>
        <v>0</v>
      </c>
      <c r="M17" s="400" t="s">
        <v>802</v>
      </c>
      <c r="N17" s="405">
        <f t="array" aca="1" ref="N17" ca="1">SUMIFS('DATA VAN HANH'!$S:$S,'DATA VAN HANH'!$H:$H,'IN CA 2'!$I$9:$O$9,'DATA VAN HANH'!$B:$B,'IN CA 2'!$I$8:$K$8,'DATA VAN HANH'!$K:$K,R17)</f>
        <v>0</v>
      </c>
      <c r="O17" s="395"/>
      <c r="Q17" s="365" t="s">
        <v>817</v>
      </c>
      <c r="R17" s="393" t="s">
        <v>797</v>
      </c>
      <c r="S17" s="371" t="s">
        <v>680</v>
      </c>
      <c r="T17" s="362" t="s">
        <v>148</v>
      </c>
      <c r="U17" s="378" t="s">
        <v>65</v>
      </c>
      <c r="V17" s="329" t="s">
        <v>636</v>
      </c>
      <c r="W17" s="329" t="s">
        <v>646</v>
      </c>
      <c r="X17" s="329" t="s">
        <v>629</v>
      </c>
      <c r="Y17" s="330" t="s">
        <v>831</v>
      </c>
    </row>
    <row r="18" spans="1:25" s="340" customFormat="1">
      <c r="A18" s="400" t="s">
        <v>804</v>
      </c>
      <c r="B18" s="403"/>
      <c r="C18" s="394" t="s">
        <v>807</v>
      </c>
      <c r="D18" s="398"/>
      <c r="E18" s="401">
        <f t="array" aca="1" ref="E18" ca="1">MIN(IF('DATA VAN HANH'!$B:$B='IN CA 2'!$I$8,IF('DATA VAN HANH'!$H:$H='IN CA 2'!$I$9,IF('DATA VAN HANH'!$K:$K='IN CA 2'!$R$18,'DATA VAN HANH'!$L:$L))))</f>
        <v>0</v>
      </c>
      <c r="F18" s="396"/>
      <c r="G18" s="397" t="s">
        <v>810</v>
      </c>
      <c r="H18" s="398"/>
      <c r="I18" s="401">
        <f t="array" aca="1" ref="I18" ca="1">MAX(IF('DATA VAN HANH'!$B:$B='IN CA 2'!$I$8,IF('DATA VAN HANH'!$H:$H='IN CA 2'!$I$9,IF('DATA VAN HANH'!$K:$K='IN CA 2'!$R$18,'DATA VAN HANH'!$M:$M))))</f>
        <v>0</v>
      </c>
      <c r="J18" s="395"/>
      <c r="K18" s="400" t="s">
        <v>813</v>
      </c>
      <c r="L18" s="404">
        <f ca="1">($I$18-$E$18)*24</f>
        <v>0</v>
      </c>
      <c r="M18" s="400" t="s">
        <v>802</v>
      </c>
      <c r="N18" s="405">
        <f t="array" aca="1" ref="N18" ca="1">SUMIFS('DATA VAN HANH'!$S:$S,'DATA VAN HANH'!$H:$H,'IN CA 2'!$I$9:$O$9,'DATA VAN HANH'!$B:$B,'IN CA 2'!$I$8:$K$8,'DATA VAN HANH'!$K:$K,$R$18)</f>
        <v>0</v>
      </c>
      <c r="O18" s="395"/>
      <c r="Q18" s="365" t="s">
        <v>817</v>
      </c>
      <c r="R18" s="375" t="s">
        <v>798</v>
      </c>
      <c r="S18" s="371" t="s">
        <v>904</v>
      </c>
      <c r="T18" s="362"/>
      <c r="U18" s="378" t="s">
        <v>66</v>
      </c>
      <c r="V18" s="329" t="s">
        <v>636</v>
      </c>
      <c r="W18" s="329" t="s">
        <v>633</v>
      </c>
      <c r="X18" s="329" t="s">
        <v>629</v>
      </c>
      <c r="Y18" s="330" t="s">
        <v>832</v>
      </c>
    </row>
    <row r="19" spans="1:25" ht="14.25" customHeight="1">
      <c r="A19" s="522" t="s">
        <v>647</v>
      </c>
      <c r="B19" s="522"/>
      <c r="C19" s="406"/>
      <c r="D19" s="398" t="s">
        <v>631</v>
      </c>
      <c r="E19" s="407">
        <f t="array" aca="1" ref="E19" ca="1">SUMIFS('DATA VAN HANH'!$O:$O,'DATA VAN HANH'!$H:$H,'IN CA 2'!$I$9:$O$9,'DATA VAN HANH'!$B:$B,'IN CA 2'!$I$8:$K$8)*24</f>
        <v>0</v>
      </c>
      <c r="F19" s="408"/>
      <c r="G19" s="517" t="s">
        <v>648</v>
      </c>
      <c r="H19" s="519" t="s">
        <v>631</v>
      </c>
      <c r="I19" s="527">
        <f ca="1">SUMIFS('DATA VAN HANH'!$R:$R,'DATA VAN HANH'!$H:$H,'IN CA 2'!$I$9:$O$9,'DATA VAN HANH'!$B:$B,'IN CA 2'!$I$8:$K$8)*24</f>
        <v>0</v>
      </c>
      <c r="J19" s="527"/>
      <c r="K19" s="395"/>
      <c r="L19" s="395"/>
      <c r="M19" s="395"/>
      <c r="N19" s="395"/>
      <c r="O19" s="395"/>
      <c r="Q19" s="329"/>
      <c r="R19" s="376"/>
      <c r="S19" s="372" t="s">
        <v>164</v>
      </c>
      <c r="T19" s="329" t="s">
        <v>148</v>
      </c>
      <c r="U19" s="378" t="s">
        <v>139</v>
      </c>
      <c r="V19" s="329" t="s">
        <v>636</v>
      </c>
      <c r="W19" s="329" t="s">
        <v>633</v>
      </c>
      <c r="X19" s="329" t="s">
        <v>629</v>
      </c>
      <c r="Y19" s="330" t="s">
        <v>833</v>
      </c>
    </row>
    <row r="20" spans="1:25">
      <c r="A20" s="522" t="s">
        <v>650</v>
      </c>
      <c r="B20" s="522"/>
      <c r="C20" s="409"/>
      <c r="D20" s="398" t="s">
        <v>631</v>
      </c>
      <c r="E20" s="407">
        <f t="array" aca="1" ref="E20" ca="1">SUMIFS('DATA VAN HANH'!$N:$N,'DATA VAN HANH'!$H:$H,'IN CA 2'!$I$9:$O$9,'DATA VAN HANH'!$B:$B,'IN CA 2'!$I$8:$K$8)*24</f>
        <v>0</v>
      </c>
      <c r="F20" s="408"/>
      <c r="G20" s="518"/>
      <c r="H20" s="519"/>
      <c r="I20" s="527"/>
      <c r="J20" s="527"/>
      <c r="K20" s="395"/>
      <c r="L20" s="395"/>
      <c r="M20" s="395"/>
      <c r="N20" s="395"/>
      <c r="O20" s="395"/>
      <c r="Q20" s="373"/>
      <c r="R20" s="373"/>
      <c r="S20" s="372" t="s">
        <v>166</v>
      </c>
      <c r="T20" s="329" t="s">
        <v>148</v>
      </c>
      <c r="U20" s="378" t="s">
        <v>146</v>
      </c>
      <c r="V20" s="329" t="s">
        <v>636</v>
      </c>
      <c r="W20" s="329" t="s">
        <v>633</v>
      </c>
      <c r="X20" s="329" t="s">
        <v>629</v>
      </c>
      <c r="Y20" s="330" t="s">
        <v>834</v>
      </c>
    </row>
    <row r="21" spans="1:25">
      <c r="A21" s="522" t="s">
        <v>651</v>
      </c>
      <c r="B21" s="522"/>
      <c r="C21" s="406"/>
      <c r="D21" s="398"/>
      <c r="E21" s="396"/>
      <c r="F21" s="396"/>
      <c r="G21" s="406" t="s">
        <v>1000</v>
      </c>
      <c r="H21" s="398"/>
      <c r="I21" s="405">
        <f t="array" aca="1" ref="I21" ca="1">SUMIFS('DATA VAN HANH'!$S:$S,'DATA VAN HANH'!$H:$H,'IN CA 2'!$I$9:$O$9,'DATA VAN HANH'!$B:$B,'IN CA 2'!$I$8:$K$8)</f>
        <v>0</v>
      </c>
      <c r="J21" s="398"/>
      <c r="K21" s="519" t="s">
        <v>1001</v>
      </c>
      <c r="L21" s="519"/>
      <c r="M21" s="519"/>
      <c r="N21" s="519"/>
      <c r="O21" s="396"/>
      <c r="S21" s="372" t="s">
        <v>168</v>
      </c>
      <c r="T21" s="329" t="s">
        <v>681</v>
      </c>
      <c r="U21" s="378" t="s">
        <v>114</v>
      </c>
      <c r="V21" s="329" t="s">
        <v>660</v>
      </c>
      <c r="W21" s="329" t="s">
        <v>646</v>
      </c>
      <c r="X21" s="329" t="s">
        <v>629</v>
      </c>
      <c r="Y21" s="330" t="s">
        <v>835</v>
      </c>
    </row>
    <row r="22" spans="1:25" ht="20.149999999999999" customHeight="1">
      <c r="A22" s="394" t="s">
        <v>816</v>
      </c>
      <c r="B22" s="412">
        <f t="array" aca="1" ref="B22" ca="1">SUMIFS('DATA VAN HANH'!$T:$T,'DATA VAN HANH'!$H:$H,'IN CA 2'!$I$9:$O$9,'DATA VAN HANH'!$B:$B,'IN CA 2'!$I$8:$K$8)</f>
        <v>0</v>
      </c>
      <c r="C22" s="394" t="s">
        <v>653</v>
      </c>
      <c r="D22" s="396" t="s">
        <v>631</v>
      </c>
      <c r="E22" s="412">
        <f t="array" aca="1" ref="E22" ca="1">SUMIFS('DATA VAN HANH'!$U:$U,'DATA VAN HANH'!$H:$H,'IN CA 2'!$I$9:$O$9,'DATA VAN HANH'!$B:$B,'IN CA 2'!$I$8:$K$8)</f>
        <v>0</v>
      </c>
      <c r="F22" s="410"/>
      <c r="G22" s="396" t="s">
        <v>654</v>
      </c>
      <c r="H22" s="396" t="s">
        <v>631</v>
      </c>
      <c r="I22" s="412">
        <f t="array" aca="1" ref="I22" ca="1">SUMIFS('DATA VAN HANH'!$V:$V,'DATA VAN HANH'!$H:$H,'IN CA 2'!$I$9:$O$9,'DATA VAN HANH'!$B:$B,'IN CA 2'!$I$8:$K$8)</f>
        <v>0</v>
      </c>
      <c r="J22" s="410"/>
      <c r="K22" s="396" t="s">
        <v>799</v>
      </c>
      <c r="L22" s="412">
        <f t="array" aca="1" ref="L22" ca="1">SUMIFS('DATA VAN HANH'!$W:$W,'DATA VAN HANH'!$H:$H,'IN CA 2'!$I$9:$O$9,'DATA VAN HANH'!$B:$B,'IN CA 2'!$I$8:$K$8)</f>
        <v>0</v>
      </c>
      <c r="M22" s="396" t="s">
        <v>811</v>
      </c>
      <c r="N22" s="405">
        <f t="array" aca="1" ref="N22" ca="1">SUMIFS('DATA VAN HANH'!$X:$X,'DATA VAN HANH'!$H:$H,'IN CA 2'!$I$9:$O$9,'DATA VAN HANH'!$B:$B,'IN CA 2'!$I$8:$K$8)</f>
        <v>0</v>
      </c>
      <c r="O22" s="407"/>
      <c r="S22" s="329" t="s">
        <v>170</v>
      </c>
      <c r="T22" s="329" t="s">
        <v>681</v>
      </c>
      <c r="U22" s="380" t="s">
        <v>115</v>
      </c>
      <c r="V22" s="329" t="s">
        <v>660</v>
      </c>
      <c r="W22" s="329" t="s">
        <v>882</v>
      </c>
      <c r="X22" s="329" t="s">
        <v>629</v>
      </c>
      <c r="Y22" s="330" t="s">
        <v>836</v>
      </c>
    </row>
    <row r="23" spans="1:25" ht="20.149999999999999" customHeight="1">
      <c r="A23" s="406" t="s">
        <v>803</v>
      </c>
      <c r="B23" s="523"/>
      <c r="C23" s="523"/>
      <c r="D23" s="523"/>
      <c r="E23" s="523"/>
      <c r="F23" s="523"/>
      <c r="G23" s="523"/>
      <c r="H23" s="523"/>
      <c r="I23" s="523"/>
      <c r="J23" s="523"/>
      <c r="K23" s="523"/>
      <c r="L23" s="523"/>
      <c r="M23" s="523"/>
      <c r="N23" s="523"/>
      <c r="O23" s="407"/>
      <c r="S23" s="329" t="s">
        <v>172</v>
      </c>
      <c r="T23" s="329"/>
      <c r="U23" s="380" t="s">
        <v>33</v>
      </c>
      <c r="V23" s="329" t="s">
        <v>661</v>
      </c>
      <c r="W23" s="329" t="s">
        <v>882</v>
      </c>
      <c r="X23" s="329" t="s">
        <v>625</v>
      </c>
      <c r="Y23" s="330" t="s">
        <v>837</v>
      </c>
    </row>
    <row r="24" spans="1:25">
      <c r="A24" s="525" t="s">
        <v>655</v>
      </c>
      <c r="B24" s="525"/>
      <c r="C24" s="525"/>
      <c r="D24" s="525"/>
      <c r="E24" s="525"/>
      <c r="F24" s="525"/>
      <c r="G24" s="525"/>
      <c r="H24" s="396"/>
      <c r="I24" s="519" t="s">
        <v>656</v>
      </c>
      <c r="J24" s="519"/>
      <c r="K24" s="519"/>
      <c r="L24" s="519"/>
      <c r="M24" s="519"/>
      <c r="N24" s="411"/>
      <c r="O24" s="396"/>
      <c r="S24" s="329" t="s">
        <v>173</v>
      </c>
      <c r="T24" s="329" t="s">
        <v>681</v>
      </c>
      <c r="U24" s="381" t="s">
        <v>34</v>
      </c>
      <c r="V24" s="329" t="s">
        <v>661</v>
      </c>
      <c r="W24" s="329" t="s">
        <v>882</v>
      </c>
      <c r="X24" s="329" t="s">
        <v>629</v>
      </c>
      <c r="Y24" s="330" t="s">
        <v>838</v>
      </c>
    </row>
    <row r="25" spans="1:25" ht="20.25" customHeight="1">
      <c r="A25" s="413" t="s">
        <v>800</v>
      </c>
      <c r="B25" s="524" t="s">
        <v>801</v>
      </c>
      <c r="C25" s="524"/>
      <c r="D25" s="524"/>
      <c r="E25" s="524"/>
      <c r="F25" s="524"/>
      <c r="G25" s="524"/>
      <c r="H25" s="414"/>
      <c r="I25" s="524" t="s">
        <v>659</v>
      </c>
      <c r="J25" s="524"/>
      <c r="K25" s="524"/>
      <c r="L25" s="524"/>
      <c r="M25" s="524"/>
      <c r="N25" s="411"/>
      <c r="O25" s="396"/>
      <c r="S25" s="329" t="s">
        <v>175</v>
      </c>
      <c r="T25" s="329" t="s">
        <v>681</v>
      </c>
      <c r="U25" s="381" t="s">
        <v>35</v>
      </c>
      <c r="V25" s="329" t="s">
        <v>661</v>
      </c>
      <c r="W25" s="329" t="s">
        <v>882</v>
      </c>
      <c r="X25" s="329" t="s">
        <v>629</v>
      </c>
      <c r="Y25" s="330" t="s">
        <v>839</v>
      </c>
    </row>
    <row r="26" spans="1:25">
      <c r="A26" s="391"/>
      <c r="B26" s="391"/>
      <c r="C26" s="391"/>
      <c r="D26" s="391"/>
      <c r="E26" s="391"/>
      <c r="F26" s="391"/>
      <c r="G26" s="391"/>
      <c r="H26" s="391"/>
      <c r="I26" s="391"/>
      <c r="J26" s="391"/>
      <c r="K26" s="391"/>
      <c r="L26" s="391"/>
      <c r="M26" s="391"/>
      <c r="N26" s="391"/>
      <c r="O26" s="335"/>
      <c r="S26" s="329" t="s">
        <v>177</v>
      </c>
      <c r="T26" s="329" t="s">
        <v>681</v>
      </c>
      <c r="U26" s="378" t="s">
        <v>36</v>
      </c>
      <c r="V26" s="329" t="s">
        <v>661</v>
      </c>
      <c r="W26" s="329" t="s">
        <v>882</v>
      </c>
      <c r="X26" s="329" t="s">
        <v>625</v>
      </c>
      <c r="Y26" s="330" t="s">
        <v>840</v>
      </c>
    </row>
    <row r="27" spans="1:25" ht="17">
      <c r="A27" s="391"/>
      <c r="B27" s="391"/>
      <c r="C27" s="391"/>
      <c r="D27" s="391"/>
      <c r="E27" s="391"/>
      <c r="F27" s="391"/>
      <c r="G27" s="391"/>
      <c r="H27" s="391"/>
      <c r="I27" s="391"/>
      <c r="J27" s="391"/>
      <c r="K27" s="391"/>
      <c r="L27" s="391"/>
      <c r="M27" s="391"/>
      <c r="N27" s="391"/>
      <c r="O27" s="335"/>
      <c r="Q27" s="350"/>
      <c r="R27" s="351"/>
      <c r="S27" s="329" t="s">
        <v>179</v>
      </c>
      <c r="T27" s="329" t="s">
        <v>681</v>
      </c>
      <c r="U27" s="382" t="s">
        <v>59</v>
      </c>
      <c r="V27" s="329" t="s">
        <v>661</v>
      </c>
      <c r="W27" s="329" t="s">
        <v>882</v>
      </c>
      <c r="X27" s="329" t="s">
        <v>623</v>
      </c>
      <c r="Y27" s="330" t="s">
        <v>841</v>
      </c>
    </row>
    <row r="28" spans="1:25" ht="13.5" customHeight="1">
      <c r="C28" s="349"/>
      <c r="D28" s="324"/>
      <c r="E28" s="324"/>
      <c r="F28" s="324"/>
      <c r="G28" s="520"/>
      <c r="H28" s="520"/>
      <c r="I28" s="520"/>
      <c r="J28" s="349"/>
      <c r="K28" s="324"/>
      <c r="L28" s="324"/>
      <c r="M28" s="324"/>
      <c r="N28" s="324"/>
      <c r="O28" s="324"/>
      <c r="Q28" s="350"/>
      <c r="R28" s="350"/>
      <c r="S28" s="329" t="s">
        <v>181</v>
      </c>
      <c r="T28" s="329" t="s">
        <v>681</v>
      </c>
      <c r="U28" s="378" t="s">
        <v>111</v>
      </c>
      <c r="V28" s="329" t="s">
        <v>661</v>
      </c>
      <c r="W28" s="329" t="s">
        <v>882</v>
      </c>
      <c r="X28" s="329" t="s">
        <v>663</v>
      </c>
      <c r="Y28" s="330" t="s">
        <v>842</v>
      </c>
    </row>
    <row r="29" spans="1:25" ht="12.75" customHeight="1">
      <c r="C29" s="324"/>
      <c r="D29" s="324"/>
      <c r="E29" s="349"/>
      <c r="F29" s="324"/>
      <c r="G29" s="324"/>
      <c r="H29" s="324"/>
      <c r="I29" s="324"/>
      <c r="J29" s="324"/>
      <c r="K29" s="324"/>
      <c r="L29" s="324"/>
      <c r="M29" s="324"/>
      <c r="N29" s="324"/>
      <c r="O29" s="324"/>
      <c r="S29" s="329" t="s">
        <v>183</v>
      </c>
      <c r="T29" s="329" t="s">
        <v>681</v>
      </c>
      <c r="U29" s="378" t="s">
        <v>112</v>
      </c>
      <c r="V29" s="329" t="s">
        <v>47</v>
      </c>
      <c r="W29" s="329" t="s">
        <v>882</v>
      </c>
      <c r="X29" s="329" t="s">
        <v>629</v>
      </c>
      <c r="Y29" s="330" t="s">
        <v>843</v>
      </c>
    </row>
    <row r="30" spans="1:25" s="350" customFormat="1" ht="19.5" customHeight="1">
      <c r="C30" s="520"/>
      <c r="D30" s="520"/>
      <c r="E30" s="520"/>
      <c r="F30" s="520"/>
      <c r="G30" s="520"/>
      <c r="H30" s="520"/>
      <c r="I30" s="520"/>
      <c r="J30" s="520"/>
      <c r="K30" s="520"/>
      <c r="L30" s="368"/>
      <c r="M30" s="368"/>
      <c r="N30" s="368"/>
      <c r="O30" s="346"/>
      <c r="Q30" s="325"/>
      <c r="R30" s="325"/>
      <c r="S30" s="388" t="s">
        <v>185</v>
      </c>
      <c r="T30" s="389" t="s">
        <v>681</v>
      </c>
      <c r="U30" s="378" t="s">
        <v>124</v>
      </c>
      <c r="V30" s="329" t="s">
        <v>664</v>
      </c>
      <c r="W30" s="329" t="s">
        <v>882</v>
      </c>
      <c r="X30" s="329" t="s">
        <v>623</v>
      </c>
      <c r="Y30" s="352" t="s">
        <v>844</v>
      </c>
    </row>
    <row r="31" spans="1:25" s="350" customFormat="1" ht="16.5" customHeight="1">
      <c r="C31" s="526"/>
      <c r="D31" s="526"/>
      <c r="E31" s="526"/>
      <c r="F31" s="526"/>
      <c r="G31" s="526"/>
      <c r="H31" s="526"/>
      <c r="I31" s="526"/>
      <c r="J31" s="526"/>
      <c r="K31" s="526"/>
      <c r="L31" s="370"/>
      <c r="M31" s="370"/>
      <c r="N31" s="370"/>
      <c r="O31" s="325"/>
      <c r="P31" s="325"/>
      <c r="Q31" s="325"/>
      <c r="R31" s="325"/>
      <c r="S31" s="389" t="s">
        <v>682</v>
      </c>
      <c r="T31" s="389" t="s">
        <v>681</v>
      </c>
      <c r="U31" s="378" t="s">
        <v>122</v>
      </c>
      <c r="V31" s="329" t="s">
        <v>664</v>
      </c>
      <c r="W31" s="329" t="s">
        <v>665</v>
      </c>
      <c r="X31" s="329" t="s">
        <v>666</v>
      </c>
      <c r="Y31" s="352" t="s">
        <v>845</v>
      </c>
    </row>
    <row r="32" spans="1:25">
      <c r="E32" s="512"/>
      <c r="F32" s="512"/>
      <c r="G32" s="512"/>
      <c r="H32" s="512"/>
      <c r="I32" s="512"/>
      <c r="J32" s="512"/>
      <c r="K32" s="512"/>
      <c r="L32" s="369"/>
      <c r="M32" s="369"/>
      <c r="N32" s="369"/>
      <c r="S32" s="329" t="s">
        <v>683</v>
      </c>
      <c r="T32" s="329" t="s">
        <v>681</v>
      </c>
      <c r="U32" s="378" t="s">
        <v>123</v>
      </c>
      <c r="V32" s="329" t="s">
        <v>664</v>
      </c>
      <c r="W32" s="329" t="s">
        <v>665</v>
      </c>
      <c r="X32" s="329" t="s">
        <v>666</v>
      </c>
      <c r="Y32" s="330" t="s">
        <v>846</v>
      </c>
    </row>
    <row r="33" spans="5:25">
      <c r="E33" s="353"/>
      <c r="S33" s="329" t="s">
        <v>684</v>
      </c>
      <c r="T33" s="329" t="s">
        <v>681</v>
      </c>
      <c r="U33" s="378" t="s">
        <v>116</v>
      </c>
      <c r="V33" s="329" t="s">
        <v>667</v>
      </c>
      <c r="W33" s="329" t="s">
        <v>622</v>
      </c>
      <c r="X33" s="329" t="s">
        <v>623</v>
      </c>
      <c r="Y33" s="330" t="s">
        <v>847</v>
      </c>
    </row>
    <row r="34" spans="5:25">
      <c r="S34" s="329" t="s">
        <v>685</v>
      </c>
      <c r="T34" s="329" t="s">
        <v>681</v>
      </c>
      <c r="U34" s="378" t="s">
        <v>117</v>
      </c>
      <c r="V34" s="329" t="s">
        <v>667</v>
      </c>
      <c r="W34" s="329" t="s">
        <v>622</v>
      </c>
      <c r="X34" s="329" t="s">
        <v>623</v>
      </c>
      <c r="Y34" s="330" t="s">
        <v>848</v>
      </c>
    </row>
    <row r="35" spans="5:25">
      <c r="E35" s="354"/>
      <c r="S35" s="329" t="s">
        <v>687</v>
      </c>
      <c r="T35" s="329" t="s">
        <v>681</v>
      </c>
      <c r="U35" s="378" t="s">
        <v>39</v>
      </c>
      <c r="V35" s="329" t="s">
        <v>667</v>
      </c>
      <c r="W35" s="329" t="s">
        <v>633</v>
      </c>
      <c r="X35" s="329" t="s">
        <v>629</v>
      </c>
      <c r="Y35" s="330" t="s">
        <v>849</v>
      </c>
    </row>
    <row r="36" spans="5:25">
      <c r="E36" s="512"/>
      <c r="F36" s="512"/>
      <c r="G36" s="512"/>
      <c r="H36" s="512"/>
      <c r="I36" s="512"/>
      <c r="J36" s="512"/>
      <c r="K36" s="512"/>
      <c r="L36" s="512"/>
      <c r="M36" s="512"/>
      <c r="N36" s="512"/>
      <c r="O36" s="512"/>
      <c r="P36" s="512"/>
      <c r="S36" s="329" t="s">
        <v>689</v>
      </c>
      <c r="T36" s="329" t="s">
        <v>681</v>
      </c>
      <c r="U36" s="378" t="s">
        <v>113</v>
      </c>
      <c r="V36" s="329" t="s">
        <v>667</v>
      </c>
      <c r="W36" s="329" t="s">
        <v>633</v>
      </c>
      <c r="X36" s="329" t="s">
        <v>629</v>
      </c>
      <c r="Y36" s="330" t="s">
        <v>850</v>
      </c>
    </row>
    <row r="37" spans="5:25" ht="16.5">
      <c r="E37" s="355"/>
      <c r="F37" s="346"/>
      <c r="G37" s="354"/>
      <c r="H37" s="356"/>
      <c r="I37" s="346"/>
      <c r="J37" s="346"/>
      <c r="K37" s="346"/>
      <c r="L37" s="346"/>
      <c r="M37" s="346"/>
      <c r="N37" s="346"/>
      <c r="O37" s="346"/>
      <c r="P37" s="346"/>
      <c r="S37" s="329" t="s">
        <v>195</v>
      </c>
      <c r="T37" s="329" t="s">
        <v>681</v>
      </c>
      <c r="U37" s="383" t="s">
        <v>40</v>
      </c>
      <c r="V37" s="329" t="s">
        <v>667</v>
      </c>
      <c r="W37" s="329" t="s">
        <v>633</v>
      </c>
      <c r="X37" s="329" t="s">
        <v>629</v>
      </c>
      <c r="Y37" s="330" t="s">
        <v>851</v>
      </c>
    </row>
    <row r="38" spans="5:25">
      <c r="E38" s="358"/>
      <c r="R38" s="360"/>
      <c r="S38" s="329" t="s">
        <v>197</v>
      </c>
      <c r="T38" s="329" t="s">
        <v>681</v>
      </c>
      <c r="U38" s="378" t="s">
        <v>41</v>
      </c>
      <c r="V38" s="329" t="s">
        <v>667</v>
      </c>
      <c r="W38" s="329" t="s">
        <v>633</v>
      </c>
      <c r="X38" s="329" t="s">
        <v>629</v>
      </c>
      <c r="Y38" s="330" t="s">
        <v>852</v>
      </c>
    </row>
    <row r="39" spans="5:25" ht="16.5">
      <c r="E39" s="359"/>
      <c r="S39" s="329" t="s">
        <v>199</v>
      </c>
      <c r="T39" s="329" t="s">
        <v>681</v>
      </c>
      <c r="U39" s="378" t="s">
        <v>42</v>
      </c>
      <c r="V39" s="329" t="s">
        <v>667</v>
      </c>
      <c r="W39" s="329" t="s">
        <v>649</v>
      </c>
      <c r="X39" s="329" t="s">
        <v>629</v>
      </c>
      <c r="Y39" s="330" t="s">
        <v>853</v>
      </c>
    </row>
    <row r="40" spans="5:25" ht="16.5">
      <c r="E40" s="359"/>
      <c r="S40" s="329" t="s">
        <v>201</v>
      </c>
      <c r="T40" s="329" t="s">
        <v>681</v>
      </c>
      <c r="U40" s="378" t="s">
        <v>43</v>
      </c>
      <c r="V40" s="329" t="s">
        <v>667</v>
      </c>
      <c r="W40" s="329" t="s">
        <v>649</v>
      </c>
      <c r="X40" s="329" t="s">
        <v>629</v>
      </c>
      <c r="Y40" s="330" t="s">
        <v>854</v>
      </c>
    </row>
    <row r="41" spans="5:25">
      <c r="S41" s="390" t="s">
        <v>202</v>
      </c>
      <c r="T41" s="329" t="s">
        <v>681</v>
      </c>
      <c r="U41" s="378" t="s">
        <v>37</v>
      </c>
      <c r="V41" s="329" t="s">
        <v>667</v>
      </c>
      <c r="W41" s="329" t="s">
        <v>649</v>
      </c>
      <c r="X41" s="329" t="s">
        <v>625</v>
      </c>
      <c r="Y41" s="330" t="s">
        <v>855</v>
      </c>
    </row>
    <row r="42" spans="5:25">
      <c r="S42" s="329" t="s">
        <v>204</v>
      </c>
      <c r="T42" s="329" t="s">
        <v>681</v>
      </c>
      <c r="U42" s="378" t="s">
        <v>38</v>
      </c>
      <c r="V42" s="329" t="s">
        <v>667</v>
      </c>
      <c r="W42" s="329" t="s">
        <v>649</v>
      </c>
      <c r="X42" s="329" t="s">
        <v>625</v>
      </c>
      <c r="Y42" s="330" t="s">
        <v>856</v>
      </c>
    </row>
    <row r="43" spans="5:25">
      <c r="F43" s="360"/>
      <c r="S43" s="329" t="s">
        <v>205</v>
      </c>
      <c r="T43" s="329" t="s">
        <v>691</v>
      </c>
      <c r="U43" s="378" t="s">
        <v>131</v>
      </c>
      <c r="V43" s="329" t="s">
        <v>667</v>
      </c>
      <c r="W43" s="329" t="s">
        <v>882</v>
      </c>
      <c r="X43" s="329" t="s">
        <v>668</v>
      </c>
      <c r="Y43" s="330" t="s">
        <v>857</v>
      </c>
    </row>
    <row r="44" spans="5:25">
      <c r="S44" s="329" t="s">
        <v>206</v>
      </c>
      <c r="T44" s="329" t="s">
        <v>691</v>
      </c>
      <c r="U44" s="378" t="s">
        <v>132</v>
      </c>
      <c r="V44" s="329" t="s">
        <v>667</v>
      </c>
      <c r="W44" s="329" t="s">
        <v>669</v>
      </c>
      <c r="X44" s="329" t="s">
        <v>629</v>
      </c>
      <c r="Y44" s="330" t="s">
        <v>858</v>
      </c>
    </row>
    <row r="45" spans="5:25">
      <c r="S45" s="329" t="s">
        <v>692</v>
      </c>
      <c r="T45" s="329" t="s">
        <v>691</v>
      </c>
      <c r="U45" s="378" t="s">
        <v>134</v>
      </c>
      <c r="V45" s="329" t="s">
        <v>667</v>
      </c>
      <c r="W45" s="329" t="s">
        <v>649</v>
      </c>
      <c r="X45" s="329" t="s">
        <v>629</v>
      </c>
      <c r="Y45" s="330" t="s">
        <v>859</v>
      </c>
    </row>
    <row r="46" spans="5:25">
      <c r="S46" s="329" t="s">
        <v>693</v>
      </c>
      <c r="T46" s="329" t="s">
        <v>691</v>
      </c>
      <c r="U46" s="378" t="s">
        <v>64</v>
      </c>
      <c r="V46" s="329" t="s">
        <v>667</v>
      </c>
      <c r="W46" s="329" t="s">
        <v>649</v>
      </c>
      <c r="X46" s="329" t="s">
        <v>629</v>
      </c>
      <c r="Y46" s="330" t="s">
        <v>860</v>
      </c>
    </row>
    <row r="47" spans="5:25">
      <c r="S47" s="329" t="s">
        <v>694</v>
      </c>
      <c r="T47" s="329" t="s">
        <v>691</v>
      </c>
      <c r="U47" s="378" t="s">
        <v>133</v>
      </c>
      <c r="V47" s="329" t="s">
        <v>667</v>
      </c>
      <c r="W47" s="329" t="s">
        <v>669</v>
      </c>
      <c r="X47" s="329" t="s">
        <v>629</v>
      </c>
      <c r="Y47" s="330" t="s">
        <v>861</v>
      </c>
    </row>
    <row r="48" spans="5:25">
      <c r="S48" s="329" t="s">
        <v>695</v>
      </c>
      <c r="T48" s="329" t="s">
        <v>691</v>
      </c>
      <c r="U48" s="383" t="s">
        <v>121</v>
      </c>
      <c r="V48" s="329" t="s">
        <v>667</v>
      </c>
      <c r="W48" s="329" t="s">
        <v>649</v>
      </c>
      <c r="X48" s="329" t="s">
        <v>629</v>
      </c>
      <c r="Y48" s="330" t="s">
        <v>862</v>
      </c>
    </row>
    <row r="49" spans="19:25">
      <c r="S49" s="329" t="s">
        <v>696</v>
      </c>
      <c r="T49" s="329" t="s">
        <v>691</v>
      </c>
      <c r="U49" s="386" t="s">
        <v>602</v>
      </c>
      <c r="V49" s="329" t="s">
        <v>49</v>
      </c>
      <c r="W49" s="361" t="s">
        <v>881</v>
      </c>
      <c r="X49" s="329" t="s">
        <v>623</v>
      </c>
      <c r="Y49" s="330" t="s">
        <v>863</v>
      </c>
    </row>
    <row r="50" spans="19:25">
      <c r="S50" s="329" t="s">
        <v>697</v>
      </c>
      <c r="T50" s="329" t="s">
        <v>691</v>
      </c>
      <c r="U50" s="383"/>
      <c r="V50" s="361"/>
      <c r="W50" s="361"/>
      <c r="X50" s="329"/>
      <c r="Y50" s="330"/>
    </row>
    <row r="51" spans="19:25">
      <c r="S51" s="329" t="s">
        <v>208</v>
      </c>
      <c r="T51" s="329" t="s">
        <v>691</v>
      </c>
      <c r="U51" s="378"/>
      <c r="V51" s="361"/>
      <c r="W51" s="361"/>
      <c r="X51" s="329"/>
      <c r="Y51" s="330"/>
    </row>
    <row r="52" spans="19:25">
      <c r="S52" s="329" t="s">
        <v>209</v>
      </c>
      <c r="T52" s="329" t="s">
        <v>691</v>
      </c>
      <c r="U52" s="384"/>
      <c r="V52" s="361"/>
      <c r="W52" s="361"/>
      <c r="X52" s="329"/>
      <c r="Y52" s="330"/>
    </row>
    <row r="53" spans="19:25">
      <c r="S53" s="329" t="s">
        <v>210</v>
      </c>
      <c r="T53" s="329" t="s">
        <v>691</v>
      </c>
      <c r="U53" s="385"/>
      <c r="V53" s="361"/>
      <c r="W53" s="361"/>
      <c r="X53" s="329"/>
      <c r="Y53" s="330"/>
    </row>
    <row r="54" spans="19:25">
      <c r="S54" s="329" t="s">
        <v>211</v>
      </c>
      <c r="T54" s="329" t="s">
        <v>691</v>
      </c>
      <c r="U54" s="383"/>
      <c r="V54" s="361"/>
      <c r="W54" s="361"/>
      <c r="X54" s="329"/>
      <c r="Y54" s="330"/>
    </row>
    <row r="55" spans="19:25">
      <c r="S55" s="329" t="s">
        <v>212</v>
      </c>
      <c r="T55" s="329" t="s">
        <v>691</v>
      </c>
      <c r="U55" s="383"/>
      <c r="V55" s="329"/>
      <c r="W55" s="361"/>
      <c r="X55" s="329"/>
      <c r="Y55" s="330"/>
    </row>
    <row r="56" spans="19:25">
      <c r="S56" s="329" t="s">
        <v>700</v>
      </c>
      <c r="T56" s="329" t="s">
        <v>691</v>
      </c>
      <c r="U56" s="383"/>
      <c r="V56" s="329"/>
      <c r="W56" s="361"/>
      <c r="X56" s="361"/>
      <c r="Y56" s="330"/>
    </row>
    <row r="57" spans="19:25">
      <c r="S57" s="329" t="s">
        <v>701</v>
      </c>
      <c r="T57" s="329" t="s">
        <v>691</v>
      </c>
      <c r="U57" s="386"/>
      <c r="V57" s="329"/>
      <c r="W57" s="361"/>
      <c r="X57" s="329"/>
      <c r="Y57" s="330"/>
    </row>
    <row r="58" spans="19:25">
      <c r="S58" s="329" t="s">
        <v>702</v>
      </c>
      <c r="T58" s="329" t="s">
        <v>691</v>
      </c>
      <c r="U58" s="378"/>
      <c r="V58" s="329"/>
      <c r="W58" s="361"/>
      <c r="X58" s="329"/>
      <c r="Y58" s="330"/>
    </row>
    <row r="59" spans="19:25">
      <c r="S59" s="329" t="s">
        <v>703</v>
      </c>
      <c r="T59" s="329" t="s">
        <v>150</v>
      </c>
      <c r="U59" s="378"/>
      <c r="V59" s="329"/>
      <c r="W59" s="361"/>
      <c r="X59" s="329"/>
      <c r="Y59" s="330"/>
    </row>
    <row r="60" spans="19:25">
      <c r="S60" s="329" t="s">
        <v>704</v>
      </c>
      <c r="T60" s="329" t="s">
        <v>150</v>
      </c>
      <c r="U60" s="378"/>
      <c r="V60" s="329"/>
      <c r="W60" s="329"/>
      <c r="X60" s="329"/>
      <c r="Y60" s="330"/>
    </row>
    <row r="61" spans="19:25">
      <c r="S61" s="329" t="s">
        <v>705</v>
      </c>
      <c r="T61" s="329" t="s">
        <v>150</v>
      </c>
      <c r="U61" s="378"/>
      <c r="V61" s="329"/>
      <c r="W61" s="329"/>
      <c r="X61" s="329"/>
      <c r="Y61" s="330"/>
    </row>
    <row r="62" spans="19:25">
      <c r="S62" s="329" t="s">
        <v>706</v>
      </c>
      <c r="T62" s="329" t="s">
        <v>150</v>
      </c>
      <c r="U62" s="378"/>
      <c r="V62" s="329"/>
      <c r="W62" s="329"/>
      <c r="X62" s="329"/>
      <c r="Y62" s="330"/>
    </row>
    <row r="63" spans="19:25">
      <c r="S63" s="329" t="s">
        <v>707</v>
      </c>
      <c r="T63" s="329" t="s">
        <v>150</v>
      </c>
      <c r="U63" s="378"/>
      <c r="V63" s="329"/>
      <c r="W63" s="329"/>
      <c r="X63" s="329"/>
      <c r="Y63" s="330"/>
    </row>
    <row r="64" spans="19:25">
      <c r="S64" s="329" t="s">
        <v>708</v>
      </c>
      <c r="T64" s="329" t="s">
        <v>150</v>
      </c>
      <c r="U64" s="387"/>
      <c r="V64" s="305"/>
      <c r="W64" s="329"/>
      <c r="X64" s="329"/>
      <c r="Y64" s="330"/>
    </row>
    <row r="65" spans="19:25">
      <c r="S65" s="329" t="s">
        <v>709</v>
      </c>
      <c r="T65" s="329" t="s">
        <v>150</v>
      </c>
      <c r="U65" s="378"/>
      <c r="V65" s="329"/>
      <c r="W65" s="329"/>
      <c r="X65" s="329"/>
      <c r="Y65" s="330"/>
    </row>
    <row r="66" spans="19:25">
      <c r="S66" s="329" t="s">
        <v>710</v>
      </c>
      <c r="T66" s="329" t="s">
        <v>150</v>
      </c>
    </row>
    <row r="67" spans="19:25">
      <c r="S67" s="329" t="s">
        <v>711</v>
      </c>
      <c r="T67" s="329" t="s">
        <v>150</v>
      </c>
    </row>
    <row r="68" spans="19:25">
      <c r="S68" s="329" t="s">
        <v>712</v>
      </c>
      <c r="T68" s="329" t="s">
        <v>150</v>
      </c>
    </row>
    <row r="69" spans="19:25">
      <c r="S69" s="329" t="s">
        <v>713</v>
      </c>
      <c r="T69" s="329" t="s">
        <v>5</v>
      </c>
    </row>
    <row r="70" spans="19:25">
      <c r="S70" s="329" t="s">
        <v>714</v>
      </c>
      <c r="T70" s="329" t="s">
        <v>5</v>
      </c>
    </row>
    <row r="71" spans="19:25">
      <c r="S71" s="329" t="s">
        <v>715</v>
      </c>
      <c r="T71" s="329" t="s">
        <v>5</v>
      </c>
    </row>
    <row r="72" spans="19:25">
      <c r="S72" s="329" t="s">
        <v>717</v>
      </c>
      <c r="T72" s="329" t="s">
        <v>5</v>
      </c>
    </row>
    <row r="73" spans="19:25">
      <c r="S73" s="329" t="s">
        <v>719</v>
      </c>
      <c r="T73" s="329" t="s">
        <v>5</v>
      </c>
    </row>
    <row r="74" spans="19:25">
      <c r="S74" s="329" t="s">
        <v>720</v>
      </c>
      <c r="T74" s="329" t="s">
        <v>5</v>
      </c>
    </row>
    <row r="75" spans="19:25">
      <c r="S75" s="329" t="s">
        <v>721</v>
      </c>
      <c r="T75" s="329" t="s">
        <v>5</v>
      </c>
    </row>
    <row r="76" spans="19:25">
      <c r="S76" s="329" t="s">
        <v>722</v>
      </c>
      <c r="T76" s="329" t="s">
        <v>5</v>
      </c>
    </row>
    <row r="77" spans="19:25">
      <c r="S77" s="329" t="s">
        <v>723</v>
      </c>
      <c r="T77" s="329" t="s">
        <v>5</v>
      </c>
    </row>
    <row r="78" spans="19:25">
      <c r="S78" s="329" t="s">
        <v>724</v>
      </c>
      <c r="T78" s="329" t="s">
        <v>5</v>
      </c>
    </row>
    <row r="79" spans="19:25">
      <c r="S79" s="329" t="s">
        <v>725</v>
      </c>
      <c r="T79" s="329" t="s">
        <v>5</v>
      </c>
    </row>
    <row r="80" spans="19:25">
      <c r="S80" s="329" t="s">
        <v>726</v>
      </c>
      <c r="T80" s="329" t="s">
        <v>5</v>
      </c>
    </row>
    <row r="81" spans="19:20">
      <c r="S81" s="329" t="s">
        <v>727</v>
      </c>
      <c r="T81" s="329" t="s">
        <v>5</v>
      </c>
    </row>
    <row r="82" spans="19:20">
      <c r="S82" s="329" t="s">
        <v>728</v>
      </c>
      <c r="T82" s="329" t="s">
        <v>5</v>
      </c>
    </row>
    <row r="83" spans="19:20">
      <c r="S83" s="329" t="s">
        <v>729</v>
      </c>
      <c r="T83" s="329" t="s">
        <v>5</v>
      </c>
    </row>
    <row r="84" spans="19:20">
      <c r="S84" s="329" t="s">
        <v>731</v>
      </c>
      <c r="T84" s="329" t="s">
        <v>5</v>
      </c>
    </row>
    <row r="85" spans="19:20">
      <c r="S85" s="329" t="s">
        <v>733</v>
      </c>
      <c r="T85" s="329" t="s">
        <v>5</v>
      </c>
    </row>
    <row r="86" spans="19:20">
      <c r="S86" s="329" t="s">
        <v>735</v>
      </c>
      <c r="T86" s="329" t="s">
        <v>5</v>
      </c>
    </row>
    <row r="87" spans="19:20">
      <c r="S87" s="329" t="s">
        <v>737</v>
      </c>
      <c r="T87" s="329" t="s">
        <v>5</v>
      </c>
    </row>
    <row r="88" spans="19:20">
      <c r="S88" s="329" t="s">
        <v>738</v>
      </c>
      <c r="T88" s="329" t="s">
        <v>5</v>
      </c>
    </row>
    <row r="89" spans="19:20">
      <c r="S89" s="329" t="s">
        <v>739</v>
      </c>
      <c r="T89" s="329" t="s">
        <v>5</v>
      </c>
    </row>
    <row r="90" spans="19:20">
      <c r="S90" s="329" t="s">
        <v>232</v>
      </c>
      <c r="T90" s="329" t="s">
        <v>5</v>
      </c>
    </row>
    <row r="91" spans="19:20">
      <c r="S91" s="329" t="s">
        <v>740</v>
      </c>
      <c r="T91" s="329" t="s">
        <v>5</v>
      </c>
    </row>
    <row r="92" spans="19:20">
      <c r="S92" s="329" t="s">
        <v>235</v>
      </c>
      <c r="T92" s="329" t="s">
        <v>5</v>
      </c>
    </row>
    <row r="93" spans="19:20">
      <c r="S93" s="329" t="s">
        <v>237</v>
      </c>
      <c r="T93" s="329" t="s">
        <v>151</v>
      </c>
    </row>
    <row r="94" spans="19:20">
      <c r="S94" s="329" t="s">
        <v>239</v>
      </c>
      <c r="T94" s="329" t="s">
        <v>151</v>
      </c>
    </row>
    <row r="95" spans="19:20">
      <c r="S95" s="329" t="s">
        <v>243</v>
      </c>
      <c r="T95" s="329" t="s">
        <v>151</v>
      </c>
    </row>
    <row r="96" spans="19:20">
      <c r="S96" s="329" t="s">
        <v>245</v>
      </c>
      <c r="T96" s="329" t="s">
        <v>151</v>
      </c>
    </row>
    <row r="97" spans="19:20">
      <c r="S97" s="329" t="s">
        <v>247</v>
      </c>
      <c r="T97" s="329" t="s">
        <v>151</v>
      </c>
    </row>
    <row r="98" spans="19:20">
      <c r="S98" s="329" t="s">
        <v>248</v>
      </c>
      <c r="T98" s="329" t="s">
        <v>151</v>
      </c>
    </row>
    <row r="99" spans="19:20">
      <c r="S99" s="329" t="s">
        <v>252</v>
      </c>
      <c r="T99" s="329" t="s">
        <v>151</v>
      </c>
    </row>
    <row r="100" spans="19:20">
      <c r="S100" s="329" t="s">
        <v>741</v>
      </c>
      <c r="T100" s="329" t="s">
        <v>151</v>
      </c>
    </row>
    <row r="101" spans="19:20">
      <c r="S101" s="329" t="s">
        <v>742</v>
      </c>
      <c r="T101" s="329" t="s">
        <v>151</v>
      </c>
    </row>
    <row r="102" spans="19:20">
      <c r="S102" s="329" t="s">
        <v>743</v>
      </c>
      <c r="T102" s="329" t="s">
        <v>151</v>
      </c>
    </row>
    <row r="103" spans="19:20">
      <c r="S103" s="329" t="s">
        <v>254</v>
      </c>
      <c r="T103" s="329" t="s">
        <v>151</v>
      </c>
    </row>
    <row r="104" spans="19:20">
      <c r="S104" s="329" t="s">
        <v>256</v>
      </c>
      <c r="T104" s="329" t="s">
        <v>151</v>
      </c>
    </row>
    <row r="105" spans="19:20">
      <c r="S105" s="329" t="s">
        <v>746</v>
      </c>
      <c r="T105" s="329" t="s">
        <v>151</v>
      </c>
    </row>
    <row r="106" spans="19:20">
      <c r="S106" s="329" t="s">
        <v>747</v>
      </c>
      <c r="T106" s="329" t="s">
        <v>151</v>
      </c>
    </row>
    <row r="107" spans="19:20">
      <c r="S107" s="329" t="s">
        <v>259</v>
      </c>
      <c r="T107" s="329" t="s">
        <v>151</v>
      </c>
    </row>
    <row r="108" spans="19:20">
      <c r="S108" s="329" t="s">
        <v>748</v>
      </c>
      <c r="T108" s="329" t="s">
        <v>151</v>
      </c>
    </row>
    <row r="109" spans="19:20">
      <c r="S109" s="329" t="s">
        <v>749</v>
      </c>
      <c r="T109" s="329" t="s">
        <v>151</v>
      </c>
    </row>
    <row r="110" spans="19:20">
      <c r="S110" s="329" t="s">
        <v>750</v>
      </c>
      <c r="T110" s="329" t="s">
        <v>151</v>
      </c>
    </row>
    <row r="111" spans="19:20">
      <c r="S111" s="329" t="s">
        <v>751</v>
      </c>
      <c r="T111" s="329" t="s">
        <v>151</v>
      </c>
    </row>
    <row r="112" spans="19:20">
      <c r="S112" s="329" t="s">
        <v>264</v>
      </c>
      <c r="T112" s="329" t="s">
        <v>151</v>
      </c>
    </row>
    <row r="113" spans="19:20">
      <c r="S113" s="329" t="s">
        <v>266</v>
      </c>
      <c r="T113" s="329" t="s">
        <v>151</v>
      </c>
    </row>
    <row r="114" spans="19:20">
      <c r="S114" s="329" t="s">
        <v>269</v>
      </c>
      <c r="T114" s="329" t="s">
        <v>151</v>
      </c>
    </row>
    <row r="115" spans="19:20">
      <c r="S115" s="329" t="s">
        <v>270</v>
      </c>
      <c r="T115" s="329" t="s">
        <v>151</v>
      </c>
    </row>
    <row r="116" spans="19:20">
      <c r="S116" s="329" t="s">
        <v>754</v>
      </c>
      <c r="T116" s="329" t="s">
        <v>151</v>
      </c>
    </row>
    <row r="117" spans="19:20">
      <c r="S117" s="329" t="s">
        <v>271</v>
      </c>
      <c r="T117" s="329" t="s">
        <v>151</v>
      </c>
    </row>
    <row r="118" spans="19:20">
      <c r="S118" s="329" t="s">
        <v>272</v>
      </c>
      <c r="T118" s="329" t="s">
        <v>151</v>
      </c>
    </row>
    <row r="119" spans="19:20">
      <c r="S119" s="329" t="s">
        <v>273</v>
      </c>
      <c r="T119" s="329" t="s">
        <v>151</v>
      </c>
    </row>
    <row r="120" spans="19:20">
      <c r="S120" s="329" t="s">
        <v>274</v>
      </c>
      <c r="T120" s="329" t="s">
        <v>152</v>
      </c>
    </row>
    <row r="121" spans="19:20">
      <c r="S121" s="329" t="s">
        <v>755</v>
      </c>
      <c r="T121" s="329" t="s">
        <v>152</v>
      </c>
    </row>
    <row r="122" spans="19:20">
      <c r="S122" s="329" t="s">
        <v>756</v>
      </c>
      <c r="T122" s="329" t="s">
        <v>152</v>
      </c>
    </row>
    <row r="123" spans="19:20">
      <c r="S123" s="329" t="s">
        <v>757</v>
      </c>
      <c r="T123" s="329" t="s">
        <v>152</v>
      </c>
    </row>
    <row r="124" spans="19:20">
      <c r="S124" s="329" t="s">
        <v>275</v>
      </c>
      <c r="T124" s="329" t="s">
        <v>152</v>
      </c>
    </row>
    <row r="125" spans="19:20">
      <c r="S125" s="329" t="s">
        <v>276</v>
      </c>
      <c r="T125" s="329" t="s">
        <v>152</v>
      </c>
    </row>
    <row r="126" spans="19:20">
      <c r="S126" s="329" t="s">
        <v>758</v>
      </c>
      <c r="T126" s="329" t="s">
        <v>152</v>
      </c>
    </row>
    <row r="127" spans="19:20">
      <c r="S127" s="329" t="s">
        <v>759</v>
      </c>
      <c r="T127" s="329" t="s">
        <v>152</v>
      </c>
    </row>
    <row r="128" spans="19:20">
      <c r="S128" s="329" t="s">
        <v>277</v>
      </c>
      <c r="T128" s="329" t="s">
        <v>152</v>
      </c>
    </row>
    <row r="129" spans="19:20">
      <c r="S129" s="329" t="s">
        <v>760</v>
      </c>
      <c r="T129" s="329" t="s">
        <v>152</v>
      </c>
    </row>
    <row r="130" spans="19:20">
      <c r="S130" s="329" t="s">
        <v>761</v>
      </c>
      <c r="T130" s="329" t="s">
        <v>152</v>
      </c>
    </row>
    <row r="131" spans="19:20">
      <c r="S131" s="329" t="s">
        <v>762</v>
      </c>
      <c r="T131" s="329" t="s">
        <v>152</v>
      </c>
    </row>
    <row r="132" spans="19:20">
      <c r="S132" s="329" t="s">
        <v>763</v>
      </c>
      <c r="T132" s="329" t="s">
        <v>152</v>
      </c>
    </row>
    <row r="133" spans="19:20">
      <c r="S133" s="329" t="s">
        <v>278</v>
      </c>
      <c r="T133" s="329" t="s">
        <v>152</v>
      </c>
    </row>
    <row r="134" spans="19:20">
      <c r="S134" s="329" t="s">
        <v>279</v>
      </c>
      <c r="T134" s="329" t="s">
        <v>152</v>
      </c>
    </row>
    <row r="135" spans="19:20">
      <c r="S135" s="329" t="s">
        <v>280</v>
      </c>
      <c r="T135" s="329" t="s">
        <v>152</v>
      </c>
    </row>
    <row r="136" spans="19:20">
      <c r="S136" s="329" t="s">
        <v>281</v>
      </c>
      <c r="T136" s="329" t="s">
        <v>152</v>
      </c>
    </row>
    <row r="137" spans="19:20">
      <c r="S137" s="329" t="s">
        <v>766</v>
      </c>
      <c r="T137" s="329" t="s">
        <v>152</v>
      </c>
    </row>
    <row r="138" spans="19:20">
      <c r="S138" s="329" t="s">
        <v>344</v>
      </c>
      <c r="T138" s="329" t="s">
        <v>152</v>
      </c>
    </row>
    <row r="139" spans="19:20">
      <c r="S139" s="329" t="s">
        <v>346</v>
      </c>
      <c r="T139" s="329" t="s">
        <v>152</v>
      </c>
    </row>
    <row r="140" spans="19:20">
      <c r="S140" s="329" t="s">
        <v>348</v>
      </c>
      <c r="T140" s="329" t="s">
        <v>152</v>
      </c>
    </row>
    <row r="141" spans="19:20">
      <c r="S141" s="329" t="s">
        <v>350</v>
      </c>
      <c r="T141" s="329" t="s">
        <v>153</v>
      </c>
    </row>
    <row r="142" spans="19:20">
      <c r="S142" s="329" t="s">
        <v>352</v>
      </c>
      <c r="T142" s="329" t="s">
        <v>153</v>
      </c>
    </row>
    <row r="143" spans="19:20">
      <c r="S143" s="329" t="s">
        <v>955</v>
      </c>
      <c r="T143" s="329" t="s">
        <v>153</v>
      </c>
    </row>
    <row r="144" spans="19:20">
      <c r="S144" s="329" t="s">
        <v>956</v>
      </c>
      <c r="T144" s="329" t="s">
        <v>153</v>
      </c>
    </row>
    <row r="145" spans="19:20">
      <c r="S145" s="329" t="s">
        <v>958</v>
      </c>
      <c r="T145" s="329" t="s">
        <v>153</v>
      </c>
    </row>
    <row r="146" spans="19:20">
      <c r="S146" s="329" t="s">
        <v>960</v>
      </c>
      <c r="T146" s="329" t="s">
        <v>153</v>
      </c>
    </row>
    <row r="147" spans="19:20">
      <c r="S147" s="329" t="s">
        <v>962</v>
      </c>
      <c r="T147" s="329" t="s">
        <v>153</v>
      </c>
    </row>
    <row r="148" spans="19:20">
      <c r="S148" s="329" t="s">
        <v>964</v>
      </c>
      <c r="T148" s="329" t="s">
        <v>153</v>
      </c>
    </row>
    <row r="149" spans="19:20">
      <c r="S149" s="329" t="s">
        <v>966</v>
      </c>
      <c r="T149" s="329" t="s">
        <v>153</v>
      </c>
    </row>
    <row r="150" spans="19:20">
      <c r="S150" s="329" t="s">
        <v>967</v>
      </c>
      <c r="T150" s="329" t="s">
        <v>153</v>
      </c>
    </row>
    <row r="151" spans="19:20">
      <c r="S151" s="329" t="s">
        <v>968</v>
      </c>
      <c r="T151" s="329" t="s">
        <v>153</v>
      </c>
    </row>
    <row r="152" spans="19:20">
      <c r="S152" s="329" t="s">
        <v>970</v>
      </c>
      <c r="T152" s="329" t="s">
        <v>153</v>
      </c>
    </row>
    <row r="153" spans="19:20">
      <c r="S153" s="329" t="s">
        <v>972</v>
      </c>
      <c r="T153" s="329" t="s">
        <v>153</v>
      </c>
    </row>
    <row r="154" spans="19:20">
      <c r="S154" s="329" t="s">
        <v>974</v>
      </c>
      <c r="T154" s="329" t="s">
        <v>153</v>
      </c>
    </row>
    <row r="155" spans="19:20">
      <c r="S155" s="329" t="s">
        <v>570</v>
      </c>
      <c r="T155" s="329" t="s">
        <v>153</v>
      </c>
    </row>
    <row r="156" spans="19:20">
      <c r="S156" s="329" t="s">
        <v>571</v>
      </c>
      <c r="T156" s="329" t="s">
        <v>153</v>
      </c>
    </row>
    <row r="157" spans="19:20">
      <c r="S157" s="329" t="s">
        <v>572</v>
      </c>
      <c r="T157" s="329" t="s">
        <v>153</v>
      </c>
    </row>
    <row r="158" spans="19:20">
      <c r="S158" s="329" t="s">
        <v>573</v>
      </c>
      <c r="T158" s="329" t="s">
        <v>153</v>
      </c>
    </row>
    <row r="159" spans="19:20">
      <c r="S159" s="329" t="s">
        <v>574</v>
      </c>
      <c r="T159" s="329" t="s">
        <v>612</v>
      </c>
    </row>
    <row r="160" spans="19:20">
      <c r="S160" s="329" t="s">
        <v>575</v>
      </c>
      <c r="T160" s="329" t="s">
        <v>612</v>
      </c>
    </row>
    <row r="161" spans="19:20">
      <c r="S161" s="329" t="s">
        <v>576</v>
      </c>
      <c r="T161" s="329" t="s">
        <v>612</v>
      </c>
    </row>
    <row r="162" spans="19:20">
      <c r="S162" s="329" t="s">
        <v>577</v>
      </c>
      <c r="T162" s="329" t="s">
        <v>612</v>
      </c>
    </row>
    <row r="163" spans="19:20">
      <c r="S163" s="329" t="s">
        <v>578</v>
      </c>
      <c r="T163" s="329" t="s">
        <v>583</v>
      </c>
    </row>
    <row r="164" spans="19:20">
      <c r="S164" s="329" t="s">
        <v>579</v>
      </c>
      <c r="T164" s="329" t="s">
        <v>583</v>
      </c>
    </row>
    <row r="165" spans="19:20">
      <c r="S165" s="329" t="s">
        <v>580</v>
      </c>
      <c r="T165" s="329" t="s">
        <v>583</v>
      </c>
    </row>
    <row r="166" spans="19:20">
      <c r="S166" s="329" t="s">
        <v>581</v>
      </c>
      <c r="T166" s="329" t="s">
        <v>583</v>
      </c>
    </row>
    <row r="167" spans="19:20">
      <c r="S167" s="329" t="s">
        <v>582</v>
      </c>
      <c r="T167" s="329" t="s">
        <v>583</v>
      </c>
    </row>
    <row r="168" spans="19:20">
      <c r="S168" s="329" t="s">
        <v>775</v>
      </c>
      <c r="T168" s="329" t="s">
        <v>583</v>
      </c>
    </row>
    <row r="169" spans="19:20">
      <c r="S169" s="329" t="s">
        <v>777</v>
      </c>
      <c r="T169" s="329" t="s">
        <v>583</v>
      </c>
    </row>
    <row r="170" spans="19:20">
      <c r="S170" s="329" t="s">
        <v>779</v>
      </c>
      <c r="T170" s="329" t="s">
        <v>583</v>
      </c>
    </row>
    <row r="171" spans="19:20">
      <c r="S171" s="329" t="s">
        <v>781</v>
      </c>
      <c r="T171" s="329" t="s">
        <v>583</v>
      </c>
    </row>
    <row r="172" spans="19:20">
      <c r="S172" s="329" t="s">
        <v>976</v>
      </c>
      <c r="T172" s="329" t="s">
        <v>583</v>
      </c>
    </row>
  </sheetData>
  <mergeCells count="26">
    <mergeCell ref="C31:K31"/>
    <mergeCell ref="E32:K32"/>
    <mergeCell ref="E36:P36"/>
    <mergeCell ref="I19:J20"/>
    <mergeCell ref="G28:I28"/>
    <mergeCell ref="I9:O9"/>
    <mergeCell ref="G19:G20"/>
    <mergeCell ref="H19:H20"/>
    <mergeCell ref="C30:K30"/>
    <mergeCell ref="B9:C9"/>
    <mergeCell ref="A21:B21"/>
    <mergeCell ref="A19:B19"/>
    <mergeCell ref="A20:B20"/>
    <mergeCell ref="B23:N23"/>
    <mergeCell ref="B25:G25"/>
    <mergeCell ref="A24:G24"/>
    <mergeCell ref="I24:M24"/>
    <mergeCell ref="I25:M25"/>
    <mergeCell ref="K21:N21"/>
    <mergeCell ref="C6:O6"/>
    <mergeCell ref="E8:F8"/>
    <mergeCell ref="C2:O2"/>
    <mergeCell ref="C3:O3"/>
    <mergeCell ref="C4:O4"/>
    <mergeCell ref="I8:O8"/>
    <mergeCell ref="B8:C8"/>
  </mergeCells>
  <dataValidations count="2">
    <dataValidation type="list" allowBlank="1" showInputMessage="1" showErrorMessage="1" sqref="I9:J9">
      <formula1>$U$4:$U$65</formula1>
    </dataValidation>
    <dataValidation type="list" allowBlank="1" showInputMessage="1" showErrorMessage="1" sqref="B10:B18">
      <formula1>$S$3:$S$176</formula1>
    </dataValidation>
  </dataValidations>
  <pageMargins left="0.2" right="0.2" top="0.2" bottom="0.2" header="0.2" footer="0.2"/>
  <pageSetup paperSize="1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K38" workbookViewId="0">
      <selection activeCell="O2" sqref="O2:R57"/>
    </sheetView>
  </sheetViews>
  <sheetFormatPr defaultColWidth="9" defaultRowHeight="15.5"/>
  <cols>
    <col min="1" max="1" width="15.9140625" style="325" customWidth="1"/>
    <col min="2" max="2" width="2" style="325" customWidth="1"/>
    <col min="3" max="3" width="16.6640625" style="325" bestFit="1" customWidth="1"/>
    <col min="4" max="4" width="8.25" style="325" customWidth="1"/>
    <col min="5" max="5" width="15.75" style="325" customWidth="1"/>
    <col min="6" max="6" width="1.75" style="325" customWidth="1"/>
    <col min="7" max="7" width="7.08203125" style="325" bestFit="1" customWidth="1"/>
    <col min="8" max="8" width="5.6640625" style="325" bestFit="1" customWidth="1"/>
    <col min="9" max="9" width="13" style="325" bestFit="1" customWidth="1"/>
    <col min="10" max="10" width="9.75" style="325" customWidth="1"/>
    <col min="11" max="11" width="9" style="325" customWidth="1"/>
    <col min="12" max="12" width="13.9140625" style="325" bestFit="1" customWidth="1"/>
    <col min="13" max="14" width="9" style="325" customWidth="1"/>
    <col min="15" max="15" width="32" style="325" customWidth="1"/>
    <col min="16" max="16" width="23" style="325" customWidth="1"/>
    <col min="17" max="17" width="22.08203125" style="325" customWidth="1"/>
    <col min="18" max="18" width="14.75" style="325" customWidth="1"/>
    <col min="19" max="19" width="9" style="325" customWidth="1"/>
    <col min="20" max="16384" width="9" style="325"/>
  </cols>
  <sheetData>
    <row r="1" spans="1:19" ht="25">
      <c r="A1" s="323"/>
      <c r="B1" s="324"/>
      <c r="C1" s="528" t="s">
        <v>368</v>
      </c>
      <c r="D1" s="528"/>
      <c r="E1" s="528"/>
      <c r="F1" s="528"/>
      <c r="G1" s="528"/>
      <c r="H1" s="528"/>
      <c r="I1" s="528"/>
      <c r="J1" s="528"/>
    </row>
    <row r="2" spans="1:19" ht="20.25" customHeight="1">
      <c r="A2" s="323"/>
      <c r="B2" s="326"/>
      <c r="C2" s="520" t="s">
        <v>615</v>
      </c>
      <c r="D2" s="520"/>
      <c r="E2" s="520"/>
      <c r="F2" s="520"/>
      <c r="G2" s="520"/>
      <c r="H2" s="520"/>
      <c r="I2" s="520"/>
      <c r="J2" s="520"/>
      <c r="O2" s="327" t="s">
        <v>616</v>
      </c>
      <c r="P2" s="328" t="s">
        <v>617</v>
      </c>
      <c r="Q2" s="327" t="s">
        <v>618</v>
      </c>
      <c r="R2" s="327" t="s">
        <v>619</v>
      </c>
    </row>
    <row r="3" spans="1:19" ht="18" customHeight="1">
      <c r="A3" s="324"/>
      <c r="B3" s="324"/>
      <c r="C3" s="520" t="s">
        <v>620</v>
      </c>
      <c r="D3" s="520"/>
      <c r="E3" s="520"/>
      <c r="F3" s="520"/>
      <c r="G3" s="520"/>
      <c r="H3" s="520"/>
      <c r="I3" s="520"/>
      <c r="J3" s="520"/>
      <c r="O3" s="329" t="s">
        <v>125</v>
      </c>
      <c r="P3" s="329" t="s">
        <v>621</v>
      </c>
      <c r="Q3" s="329" t="s">
        <v>882</v>
      </c>
      <c r="R3" s="329" t="s">
        <v>623</v>
      </c>
      <c r="S3" s="330" t="s">
        <v>818</v>
      </c>
    </row>
    <row r="4" spans="1:19">
      <c r="A4" s="324"/>
      <c r="B4" s="324"/>
      <c r="C4" s="324"/>
      <c r="D4" s="324"/>
      <c r="E4" s="324"/>
      <c r="F4" s="324"/>
      <c r="G4" s="324"/>
      <c r="H4" s="324"/>
      <c r="I4" s="324"/>
      <c r="J4" s="324"/>
      <c r="O4" s="329" t="s">
        <v>56</v>
      </c>
      <c r="P4" s="329" t="s">
        <v>624</v>
      </c>
      <c r="Q4" s="329" t="s">
        <v>882</v>
      </c>
      <c r="R4" s="329" t="s">
        <v>625</v>
      </c>
      <c r="S4" s="330" t="s">
        <v>819</v>
      </c>
    </row>
    <row r="5" spans="1:19" ht="18">
      <c r="A5" s="528" t="s">
        <v>626</v>
      </c>
      <c r="B5" s="528"/>
      <c r="C5" s="528"/>
      <c r="D5" s="528"/>
      <c r="E5" s="528"/>
      <c r="F5" s="528"/>
      <c r="G5" s="528"/>
      <c r="H5" s="528"/>
      <c r="I5" s="528"/>
      <c r="J5" s="528"/>
      <c r="O5" s="329" t="s">
        <v>57</v>
      </c>
      <c r="P5" s="329" t="s">
        <v>624</v>
      </c>
      <c r="Q5" s="329" t="s">
        <v>882</v>
      </c>
      <c r="R5" s="329" t="s">
        <v>627</v>
      </c>
      <c r="S5" s="330" t="s">
        <v>820</v>
      </c>
    </row>
    <row r="6" spans="1:19">
      <c r="A6" s="324"/>
      <c r="B6" s="324"/>
      <c r="C6" s="324"/>
      <c r="D6" s="324"/>
      <c r="E6" s="324"/>
      <c r="F6" s="324"/>
      <c r="G6" s="324"/>
      <c r="H6" s="324"/>
      <c r="I6" s="324"/>
      <c r="J6" s="324"/>
      <c r="O6" s="329" t="s">
        <v>58</v>
      </c>
      <c r="P6" s="329" t="s">
        <v>624</v>
      </c>
      <c r="Q6" s="329" t="s">
        <v>628</v>
      </c>
      <c r="R6" s="329" t="s">
        <v>629</v>
      </c>
      <c r="S6" s="330" t="s">
        <v>821</v>
      </c>
    </row>
    <row r="7" spans="1:19" ht="20.149999999999999" customHeight="1">
      <c r="A7" s="331" t="s">
        <v>630</v>
      </c>
      <c r="B7" s="332" t="s">
        <v>631</v>
      </c>
      <c r="C7" s="529" t="str">
        <f ca="1">VLOOKUP($G$9,$O$3:$S$99,5,FALSE)&amp;":"&amp;YEAR(G7)&amp;"-"&amp;MONTH(G7) &amp;"-"&amp;DAY(G7)</f>
        <v>XCG40:2019-8-23</v>
      </c>
      <c r="D7" s="529"/>
      <c r="E7" s="333" t="s">
        <v>632</v>
      </c>
      <c r="F7" s="332" t="s">
        <v>631</v>
      </c>
      <c r="G7" s="530">
        <f ca="1">TODAY()-35</f>
        <v>43700</v>
      </c>
      <c r="H7" s="530"/>
      <c r="I7" s="530"/>
      <c r="O7" s="19" t="s">
        <v>62</v>
      </c>
      <c r="P7" s="329" t="s">
        <v>624</v>
      </c>
      <c r="Q7" s="329" t="s">
        <v>633</v>
      </c>
      <c r="R7" s="329" t="s">
        <v>629</v>
      </c>
      <c r="S7" s="330" t="s">
        <v>822</v>
      </c>
    </row>
    <row r="8" spans="1:19" ht="20.149999999999999" customHeight="1">
      <c r="A8" s="331" t="s">
        <v>634</v>
      </c>
      <c r="B8" s="332" t="s">
        <v>631</v>
      </c>
      <c r="C8" s="334" t="str">
        <f>VLOOKUP($G$9,$O$3:$R$99,4,FALSE)</f>
        <v>ĐS &amp; HCC</v>
      </c>
      <c r="D8" s="335"/>
      <c r="E8" s="333" t="s">
        <v>635</v>
      </c>
      <c r="F8" s="332" t="s">
        <v>631</v>
      </c>
      <c r="G8" s="531" t="str">
        <f>VLOOKUP($G$9,$O$3:$R$99,2,FALSE)</f>
        <v>Ben 15T</v>
      </c>
      <c r="H8" s="531"/>
      <c r="I8" s="531"/>
      <c r="O8" s="329" t="s">
        <v>50</v>
      </c>
      <c r="P8" s="329" t="s">
        <v>636</v>
      </c>
      <c r="Q8" s="329" t="s">
        <v>882</v>
      </c>
      <c r="R8" s="329" t="s">
        <v>629</v>
      </c>
      <c r="S8" s="330" t="s">
        <v>823</v>
      </c>
    </row>
    <row r="9" spans="1:19" ht="33" customHeight="1">
      <c r="A9" s="331" t="s">
        <v>637</v>
      </c>
      <c r="B9" s="332" t="s">
        <v>631</v>
      </c>
      <c r="C9" s="532" t="str">
        <f>VLOOKUP($G$9,$O$3:$R$99,3,FALSE)</f>
        <v>XCG - Nhà máy</v>
      </c>
      <c r="D9" s="532"/>
      <c r="E9" s="333" t="s">
        <v>638</v>
      </c>
      <c r="F9" s="336" t="s">
        <v>631</v>
      </c>
      <c r="G9" s="533" t="s">
        <v>131</v>
      </c>
      <c r="H9" s="533"/>
      <c r="I9" s="533"/>
      <c r="J9" s="533"/>
      <c r="L9" s="367" t="s">
        <v>672</v>
      </c>
      <c r="O9" s="329" t="s">
        <v>51</v>
      </c>
      <c r="P9" s="329" t="s">
        <v>636</v>
      </c>
      <c r="Q9" s="329" t="s">
        <v>882</v>
      </c>
      <c r="R9" s="329" t="s">
        <v>623</v>
      </c>
      <c r="S9" s="330" t="s">
        <v>824</v>
      </c>
    </row>
    <row r="10" spans="1:19" s="340" customFormat="1" ht="20.149999999999999" customHeight="1">
      <c r="A10" s="331" t="s">
        <v>639</v>
      </c>
      <c r="B10" s="332" t="s">
        <v>631</v>
      </c>
      <c r="C10" s="337">
        <f t="array" aca="1" ref="C10" ca="1">MIN(IF('DATA VAN HANH'!$B:$B='IN CA 1'!$G$7,IF('DATA VAN HANH'!$H:$H='IN CA 1'!$G$9,IF('DATA VAN HANH'!$K:$K='IN CA 1'!$M$10,'DATA VAN HANH'!$L:$L))))</f>
        <v>0</v>
      </c>
      <c r="D10" s="338"/>
      <c r="E10" s="333" t="s">
        <v>640</v>
      </c>
      <c r="F10" s="332" t="s">
        <v>631</v>
      </c>
      <c r="G10" s="337">
        <f t="array" aca="1" ref="G10" ca="1">MAX(IF('DATA VAN HANH'!$B:$B='IN CA 1'!$G$7,IF('DATA VAN HANH'!$H:$H='IN CA 1'!$G$9,IF('DATA VAN HANH'!$K:$K='IN CA 1'!$M$10,'DATA VAN HANH'!$M:$M))))</f>
        <v>0</v>
      </c>
      <c r="H10" s="339"/>
      <c r="L10" s="365" t="s">
        <v>641</v>
      </c>
      <c r="M10" s="364" t="s">
        <v>554</v>
      </c>
      <c r="O10" s="329" t="s">
        <v>52</v>
      </c>
      <c r="P10" s="329" t="s">
        <v>636</v>
      </c>
      <c r="Q10" s="329" t="s">
        <v>882</v>
      </c>
      <c r="R10" s="329" t="s">
        <v>629</v>
      </c>
      <c r="S10" s="330" t="s">
        <v>825</v>
      </c>
    </row>
    <row r="11" spans="1:19" s="340" customFormat="1" ht="20.149999999999999" customHeight="1">
      <c r="A11" s="331" t="s">
        <v>642</v>
      </c>
      <c r="B11" s="332" t="s">
        <v>631</v>
      </c>
      <c r="C11" s="337">
        <f t="array" aca="1" ref="C11" ca="1">MIN(IF('DATA VAN HANH'!$B:$B='IN CA 1'!$G$7,IF('DATA VAN HANH'!$H:$H='IN CA 1'!$G$9,IF('DATA VAN HANH'!$K:$K='IN CA 1'!$M$11,'DATA VAN HANH'!$L:$L))))</f>
        <v>0</v>
      </c>
      <c r="D11" s="335"/>
      <c r="E11" s="333" t="s">
        <v>643</v>
      </c>
      <c r="F11" s="332" t="s">
        <v>631</v>
      </c>
      <c r="G11" s="337">
        <f t="array" aca="1" ref="G11" ca="1">MAX(IF('DATA VAN HANH'!$B:$B='IN CA 1'!$G$7,IF('DATA VAN HANH'!$H:$H='IN CA 1'!$G$9,IF('DATA VAN HANH'!$K:$K='IN CA 1'!$M$11,'DATA VAN HANH'!$M:$M))))</f>
        <v>0</v>
      </c>
      <c r="I11" s="341"/>
      <c r="L11" s="365" t="s">
        <v>641</v>
      </c>
      <c r="M11" s="364" t="s">
        <v>555</v>
      </c>
      <c r="O11" s="329" t="s">
        <v>53</v>
      </c>
      <c r="P11" s="329" t="s">
        <v>636</v>
      </c>
      <c r="Q11" s="329" t="s">
        <v>882</v>
      </c>
      <c r="R11" s="329" t="s">
        <v>623</v>
      </c>
      <c r="S11" s="330" t="s">
        <v>826</v>
      </c>
    </row>
    <row r="12" spans="1:19" s="340" customFormat="1" ht="20.149999999999999" customHeight="1">
      <c r="A12" s="331" t="s">
        <v>647</v>
      </c>
      <c r="B12" s="332" t="s">
        <v>631</v>
      </c>
      <c r="C12" s="342">
        <f t="array" aca="1" ref="C12" ca="1">SUMIFS('DATA VAN HANH'!$O:$O,'DATA VAN HANH'!$H:$H,'IN CA 1'!$G$9:$J$9,'DATA VAN HANH'!$B:$B,'IN CA 1'!$G$7:$I$7)*24</f>
        <v>0</v>
      </c>
      <c r="D12" s="343"/>
      <c r="E12" s="534" t="s">
        <v>648</v>
      </c>
      <c r="F12" s="512" t="s">
        <v>631</v>
      </c>
      <c r="G12" s="536">
        <f ca="1">SUMIFS('DATA VAN HANH'!$R:$R,'DATA VAN HANH'!$H:$H,'IN CA 1'!$G$9:$J$9,'DATA VAN HANH'!$B:$B,'IN CA 1'!$G$7:$I$7)*24</f>
        <v>0</v>
      </c>
      <c r="H12" s="536"/>
      <c r="I12" s="325"/>
      <c r="L12" s="332"/>
      <c r="M12" s="332"/>
      <c r="O12" s="329" t="s">
        <v>32</v>
      </c>
      <c r="P12" s="329" t="s">
        <v>636</v>
      </c>
      <c r="Q12" s="329" t="s">
        <v>646</v>
      </c>
      <c r="R12" s="329" t="s">
        <v>629</v>
      </c>
      <c r="S12" s="330" t="s">
        <v>827</v>
      </c>
    </row>
    <row r="13" spans="1:19" ht="27.75" customHeight="1">
      <c r="A13" s="333" t="s">
        <v>650</v>
      </c>
      <c r="B13" s="332" t="s">
        <v>631</v>
      </c>
      <c r="C13" s="342">
        <f t="array" aca="1" ref="C13" ca="1">SUMIFS('DATA VAN HANH'!$N:$N,'DATA VAN HANH'!$H:$H,'IN CA 1'!$G$9:$J$9,'DATA VAN HANH'!$B:$B,'IN CA 1'!$G$7:$I$7)*24</f>
        <v>0</v>
      </c>
      <c r="D13" s="343"/>
      <c r="E13" s="535"/>
      <c r="F13" s="512"/>
      <c r="G13" s="536"/>
      <c r="H13" s="536"/>
      <c r="O13" s="329" t="s">
        <v>54</v>
      </c>
      <c r="P13" s="329" t="s">
        <v>636</v>
      </c>
      <c r="Q13" s="329" t="s">
        <v>649</v>
      </c>
      <c r="R13" s="329" t="s">
        <v>629</v>
      </c>
      <c r="S13" s="330" t="s">
        <v>828</v>
      </c>
    </row>
    <row r="14" spans="1:19" ht="21" customHeight="1">
      <c r="A14" s="331" t="s">
        <v>651</v>
      </c>
      <c r="B14" s="332"/>
      <c r="C14" s="335"/>
      <c r="D14" s="335"/>
      <c r="E14" s="332"/>
      <c r="F14" s="332"/>
      <c r="G14" s="332"/>
      <c r="H14" s="332"/>
      <c r="I14" s="332"/>
      <c r="O14" s="329" t="s">
        <v>55</v>
      </c>
      <c r="P14" s="329" t="s">
        <v>636</v>
      </c>
      <c r="Q14" s="329" t="s">
        <v>874</v>
      </c>
      <c r="R14" s="329" t="s">
        <v>629</v>
      </c>
      <c r="S14" s="330" t="s">
        <v>829</v>
      </c>
    </row>
    <row r="15" spans="1:19" ht="24" customHeight="1">
      <c r="A15" s="331" t="s">
        <v>652</v>
      </c>
      <c r="B15" s="332" t="s">
        <v>631</v>
      </c>
      <c r="C15" s="342">
        <f t="array" aca="1" ref="C15" ca="1">SUMIFS('DATA VAN HANH'!$T:$T,'DATA VAN HANH'!$H:$H,'IN CA 1'!$G$9:$J$9,'DATA VAN HANH'!$B:$B,'IN CA 1'!$G$7:$I$7)*24</f>
        <v>0</v>
      </c>
      <c r="D15" s="344"/>
      <c r="E15" s="331" t="s">
        <v>653</v>
      </c>
      <c r="F15" s="332" t="s">
        <v>631</v>
      </c>
      <c r="G15" s="342">
        <f t="array" aca="1" ref="G15" ca="1">SUMIFS('DATA VAN HANH'!$U:$U,'DATA VAN HANH'!$H:$H,'IN CA 1'!$G$9:$J$9,'DATA VAN HANH'!$B:$B,'IN CA 1'!$G$7:$I$7)*24</f>
        <v>0</v>
      </c>
      <c r="H15" s="344"/>
      <c r="I15" s="332" t="s">
        <v>654</v>
      </c>
      <c r="J15" s="342">
        <f t="array" aca="1" ref="J15" ca="1">SUMIFS('DATA VAN HANH'!$V:$V,'DATA VAN HANH'!$H:$H,'IN CA 1'!$G$9:$J$9,'DATA VAN HANH'!$B:$B,'IN CA 1'!$G$7:$I$7)*24</f>
        <v>0</v>
      </c>
      <c r="O15" s="329" t="s">
        <v>126</v>
      </c>
      <c r="P15" s="329" t="s">
        <v>636</v>
      </c>
      <c r="Q15" s="329" t="s">
        <v>646</v>
      </c>
      <c r="R15" s="329" t="s">
        <v>629</v>
      </c>
      <c r="S15" s="330" t="s">
        <v>830</v>
      </c>
    </row>
    <row r="16" spans="1:19" ht="20.149999999999999" customHeight="1">
      <c r="A16" s="537" t="s">
        <v>655</v>
      </c>
      <c r="B16" s="537"/>
      <c r="C16" s="537"/>
      <c r="D16" s="537"/>
      <c r="E16" s="537"/>
      <c r="F16" s="346"/>
      <c r="G16" s="537" t="s">
        <v>656</v>
      </c>
      <c r="H16" s="537"/>
      <c r="I16" s="537"/>
      <c r="J16" s="342"/>
      <c r="O16" s="345" t="s">
        <v>65</v>
      </c>
      <c r="P16" s="329" t="s">
        <v>636</v>
      </c>
      <c r="Q16" s="329" t="s">
        <v>646</v>
      </c>
      <c r="R16" s="329" t="s">
        <v>629</v>
      </c>
      <c r="S16" s="330" t="s">
        <v>831</v>
      </c>
    </row>
    <row r="17" spans="1:19">
      <c r="A17" s="520" t="s">
        <v>657</v>
      </c>
      <c r="B17" s="520"/>
      <c r="C17" s="520"/>
      <c r="D17" s="520" t="s">
        <v>658</v>
      </c>
      <c r="E17" s="520"/>
      <c r="F17" s="520"/>
      <c r="G17" s="520" t="s">
        <v>659</v>
      </c>
      <c r="H17" s="520"/>
      <c r="I17" s="520"/>
      <c r="J17" s="335"/>
      <c r="O17" s="347" t="s">
        <v>66</v>
      </c>
      <c r="P17" s="329" t="s">
        <v>636</v>
      </c>
      <c r="Q17" s="329" t="s">
        <v>633</v>
      </c>
      <c r="R17" s="329" t="s">
        <v>629</v>
      </c>
      <c r="S17" s="330" t="s">
        <v>832</v>
      </c>
    </row>
    <row r="18" spans="1:19" ht="20.25" customHeight="1">
      <c r="J18" s="324"/>
      <c r="O18" s="347" t="s">
        <v>139</v>
      </c>
      <c r="P18" s="329" t="s">
        <v>636</v>
      </c>
      <c r="Q18" s="329" t="s">
        <v>633</v>
      </c>
      <c r="R18" s="329" t="s">
        <v>629</v>
      </c>
      <c r="S18" s="330" t="s">
        <v>833</v>
      </c>
    </row>
    <row r="19" spans="1:19">
      <c r="J19" s="324"/>
      <c r="O19" s="329" t="s">
        <v>146</v>
      </c>
      <c r="P19" s="329" t="s">
        <v>636</v>
      </c>
      <c r="Q19" s="329" t="s">
        <v>633</v>
      </c>
      <c r="R19" s="329" t="s">
        <v>629</v>
      </c>
      <c r="S19" s="330" t="s">
        <v>834</v>
      </c>
    </row>
    <row r="20" spans="1:19">
      <c r="A20" s="349"/>
      <c r="B20" s="324"/>
      <c r="C20" s="324"/>
      <c r="D20" s="324"/>
      <c r="E20" s="520"/>
      <c r="F20" s="520"/>
      <c r="G20" s="520"/>
      <c r="H20" s="349"/>
      <c r="I20" s="324"/>
      <c r="J20" s="324"/>
      <c r="O20" s="348" t="s">
        <v>114</v>
      </c>
      <c r="P20" s="329" t="s">
        <v>660</v>
      </c>
      <c r="Q20" s="329" t="s">
        <v>646</v>
      </c>
      <c r="R20" s="329" t="s">
        <v>629</v>
      </c>
      <c r="S20" s="330" t="s">
        <v>835</v>
      </c>
    </row>
    <row r="21" spans="1:19" ht="13.5" customHeight="1">
      <c r="A21" s="324"/>
      <c r="B21" s="324"/>
      <c r="C21" s="349"/>
      <c r="D21" s="324"/>
      <c r="E21" s="324"/>
      <c r="F21" s="324"/>
      <c r="G21" s="324"/>
      <c r="H21" s="324"/>
      <c r="I21" s="324"/>
      <c r="J21" s="324"/>
      <c r="O21" s="329" t="s">
        <v>115</v>
      </c>
      <c r="P21" s="329" t="s">
        <v>660</v>
      </c>
      <c r="Q21" s="329" t="s">
        <v>882</v>
      </c>
      <c r="R21" s="329" t="s">
        <v>629</v>
      </c>
      <c r="S21" s="330" t="s">
        <v>836</v>
      </c>
    </row>
    <row r="22" spans="1:19" ht="12.75" customHeight="1">
      <c r="A22" s="520" t="s">
        <v>662</v>
      </c>
      <c r="B22" s="520"/>
      <c r="C22" s="520"/>
      <c r="D22" s="520"/>
      <c r="E22" s="520"/>
      <c r="F22" s="520"/>
      <c r="G22" s="520"/>
      <c r="H22" s="520"/>
      <c r="I22" s="520"/>
      <c r="J22" s="324"/>
      <c r="O22" s="329" t="s">
        <v>33</v>
      </c>
      <c r="P22" s="329" t="s">
        <v>661</v>
      </c>
      <c r="Q22" s="329" t="s">
        <v>882</v>
      </c>
      <c r="R22" s="329" t="s">
        <v>625</v>
      </c>
      <c r="S22" s="330" t="s">
        <v>837</v>
      </c>
    </row>
    <row r="23" spans="1:19" s="350" customFormat="1" ht="19.5" customHeight="1">
      <c r="A23" s="526"/>
      <c r="B23" s="526"/>
      <c r="C23" s="526"/>
      <c r="D23" s="526"/>
      <c r="E23" s="526"/>
      <c r="F23" s="526"/>
      <c r="G23" s="526"/>
      <c r="H23" s="526"/>
      <c r="I23" s="526"/>
      <c r="J23" s="346"/>
      <c r="M23" s="351"/>
      <c r="O23" s="329" t="s">
        <v>34</v>
      </c>
      <c r="P23" s="329" t="s">
        <v>661</v>
      </c>
      <c r="Q23" s="329" t="s">
        <v>882</v>
      </c>
      <c r="R23" s="329" t="s">
        <v>629</v>
      </c>
      <c r="S23" s="330" t="s">
        <v>838</v>
      </c>
    </row>
    <row r="24" spans="1:19" s="350" customFormat="1" ht="16.5" customHeight="1">
      <c r="A24" s="325"/>
      <c r="B24" s="325"/>
      <c r="C24" s="512"/>
      <c r="D24" s="512"/>
      <c r="E24" s="512"/>
      <c r="F24" s="512"/>
      <c r="G24" s="512"/>
      <c r="H24" s="512"/>
      <c r="I24" s="512"/>
      <c r="J24" s="325"/>
      <c r="K24" s="325"/>
      <c r="O24" s="329" t="s">
        <v>35</v>
      </c>
      <c r="P24" s="329" t="s">
        <v>661</v>
      </c>
      <c r="Q24" s="329" t="s">
        <v>882</v>
      </c>
      <c r="R24" s="329" t="s">
        <v>629</v>
      </c>
      <c r="S24" s="330" t="s">
        <v>839</v>
      </c>
    </row>
    <row r="25" spans="1:19">
      <c r="C25" s="353"/>
      <c r="O25" s="329" t="s">
        <v>36</v>
      </c>
      <c r="P25" s="329" t="s">
        <v>661</v>
      </c>
      <c r="Q25" s="329" t="s">
        <v>882</v>
      </c>
      <c r="R25" s="329" t="s">
        <v>625</v>
      </c>
      <c r="S25" s="330" t="s">
        <v>840</v>
      </c>
    </row>
    <row r="26" spans="1:19">
      <c r="O26" s="329" t="s">
        <v>59</v>
      </c>
      <c r="P26" s="329" t="s">
        <v>661</v>
      </c>
      <c r="Q26" s="329" t="s">
        <v>882</v>
      </c>
      <c r="R26" s="329" t="s">
        <v>623</v>
      </c>
      <c r="S26" s="330" t="s">
        <v>841</v>
      </c>
    </row>
    <row r="27" spans="1:19">
      <c r="C27" s="354"/>
      <c r="O27" s="329" t="s">
        <v>111</v>
      </c>
      <c r="P27" s="329" t="s">
        <v>661</v>
      </c>
      <c r="Q27" s="329" t="s">
        <v>882</v>
      </c>
      <c r="R27" s="329" t="s">
        <v>663</v>
      </c>
      <c r="S27" s="330" t="s">
        <v>842</v>
      </c>
    </row>
    <row r="28" spans="1:19">
      <c r="C28" s="366"/>
      <c r="D28" s="366"/>
      <c r="E28" s="366"/>
      <c r="F28" s="366"/>
      <c r="G28" s="366"/>
      <c r="H28" s="366"/>
      <c r="I28" s="366"/>
      <c r="O28" s="329" t="s">
        <v>112</v>
      </c>
      <c r="P28" s="329" t="s">
        <v>47</v>
      </c>
      <c r="Q28" s="329" t="s">
        <v>882</v>
      </c>
      <c r="R28" s="329" t="s">
        <v>629</v>
      </c>
      <c r="S28" s="330" t="s">
        <v>843</v>
      </c>
    </row>
    <row r="29" spans="1:19" ht="16.5">
      <c r="C29" s="355"/>
      <c r="D29" s="346"/>
      <c r="E29" s="354"/>
      <c r="F29" s="356"/>
      <c r="G29" s="346"/>
      <c r="H29" s="346"/>
      <c r="I29" s="346"/>
      <c r="J29" s="366"/>
      <c r="K29" s="366"/>
      <c r="O29" s="329" t="s">
        <v>124</v>
      </c>
      <c r="P29" s="329" t="s">
        <v>664</v>
      </c>
      <c r="Q29" s="329" t="s">
        <v>882</v>
      </c>
      <c r="R29" s="329" t="s">
        <v>623</v>
      </c>
      <c r="S29" s="330" t="s">
        <v>844</v>
      </c>
    </row>
    <row r="30" spans="1:19" ht="16.5">
      <c r="C30" s="358"/>
      <c r="J30" s="346"/>
      <c r="K30" s="346"/>
      <c r="O30" s="357" t="s">
        <v>122</v>
      </c>
      <c r="P30" s="329" t="s">
        <v>664</v>
      </c>
      <c r="Q30" s="329" t="s">
        <v>665</v>
      </c>
      <c r="R30" s="329" t="s">
        <v>666</v>
      </c>
      <c r="S30" s="330" t="s">
        <v>845</v>
      </c>
    </row>
    <row r="31" spans="1:19" ht="16.5">
      <c r="C31" s="359"/>
      <c r="O31" s="329" t="s">
        <v>123</v>
      </c>
      <c r="P31" s="329" t="s">
        <v>664</v>
      </c>
      <c r="Q31" s="329" t="s">
        <v>665</v>
      </c>
      <c r="R31" s="329" t="s">
        <v>666</v>
      </c>
      <c r="S31" s="330" t="s">
        <v>846</v>
      </c>
    </row>
    <row r="32" spans="1:19" ht="16.5">
      <c r="C32" s="359"/>
      <c r="O32" s="329" t="s">
        <v>116</v>
      </c>
      <c r="P32" s="329" t="s">
        <v>667</v>
      </c>
      <c r="Q32" s="329" t="s">
        <v>622</v>
      </c>
      <c r="R32" s="329" t="s">
        <v>623</v>
      </c>
      <c r="S32" s="330" t="s">
        <v>847</v>
      </c>
    </row>
    <row r="33" spans="4:19">
      <c r="O33" s="329" t="s">
        <v>117</v>
      </c>
      <c r="P33" s="329" t="s">
        <v>667</v>
      </c>
      <c r="Q33" s="329" t="s">
        <v>622</v>
      </c>
      <c r="R33" s="329" t="s">
        <v>623</v>
      </c>
      <c r="S33" s="330" t="s">
        <v>848</v>
      </c>
    </row>
    <row r="34" spans="4:19">
      <c r="M34" s="360"/>
      <c r="O34" s="329" t="s">
        <v>39</v>
      </c>
      <c r="P34" s="329" t="s">
        <v>667</v>
      </c>
      <c r="Q34" s="329" t="s">
        <v>633</v>
      </c>
      <c r="R34" s="329" t="s">
        <v>629</v>
      </c>
      <c r="S34" s="330" t="s">
        <v>849</v>
      </c>
    </row>
    <row r="35" spans="4:19">
      <c r="D35" s="360"/>
      <c r="O35" s="329" t="s">
        <v>113</v>
      </c>
      <c r="P35" s="329" t="s">
        <v>667</v>
      </c>
      <c r="Q35" s="329" t="s">
        <v>633</v>
      </c>
      <c r="R35" s="329" t="s">
        <v>629</v>
      </c>
      <c r="S35" s="330" t="s">
        <v>850</v>
      </c>
    </row>
    <row r="36" spans="4:19">
      <c r="O36" s="329" t="s">
        <v>40</v>
      </c>
      <c r="P36" s="329" t="s">
        <v>667</v>
      </c>
      <c r="Q36" s="329" t="s">
        <v>633</v>
      </c>
      <c r="R36" s="329" t="s">
        <v>629</v>
      </c>
      <c r="S36" s="330" t="s">
        <v>851</v>
      </c>
    </row>
    <row r="37" spans="4:19">
      <c r="O37" s="329" t="s">
        <v>41</v>
      </c>
      <c r="P37" s="329" t="s">
        <v>667</v>
      </c>
      <c r="Q37" s="329" t="s">
        <v>633</v>
      </c>
      <c r="R37" s="329" t="s">
        <v>629</v>
      </c>
      <c r="S37" s="330" t="s">
        <v>852</v>
      </c>
    </row>
    <row r="38" spans="4:19">
      <c r="O38" s="329" t="s">
        <v>42</v>
      </c>
      <c r="P38" s="329" t="s">
        <v>667</v>
      </c>
      <c r="Q38" s="329" t="s">
        <v>649</v>
      </c>
      <c r="R38" s="329" t="s">
        <v>629</v>
      </c>
      <c r="S38" s="330" t="s">
        <v>853</v>
      </c>
    </row>
    <row r="39" spans="4:19">
      <c r="O39" s="329" t="s">
        <v>43</v>
      </c>
      <c r="P39" s="329" t="s">
        <v>667</v>
      </c>
      <c r="Q39" s="329" t="s">
        <v>649</v>
      </c>
      <c r="R39" s="329" t="s">
        <v>629</v>
      </c>
      <c r="S39" s="330" t="s">
        <v>854</v>
      </c>
    </row>
    <row r="40" spans="4:19">
      <c r="O40" s="329" t="s">
        <v>37</v>
      </c>
      <c r="P40" s="329" t="s">
        <v>667</v>
      </c>
      <c r="Q40" s="329" t="s">
        <v>649</v>
      </c>
      <c r="R40" s="329" t="s">
        <v>625</v>
      </c>
      <c r="S40" s="330" t="s">
        <v>855</v>
      </c>
    </row>
    <row r="41" spans="4:19">
      <c r="O41" s="357" t="s">
        <v>38</v>
      </c>
      <c r="P41" s="329" t="s">
        <v>667</v>
      </c>
      <c r="Q41" s="329" t="s">
        <v>649</v>
      </c>
      <c r="R41" s="329" t="s">
        <v>625</v>
      </c>
      <c r="S41" s="330" t="s">
        <v>856</v>
      </c>
    </row>
    <row r="42" spans="4:19">
      <c r="O42" s="357" t="s">
        <v>131</v>
      </c>
      <c r="P42" s="361" t="s">
        <v>667</v>
      </c>
      <c r="Q42" s="329" t="s">
        <v>882</v>
      </c>
      <c r="R42" s="361" t="s">
        <v>668</v>
      </c>
      <c r="S42" s="330" t="s">
        <v>857</v>
      </c>
    </row>
    <row r="43" spans="4:19">
      <c r="O43" s="357" t="s">
        <v>132</v>
      </c>
      <c r="P43" s="361" t="s">
        <v>667</v>
      </c>
      <c r="Q43" s="329" t="s">
        <v>669</v>
      </c>
      <c r="R43" s="329" t="s">
        <v>629</v>
      </c>
      <c r="S43" s="330" t="s">
        <v>858</v>
      </c>
    </row>
    <row r="44" spans="4:19">
      <c r="O44" s="329" t="s">
        <v>134</v>
      </c>
      <c r="P44" s="361" t="s">
        <v>667</v>
      </c>
      <c r="Q44" s="329" t="s">
        <v>649</v>
      </c>
      <c r="R44" s="329" t="s">
        <v>629</v>
      </c>
      <c r="S44" s="330" t="s">
        <v>859</v>
      </c>
    </row>
    <row r="45" spans="4:19">
      <c r="O45" s="362" t="s">
        <v>64</v>
      </c>
      <c r="P45" s="361" t="s">
        <v>667</v>
      </c>
      <c r="Q45" s="329" t="s">
        <v>649</v>
      </c>
      <c r="R45" s="329" t="s">
        <v>629</v>
      </c>
      <c r="S45" s="330" t="s">
        <v>860</v>
      </c>
    </row>
    <row r="46" spans="4:19">
      <c r="O46" s="363" t="s">
        <v>133</v>
      </c>
      <c r="P46" s="361" t="s">
        <v>667</v>
      </c>
      <c r="Q46" s="329" t="s">
        <v>669</v>
      </c>
      <c r="R46" s="329" t="s">
        <v>629</v>
      </c>
      <c r="S46" s="330" t="s">
        <v>861</v>
      </c>
    </row>
    <row r="47" spans="4:19">
      <c r="O47" s="357" t="s">
        <v>121</v>
      </c>
      <c r="P47" s="361" t="s">
        <v>667</v>
      </c>
      <c r="Q47" s="329" t="s">
        <v>649</v>
      </c>
      <c r="R47" s="329" t="s">
        <v>629</v>
      </c>
      <c r="S47" s="330" t="s">
        <v>862</v>
      </c>
    </row>
    <row r="48" spans="4:19">
      <c r="O48" s="357" t="s">
        <v>596</v>
      </c>
      <c r="P48" s="329" t="s">
        <v>670</v>
      </c>
      <c r="Q48" s="361" t="s">
        <v>881</v>
      </c>
      <c r="R48" s="329" t="s">
        <v>629</v>
      </c>
      <c r="S48" s="330" t="s">
        <v>863</v>
      </c>
    </row>
    <row r="49" spans="15:19">
      <c r="O49" s="357" t="s">
        <v>110</v>
      </c>
      <c r="P49" s="329" t="s">
        <v>670</v>
      </c>
      <c r="Q49" s="361" t="s">
        <v>881</v>
      </c>
      <c r="R49" s="361" t="s">
        <v>671</v>
      </c>
      <c r="S49" s="330" t="s">
        <v>864</v>
      </c>
    </row>
    <row r="50" spans="15:19">
      <c r="O50" s="361" t="s">
        <v>597</v>
      </c>
      <c r="P50" s="329" t="s">
        <v>670</v>
      </c>
      <c r="Q50" s="361" t="s">
        <v>881</v>
      </c>
      <c r="R50" s="329" t="s">
        <v>629</v>
      </c>
      <c r="S50" s="330" t="s">
        <v>865</v>
      </c>
    </row>
    <row r="51" spans="15:19">
      <c r="O51" s="329" t="s">
        <v>598</v>
      </c>
      <c r="P51" s="329" t="s">
        <v>670</v>
      </c>
      <c r="Q51" s="361" t="s">
        <v>881</v>
      </c>
      <c r="R51" s="329" t="s">
        <v>623</v>
      </c>
      <c r="S51" s="330" t="s">
        <v>866</v>
      </c>
    </row>
    <row r="52" spans="15:19">
      <c r="O52" s="329" t="s">
        <v>599</v>
      </c>
      <c r="P52" s="329" t="s">
        <v>670</v>
      </c>
      <c r="Q52" s="361" t="s">
        <v>881</v>
      </c>
      <c r="R52" s="329" t="s">
        <v>623</v>
      </c>
      <c r="S52" s="330" t="s">
        <v>867</v>
      </c>
    </row>
    <row r="53" spans="15:19">
      <c r="O53" s="329" t="s">
        <v>29</v>
      </c>
      <c r="P53" s="329" t="s">
        <v>670</v>
      </c>
      <c r="Q53" s="361" t="s">
        <v>881</v>
      </c>
      <c r="R53" s="329" t="s">
        <v>629</v>
      </c>
      <c r="S53" s="330" t="s">
        <v>868</v>
      </c>
    </row>
    <row r="54" spans="15:19">
      <c r="O54" s="329" t="s">
        <v>600</v>
      </c>
      <c r="P54" s="329" t="s">
        <v>49</v>
      </c>
      <c r="Q54" s="361" t="s">
        <v>881</v>
      </c>
      <c r="R54" s="329" t="s">
        <v>623</v>
      </c>
      <c r="S54" s="330" t="s">
        <v>869</v>
      </c>
    </row>
    <row r="55" spans="15:19">
      <c r="O55" s="329" t="s">
        <v>603</v>
      </c>
      <c r="P55" s="329" t="s">
        <v>49</v>
      </c>
      <c r="Q55" s="361" t="s">
        <v>881</v>
      </c>
      <c r="R55" s="329" t="s">
        <v>623</v>
      </c>
      <c r="S55" s="330" t="s">
        <v>870</v>
      </c>
    </row>
    <row r="56" spans="15:19">
      <c r="O56" s="81" t="s">
        <v>602</v>
      </c>
      <c r="P56" s="329" t="s">
        <v>49</v>
      </c>
      <c r="Q56" s="361" t="s">
        <v>881</v>
      </c>
      <c r="R56" s="329" t="s">
        <v>623</v>
      </c>
      <c r="S56" s="330" t="s">
        <v>871</v>
      </c>
    </row>
    <row r="57" spans="15:19">
      <c r="O57" s="329" t="s">
        <v>812</v>
      </c>
      <c r="P57" s="329" t="s">
        <v>49</v>
      </c>
      <c r="Q57" s="361" t="s">
        <v>881</v>
      </c>
      <c r="R57" s="329" t="s">
        <v>873</v>
      </c>
      <c r="S57" s="330" t="s">
        <v>872</v>
      </c>
    </row>
  </sheetData>
  <mergeCells count="21">
    <mergeCell ref="A22:I22"/>
    <mergeCell ref="A23:I23"/>
    <mergeCell ref="C24:I24"/>
    <mergeCell ref="A16:E16"/>
    <mergeCell ref="G16:I16"/>
    <mergeCell ref="A17:C17"/>
    <mergeCell ref="D17:F17"/>
    <mergeCell ref="G17:I17"/>
    <mergeCell ref="E20:G20"/>
    <mergeCell ref="G8:I8"/>
    <mergeCell ref="C9:D9"/>
    <mergeCell ref="G9:J9"/>
    <mergeCell ref="E12:E13"/>
    <mergeCell ref="F12:F13"/>
    <mergeCell ref="G12:H13"/>
    <mergeCell ref="C1:J1"/>
    <mergeCell ref="C2:J2"/>
    <mergeCell ref="C3:J3"/>
    <mergeCell ref="A5:J5"/>
    <mergeCell ref="C7:D7"/>
    <mergeCell ref="G7:I7"/>
  </mergeCells>
  <dataValidations count="1">
    <dataValidation type="list" allowBlank="1" showInputMessage="1" showErrorMessage="1" sqref="G9:H9">
      <formula1>$O$3:$O$57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19" workbookViewId="0">
      <selection activeCell="C5" sqref="C5"/>
    </sheetView>
  </sheetViews>
  <sheetFormatPr defaultColWidth="10.75" defaultRowHeight="15.5"/>
  <cols>
    <col min="1" max="1" width="20.75" style="1" bestFit="1" customWidth="1"/>
    <col min="2" max="2" width="17.08203125" style="123" bestFit="1" customWidth="1"/>
    <col min="3" max="3" width="88.25" style="288" customWidth="1"/>
    <col min="4" max="4" width="10.4140625" style="288" bestFit="1" customWidth="1"/>
    <col min="5" max="5" width="9.9140625" style="289" customWidth="1"/>
    <col min="6" max="6" width="20.25" style="1" bestFit="1" customWidth="1"/>
    <col min="7" max="16384" width="10.75" style="1"/>
  </cols>
  <sheetData>
    <row r="1" spans="1:6">
      <c r="A1" s="306" t="s">
        <v>10</v>
      </c>
      <c r="B1" s="310">
        <v>1</v>
      </c>
    </row>
    <row r="2" spans="1:6">
      <c r="A2" s="306" t="s">
        <v>11</v>
      </c>
      <c r="B2" s="311">
        <v>43468</v>
      </c>
    </row>
    <row r="3" spans="1:6">
      <c r="A3" s="306" t="s">
        <v>12</v>
      </c>
      <c r="B3" s="312" t="s">
        <v>340</v>
      </c>
    </row>
    <row r="5" spans="1:6" s="278" customFormat="1" ht="62">
      <c r="A5" s="313" t="s">
        <v>337</v>
      </c>
      <c r="B5" s="313" t="s">
        <v>335</v>
      </c>
      <c r="C5" s="317" t="s">
        <v>336</v>
      </c>
      <c r="D5" s="319" t="s">
        <v>106</v>
      </c>
      <c r="E5" s="317" t="s">
        <v>103</v>
      </c>
      <c r="F5" s="277"/>
    </row>
    <row r="6" spans="1:6">
      <c r="A6" s="309" t="s">
        <v>342</v>
      </c>
      <c r="B6" s="309" t="s">
        <v>173</v>
      </c>
      <c r="C6" s="309" t="s">
        <v>174</v>
      </c>
      <c r="D6" s="315">
        <v>0.17708333333333334</v>
      </c>
      <c r="E6" s="316">
        <v>24</v>
      </c>
      <c r="F6"/>
    </row>
    <row r="7" spans="1:6">
      <c r="A7" s="309" t="s">
        <v>342</v>
      </c>
      <c r="B7" s="309" t="s">
        <v>565</v>
      </c>
      <c r="C7" s="309" t="s">
        <v>585</v>
      </c>
      <c r="D7" s="315">
        <v>2.4305555555555556E-2</v>
      </c>
      <c r="E7" s="316"/>
      <c r="F7"/>
    </row>
    <row r="8" spans="1:6">
      <c r="A8" s="309" t="s">
        <v>366</v>
      </c>
      <c r="B8" s="318" t="s">
        <v>350</v>
      </c>
      <c r="C8" s="309"/>
      <c r="D8" s="315">
        <v>0.27430555555555558</v>
      </c>
      <c r="E8" s="316"/>
      <c r="F8"/>
    </row>
    <row r="9" spans="1:6">
      <c r="A9" s="309" t="s">
        <v>343</v>
      </c>
      <c r="B9" s="318" t="s">
        <v>187</v>
      </c>
      <c r="C9" s="309"/>
      <c r="D9" s="315">
        <v>0.10416666666666666</v>
      </c>
      <c r="E9" s="316"/>
      <c r="F9"/>
    </row>
    <row r="10" spans="1:6">
      <c r="A10" s="309" t="s">
        <v>343</v>
      </c>
      <c r="B10" s="309" t="s">
        <v>566</v>
      </c>
      <c r="C10" s="309" t="s">
        <v>586</v>
      </c>
      <c r="D10" s="315">
        <v>0.20833333333333334</v>
      </c>
      <c r="E10" s="316"/>
      <c r="F10"/>
    </row>
    <row r="11" spans="1:6">
      <c r="A11" s="309" t="s">
        <v>476</v>
      </c>
      <c r="B11" s="309" t="s">
        <v>173</v>
      </c>
      <c r="C11" s="309" t="s">
        <v>174</v>
      </c>
      <c r="D11" s="315">
        <v>0.1701388888888889</v>
      </c>
      <c r="E11" s="316">
        <v>48</v>
      </c>
      <c r="F11"/>
    </row>
    <row r="12" spans="1:6">
      <c r="A12" s="309" t="s">
        <v>476</v>
      </c>
      <c r="B12" s="309" t="s">
        <v>566</v>
      </c>
      <c r="C12" s="309" t="s">
        <v>586</v>
      </c>
      <c r="D12" s="315">
        <v>2.4305555555555556E-2</v>
      </c>
      <c r="E12" s="316"/>
      <c r="F12"/>
    </row>
    <row r="13" spans="1:6">
      <c r="A13" s="309" t="s">
        <v>476</v>
      </c>
      <c r="B13" s="309" t="s">
        <v>565</v>
      </c>
      <c r="C13" s="309" t="s">
        <v>585</v>
      </c>
      <c r="D13" s="315">
        <v>2.4305555555555556E-2</v>
      </c>
      <c r="E13" s="316"/>
      <c r="F13"/>
    </row>
    <row r="14" spans="1:6">
      <c r="A14" s="309" t="s">
        <v>531</v>
      </c>
      <c r="B14" s="318" t="s">
        <v>177</v>
      </c>
      <c r="C14" s="309"/>
      <c r="D14" s="315">
        <v>0.14583333333333334</v>
      </c>
      <c r="E14" s="316"/>
      <c r="F14"/>
    </row>
    <row r="15" spans="1:6">
      <c r="A15" s="309" t="s">
        <v>534</v>
      </c>
      <c r="B15" s="318" t="s">
        <v>177</v>
      </c>
      <c r="C15" s="309"/>
      <c r="D15" s="315">
        <v>0.14583333333333334</v>
      </c>
      <c r="E15" s="316"/>
      <c r="F15"/>
    </row>
    <row r="16" spans="1:6">
      <c r="A16" s="309" t="s">
        <v>534</v>
      </c>
      <c r="B16" s="309" t="s">
        <v>187</v>
      </c>
      <c r="C16" s="309"/>
      <c r="D16" s="315">
        <v>5.5555555555555552E-2</v>
      </c>
      <c r="E16" s="316"/>
      <c r="F16"/>
    </row>
    <row r="17" spans="1:6">
      <c r="A17" s="309" t="s">
        <v>534</v>
      </c>
      <c r="B17" s="309" t="s">
        <v>168</v>
      </c>
      <c r="C17" s="309"/>
      <c r="D17" s="315">
        <v>0.10416666666666667</v>
      </c>
      <c r="E17" s="316"/>
      <c r="F17"/>
    </row>
    <row r="18" spans="1:6">
      <c r="A18" s="309" t="s">
        <v>543</v>
      </c>
      <c r="B18" s="309" t="s">
        <v>566</v>
      </c>
      <c r="C18" s="309" t="s">
        <v>586</v>
      </c>
      <c r="D18" s="315">
        <v>0.20833333333333334</v>
      </c>
      <c r="E18" s="316"/>
      <c r="F18"/>
    </row>
    <row r="19" spans="1:6">
      <c r="A19" s="309" t="s">
        <v>525</v>
      </c>
      <c r="B19" s="318" t="s">
        <v>168</v>
      </c>
      <c r="C19" s="309"/>
      <c r="D19" s="315">
        <v>6.25E-2</v>
      </c>
      <c r="E19" s="316"/>
      <c r="F19"/>
    </row>
    <row r="20" spans="1:6">
      <c r="A20" s="309" t="s">
        <v>525</v>
      </c>
      <c r="B20" s="309" t="s">
        <v>566</v>
      </c>
      <c r="C20" s="309" t="s">
        <v>586</v>
      </c>
      <c r="D20" s="315">
        <v>7.9861111111111105E-2</v>
      </c>
      <c r="E20" s="316"/>
      <c r="F20"/>
    </row>
    <row r="21" spans="1:6">
      <c r="A21" s="309" t="s">
        <v>525</v>
      </c>
      <c r="B21" s="309" t="s">
        <v>203</v>
      </c>
      <c r="C21" s="309" t="s">
        <v>169</v>
      </c>
      <c r="D21" s="315">
        <v>0.17708333333333331</v>
      </c>
      <c r="E21" s="316"/>
      <c r="F21"/>
    </row>
    <row r="22" spans="1:6">
      <c r="A22" s="309" t="s">
        <v>519</v>
      </c>
      <c r="B22" s="318" t="s">
        <v>168</v>
      </c>
      <c r="C22" s="309"/>
      <c r="D22" s="315">
        <v>6.25E-2</v>
      </c>
      <c r="E22" s="316"/>
      <c r="F22"/>
    </row>
    <row r="23" spans="1:6">
      <c r="A23" s="309" t="s">
        <v>519</v>
      </c>
      <c r="B23" s="309" t="s">
        <v>566</v>
      </c>
      <c r="C23" s="309" t="s">
        <v>586</v>
      </c>
      <c r="D23" s="315">
        <v>7.9861111111111105E-2</v>
      </c>
      <c r="E23" s="316"/>
      <c r="F23"/>
    </row>
    <row r="24" spans="1:6">
      <c r="A24" s="309" t="s">
        <v>519</v>
      </c>
      <c r="B24" s="309" t="s">
        <v>203</v>
      </c>
      <c r="C24" s="309" t="s">
        <v>169</v>
      </c>
      <c r="D24" s="315">
        <v>0.17708333333333331</v>
      </c>
      <c r="E24" s="316"/>
      <c r="F24"/>
    </row>
    <row r="25" spans="1:6">
      <c r="A25" s="309" t="s">
        <v>522</v>
      </c>
      <c r="B25" s="309" t="s">
        <v>187</v>
      </c>
      <c r="C25" s="309"/>
      <c r="D25" s="315">
        <v>0.18055555555555555</v>
      </c>
      <c r="E25" s="316"/>
      <c r="F25"/>
    </row>
    <row r="26" spans="1:6">
      <c r="A26" s="309" t="s">
        <v>522</v>
      </c>
      <c r="B26" s="318" t="s">
        <v>168</v>
      </c>
      <c r="C26" s="309"/>
      <c r="D26" s="315">
        <v>0.10416666666666667</v>
      </c>
      <c r="E26" s="316"/>
      <c r="F26"/>
    </row>
    <row r="27" spans="1:6">
      <c r="A27" s="309" t="s">
        <v>522</v>
      </c>
      <c r="B27" s="309" t="s">
        <v>564</v>
      </c>
      <c r="C27" s="309" t="s">
        <v>584</v>
      </c>
      <c r="D27" s="315">
        <v>4.1666666666666664E-2</v>
      </c>
      <c r="E27" s="316"/>
      <c r="F27"/>
    </row>
    <row r="28" spans="1:6">
      <c r="A28" s="309" t="s">
        <v>526</v>
      </c>
      <c r="B28" s="309" t="s">
        <v>187</v>
      </c>
      <c r="C28" s="309"/>
      <c r="D28" s="315">
        <v>0.18055555555555555</v>
      </c>
      <c r="E28" s="316"/>
      <c r="F28"/>
    </row>
    <row r="29" spans="1:6">
      <c r="A29" s="309" t="s">
        <v>526</v>
      </c>
      <c r="B29" s="318" t="s">
        <v>168</v>
      </c>
      <c r="C29" s="309"/>
      <c r="D29" s="315">
        <v>0.10416666666666667</v>
      </c>
      <c r="E29" s="316"/>
      <c r="F29"/>
    </row>
    <row r="30" spans="1:6">
      <c r="A30" s="309" t="s">
        <v>526</v>
      </c>
      <c r="B30" s="309" t="s">
        <v>564</v>
      </c>
      <c r="C30" s="309" t="s">
        <v>584</v>
      </c>
      <c r="D30" s="315">
        <v>4.1666666666666664E-2</v>
      </c>
      <c r="E30" s="316"/>
      <c r="F30"/>
    </row>
    <row r="31" spans="1:6">
      <c r="A31" s="309" t="s">
        <v>528</v>
      </c>
      <c r="B31" s="309" t="s">
        <v>187</v>
      </c>
      <c r="C31" s="309"/>
      <c r="D31" s="315">
        <v>0.18055555555555555</v>
      </c>
      <c r="E31" s="316"/>
      <c r="F31"/>
    </row>
    <row r="32" spans="1:6">
      <c r="A32" s="309" t="s">
        <v>528</v>
      </c>
      <c r="B32" s="318" t="s">
        <v>168</v>
      </c>
      <c r="C32" s="309"/>
      <c r="D32" s="315">
        <v>0.10416666666666667</v>
      </c>
      <c r="E32" s="316"/>
      <c r="F32"/>
    </row>
    <row r="33" spans="1:6">
      <c r="A33" s="309" t="s">
        <v>528</v>
      </c>
      <c r="B33" s="309" t="s">
        <v>564</v>
      </c>
      <c r="C33" s="309" t="s">
        <v>584</v>
      </c>
      <c r="D33" s="315">
        <v>4.1666666666666664E-2</v>
      </c>
      <c r="E33" s="316"/>
      <c r="F33"/>
    </row>
    <row r="34" spans="1:6">
      <c r="A34" s="309" t="s">
        <v>473</v>
      </c>
      <c r="B34" s="318" t="s">
        <v>179</v>
      </c>
      <c r="C34" s="309"/>
      <c r="D34" s="315">
        <v>8.3333333333333329E-2</v>
      </c>
      <c r="E34" s="316"/>
      <c r="F34"/>
    </row>
    <row r="35" spans="1:6">
      <c r="A35" s="309" t="s">
        <v>473</v>
      </c>
      <c r="B35" s="318" t="s">
        <v>168</v>
      </c>
      <c r="C35" s="309"/>
      <c r="D35" s="315">
        <v>8.3333333333333329E-2</v>
      </c>
      <c r="E35" s="316"/>
      <c r="F35"/>
    </row>
    <row r="36" spans="1:6">
      <c r="A36" s="309" t="s">
        <v>473</v>
      </c>
      <c r="B36" s="309" t="s">
        <v>203</v>
      </c>
      <c r="C36" s="309" t="s">
        <v>169</v>
      </c>
      <c r="D36" s="315">
        <v>0.16666666666666666</v>
      </c>
      <c r="E36" s="316"/>
      <c r="F36"/>
    </row>
    <row r="37" spans="1:6">
      <c r="A37" s="309" t="s">
        <v>524</v>
      </c>
      <c r="B37" s="318" t="s">
        <v>168</v>
      </c>
      <c r="C37" s="309"/>
      <c r="D37" s="315">
        <v>6.25E-2</v>
      </c>
      <c r="E37" s="316"/>
      <c r="F37"/>
    </row>
    <row r="38" spans="1:6">
      <c r="A38" s="309" t="s">
        <v>524</v>
      </c>
      <c r="B38" s="309" t="s">
        <v>566</v>
      </c>
      <c r="C38" s="309" t="s">
        <v>586</v>
      </c>
      <c r="D38" s="315">
        <v>7.9861111111111105E-2</v>
      </c>
      <c r="E38" s="316"/>
      <c r="F38"/>
    </row>
    <row r="39" spans="1:6">
      <c r="A39" s="309" t="s">
        <v>524</v>
      </c>
      <c r="B39" s="309" t="s">
        <v>203</v>
      </c>
      <c r="C39" s="309" t="s">
        <v>169</v>
      </c>
      <c r="D39" s="315">
        <v>0.17708333333333331</v>
      </c>
      <c r="E39" s="316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</row>
    <row r="57" spans="1:6">
      <c r="A57"/>
      <c r="B57"/>
      <c r="C57"/>
      <c r="D57"/>
      <c r="E57"/>
    </row>
    <row r="58" spans="1:6">
      <c r="A58"/>
      <c r="B58"/>
      <c r="C58"/>
      <c r="D58"/>
      <c r="E58"/>
    </row>
    <row r="59" spans="1:6">
      <c r="A59"/>
      <c r="B59"/>
      <c r="C59"/>
      <c r="D59"/>
      <c r="E59"/>
    </row>
    <row r="60" spans="1:6">
      <c r="A60"/>
      <c r="B60"/>
      <c r="C60"/>
      <c r="D60"/>
      <c r="E60"/>
    </row>
    <row r="61" spans="1:6">
      <c r="A61"/>
      <c r="B61"/>
      <c r="C61"/>
      <c r="D61"/>
      <c r="E61"/>
    </row>
    <row r="62" spans="1:6">
      <c r="A62"/>
      <c r="B62"/>
      <c r="C62"/>
      <c r="D62"/>
      <c r="E62"/>
    </row>
    <row r="63" spans="1:6">
      <c r="A63"/>
      <c r="B63"/>
      <c r="C63"/>
      <c r="D63"/>
      <c r="E63"/>
    </row>
    <row r="64" spans="1:6">
      <c r="A64"/>
      <c r="B64"/>
      <c r="C64"/>
      <c r="D64"/>
      <c r="E64"/>
    </row>
    <row r="65" spans="1:5">
      <c r="A65"/>
      <c r="B65"/>
      <c r="C65"/>
      <c r="D65"/>
      <c r="E65"/>
    </row>
  </sheetData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7" workbookViewId="0">
      <selection activeCell="B2" sqref="B2"/>
    </sheetView>
  </sheetViews>
  <sheetFormatPr defaultColWidth="10.75" defaultRowHeight="15.5"/>
  <cols>
    <col min="1" max="1" width="21.33203125" style="1" bestFit="1" customWidth="1"/>
    <col min="2" max="2" width="35.33203125" style="1" bestFit="1" customWidth="1"/>
    <col min="3" max="3" width="18.25" style="123" customWidth="1"/>
    <col min="4" max="4" width="74.75" style="123" customWidth="1"/>
    <col min="5" max="5" width="10.4140625" style="274" bestFit="1" customWidth="1"/>
    <col min="6" max="6" width="8.75" style="274" bestFit="1" customWidth="1"/>
    <col min="7" max="7" width="9.9140625" style="275" customWidth="1"/>
    <col min="8" max="16384" width="10.75" style="1"/>
  </cols>
  <sheetData>
    <row r="1" spans="1:7">
      <c r="A1" s="306" t="s">
        <v>10</v>
      </c>
      <c r="B1" s="307">
        <v>1</v>
      </c>
    </row>
    <row r="2" spans="1:7">
      <c r="A2" s="306" t="s">
        <v>11</v>
      </c>
      <c r="B2" s="308">
        <v>43469</v>
      </c>
    </row>
    <row r="4" spans="1:7" s="276" customFormat="1" ht="62">
      <c r="A4" s="317" t="s">
        <v>1</v>
      </c>
      <c r="B4" s="317" t="s">
        <v>25</v>
      </c>
      <c r="C4" s="317" t="s">
        <v>335</v>
      </c>
      <c r="D4" s="317" t="s">
        <v>336</v>
      </c>
      <c r="E4" s="321" t="s">
        <v>104</v>
      </c>
      <c r="F4" s="321" t="s">
        <v>106</v>
      </c>
      <c r="G4" s="317" t="s">
        <v>103</v>
      </c>
    </row>
    <row r="5" spans="1:7">
      <c r="A5" s="309" t="s">
        <v>5</v>
      </c>
      <c r="B5" s="309" t="s">
        <v>115</v>
      </c>
      <c r="C5" s="309" t="s">
        <v>215</v>
      </c>
      <c r="D5" s="309"/>
      <c r="E5" s="320"/>
      <c r="F5" s="320">
        <v>0.22916666666666669</v>
      </c>
      <c r="G5" s="314"/>
    </row>
    <row r="6" spans="1:7">
      <c r="A6" s="309" t="s">
        <v>149</v>
      </c>
      <c r="B6" s="309" t="s">
        <v>38</v>
      </c>
      <c r="C6" s="309" t="s">
        <v>193</v>
      </c>
      <c r="D6" s="309"/>
      <c r="E6" s="320"/>
      <c r="F6" s="320">
        <v>0.12847222222222224</v>
      </c>
      <c r="G6" s="314">
        <v>14</v>
      </c>
    </row>
    <row r="7" spans="1:7">
      <c r="A7" s="309" t="s">
        <v>149</v>
      </c>
      <c r="B7" s="309" t="s">
        <v>41</v>
      </c>
      <c r="C7" s="309" t="s">
        <v>193</v>
      </c>
      <c r="D7" s="309"/>
      <c r="E7" s="320"/>
      <c r="F7" s="320">
        <v>0.125</v>
      </c>
      <c r="G7" s="314">
        <v>14</v>
      </c>
    </row>
    <row r="8" spans="1:7">
      <c r="A8" s="309" t="s">
        <v>149</v>
      </c>
      <c r="B8" s="309" t="s">
        <v>53</v>
      </c>
      <c r="C8" s="309" t="s">
        <v>193</v>
      </c>
      <c r="D8" s="309"/>
      <c r="E8" s="320"/>
      <c r="F8" s="320">
        <v>1.3888888888888888E-2</v>
      </c>
      <c r="G8" s="314"/>
    </row>
    <row r="9" spans="1:7">
      <c r="A9" s="309" t="s">
        <v>149</v>
      </c>
      <c r="B9" s="309" t="s">
        <v>55</v>
      </c>
      <c r="C9" s="309" t="s">
        <v>193</v>
      </c>
      <c r="D9" s="309"/>
      <c r="E9" s="320"/>
      <c r="F9" s="320">
        <v>0.125</v>
      </c>
      <c r="G9" s="314">
        <v>28</v>
      </c>
    </row>
    <row r="10" spans="1:7">
      <c r="A10" s="309" t="s">
        <v>149</v>
      </c>
      <c r="B10" s="309" t="s">
        <v>110</v>
      </c>
      <c r="C10" s="309" t="s">
        <v>177</v>
      </c>
      <c r="D10" s="309"/>
      <c r="E10" s="320"/>
      <c r="F10" s="320">
        <v>0</v>
      </c>
      <c r="G10" s="314"/>
    </row>
    <row r="11" spans="1:7">
      <c r="A11" s="309" t="s">
        <v>149</v>
      </c>
      <c r="B11" s="309" t="s">
        <v>34</v>
      </c>
      <c r="C11" s="309" t="s">
        <v>191</v>
      </c>
      <c r="D11" s="309"/>
      <c r="E11" s="320"/>
      <c r="F11" s="320">
        <v>0.125</v>
      </c>
      <c r="G11" s="314">
        <v>28</v>
      </c>
    </row>
    <row r="12" spans="1:7">
      <c r="A12" s="309" t="s">
        <v>148</v>
      </c>
      <c r="B12" s="309" t="s">
        <v>41</v>
      </c>
      <c r="C12" s="309" t="s">
        <v>560</v>
      </c>
      <c r="D12" s="309" t="s">
        <v>561</v>
      </c>
      <c r="E12" s="320"/>
      <c r="F12" s="320">
        <v>2.0833333333333332E-2</v>
      </c>
      <c r="G12" s="314">
        <v>1</v>
      </c>
    </row>
    <row r="13" spans="1:7">
      <c r="A13" s="309" t="s">
        <v>148</v>
      </c>
      <c r="B13" s="309" t="s">
        <v>53</v>
      </c>
      <c r="C13" s="309" t="s">
        <v>560</v>
      </c>
      <c r="D13" s="309" t="s">
        <v>561</v>
      </c>
      <c r="E13" s="320"/>
      <c r="F13" s="320">
        <v>2.0833333333333332E-2</v>
      </c>
      <c r="G13" s="314">
        <v>1</v>
      </c>
    </row>
    <row r="14" spans="1:7">
      <c r="A14" s="309" t="s">
        <v>148</v>
      </c>
      <c r="B14" s="309" t="s">
        <v>32</v>
      </c>
      <c r="C14" s="309" t="s">
        <v>562</v>
      </c>
      <c r="D14" s="309" t="s">
        <v>563</v>
      </c>
      <c r="E14" s="320"/>
      <c r="F14" s="320">
        <v>0.10416666666666667</v>
      </c>
      <c r="G14" s="314"/>
    </row>
    <row r="15" spans="1:7">
      <c r="A15" s="309" t="s">
        <v>148</v>
      </c>
      <c r="B15" s="309" t="s">
        <v>55</v>
      </c>
      <c r="C15" s="309" t="s">
        <v>562</v>
      </c>
      <c r="D15" s="309" t="s">
        <v>563</v>
      </c>
      <c r="E15" s="320"/>
      <c r="F15" s="320">
        <v>6.25E-2</v>
      </c>
      <c r="G15" s="314"/>
    </row>
    <row r="16" spans="1:7">
      <c r="A16" s="309" t="s">
        <v>148</v>
      </c>
      <c r="B16" s="309" t="s">
        <v>33</v>
      </c>
      <c r="C16" s="309" t="s">
        <v>566</v>
      </c>
      <c r="D16" s="309" t="s">
        <v>586</v>
      </c>
      <c r="E16" s="320"/>
      <c r="F16" s="320">
        <v>0.1076388888888889</v>
      </c>
      <c r="G16" s="314"/>
    </row>
    <row r="17" spans="1:7">
      <c r="A17" s="309" t="s">
        <v>150</v>
      </c>
      <c r="B17" s="309" t="s">
        <v>131</v>
      </c>
      <c r="C17" s="309" t="s">
        <v>201</v>
      </c>
      <c r="D17" s="309" t="s">
        <v>165</v>
      </c>
      <c r="E17" s="320"/>
      <c r="F17" s="320">
        <v>0.33333333333333331</v>
      </c>
      <c r="G17" s="314">
        <v>24</v>
      </c>
    </row>
    <row r="18" spans="1:7">
      <c r="A18" s="309" t="s">
        <v>150</v>
      </c>
      <c r="B18" s="309" t="s">
        <v>41</v>
      </c>
      <c r="C18" s="309" t="s">
        <v>201</v>
      </c>
      <c r="D18" s="309" t="s">
        <v>165</v>
      </c>
      <c r="E18" s="320"/>
      <c r="F18" s="320">
        <v>0.3125</v>
      </c>
      <c r="G18" s="314">
        <v>22</v>
      </c>
    </row>
    <row r="19" spans="1:7">
      <c r="A19" s="309" t="s">
        <v>150</v>
      </c>
      <c r="B19" s="309" t="s">
        <v>50</v>
      </c>
      <c r="C19" s="309" t="s">
        <v>207</v>
      </c>
      <c r="D19" s="309" t="s">
        <v>180</v>
      </c>
      <c r="E19" s="320"/>
      <c r="F19" s="320">
        <v>1.3888888888888888E-2</v>
      </c>
      <c r="G19" s="314"/>
    </row>
    <row r="20" spans="1:7">
      <c r="A20" s="309" t="s">
        <v>150</v>
      </c>
      <c r="B20" s="309" t="s">
        <v>50</v>
      </c>
      <c r="C20" s="309" t="s">
        <v>201</v>
      </c>
      <c r="D20" s="309" t="s">
        <v>165</v>
      </c>
      <c r="E20" s="320"/>
      <c r="F20" s="320">
        <v>0.30555555555555558</v>
      </c>
      <c r="G20" s="314">
        <v>46</v>
      </c>
    </row>
    <row r="21" spans="1:7">
      <c r="A21" s="309" t="s">
        <v>150</v>
      </c>
      <c r="B21" s="309" t="s">
        <v>53</v>
      </c>
      <c r="C21" s="309" t="s">
        <v>201</v>
      </c>
      <c r="D21" s="309" t="s">
        <v>165</v>
      </c>
      <c r="E21" s="320"/>
      <c r="F21" s="320">
        <v>0.3125</v>
      </c>
      <c r="G21" s="314">
        <v>46</v>
      </c>
    </row>
    <row r="22" spans="1:7">
      <c r="A22" s="309" t="s">
        <v>150</v>
      </c>
      <c r="B22" s="309" t="s">
        <v>55</v>
      </c>
      <c r="C22" s="309" t="s">
        <v>210</v>
      </c>
      <c r="D22" s="309" t="s">
        <v>196</v>
      </c>
      <c r="E22" s="320"/>
      <c r="F22" s="320">
        <v>0.27083333333333331</v>
      </c>
      <c r="G22" s="314"/>
    </row>
    <row r="23" spans="1:7">
      <c r="A23" s="309" t="s">
        <v>153</v>
      </c>
      <c r="B23" s="309" t="s">
        <v>113</v>
      </c>
      <c r="C23" s="309" t="s">
        <v>354</v>
      </c>
      <c r="D23" s="309"/>
      <c r="E23" s="320"/>
      <c r="F23" s="320">
        <v>0.33333333333333331</v>
      </c>
      <c r="G23" s="314">
        <v>32</v>
      </c>
    </row>
    <row r="24" spans="1:7">
      <c r="A24" s="309" t="s">
        <v>153</v>
      </c>
      <c r="B24" s="309" t="s">
        <v>40</v>
      </c>
      <c r="C24" s="309" t="s">
        <v>354</v>
      </c>
      <c r="D24" s="309"/>
      <c r="E24" s="320"/>
      <c r="F24" s="320">
        <v>0.33333333333333331</v>
      </c>
      <c r="G24" s="314">
        <v>34</v>
      </c>
    </row>
    <row r="25" spans="1:7">
      <c r="A25" s="309" t="s">
        <v>153</v>
      </c>
      <c r="B25" s="309" t="s">
        <v>139</v>
      </c>
      <c r="C25" s="309" t="s">
        <v>354</v>
      </c>
      <c r="D25" s="309"/>
      <c r="E25" s="320"/>
      <c r="F25" s="320">
        <v>0.33333333333333331</v>
      </c>
      <c r="G25" s="314">
        <v>66</v>
      </c>
    </row>
    <row r="26" spans="1:7">
      <c r="A26" s="309" t="s">
        <v>153</v>
      </c>
      <c r="B26" s="309" t="s">
        <v>146</v>
      </c>
      <c r="C26" s="309" t="s">
        <v>352</v>
      </c>
      <c r="D26" s="309"/>
      <c r="E26" s="320">
        <v>1.3888888888888888E-2</v>
      </c>
      <c r="F26" s="320">
        <v>0.31944444444444442</v>
      </c>
      <c r="G26" s="314">
        <v>66</v>
      </c>
    </row>
    <row r="27" spans="1:7">
      <c r="A27" s="309" t="s">
        <v>153</v>
      </c>
      <c r="B27" s="309" t="s">
        <v>32</v>
      </c>
      <c r="C27" s="309" t="s">
        <v>354</v>
      </c>
      <c r="D27" s="309"/>
      <c r="E27" s="320"/>
      <c r="F27" s="320">
        <v>0.16666666666666666</v>
      </c>
      <c r="G27" s="314">
        <v>33</v>
      </c>
    </row>
    <row r="28" spans="1:7">
      <c r="A28" s="309" t="s">
        <v>153</v>
      </c>
      <c r="B28" s="309" t="s">
        <v>65</v>
      </c>
      <c r="C28" s="309" t="s">
        <v>354</v>
      </c>
      <c r="D28" s="309"/>
      <c r="E28" s="320"/>
      <c r="F28" s="320">
        <v>0.16666666666666666</v>
      </c>
      <c r="G28" s="314">
        <v>33</v>
      </c>
    </row>
    <row r="29" spans="1:7">
      <c r="A29" s="309" t="s">
        <v>153</v>
      </c>
      <c r="B29" s="309" t="s">
        <v>115</v>
      </c>
      <c r="C29" s="309" t="s">
        <v>350</v>
      </c>
      <c r="D29" s="309"/>
      <c r="E29" s="320"/>
      <c r="F29" s="320">
        <v>9.7222222222222224E-2</v>
      </c>
      <c r="G29" s="314"/>
    </row>
    <row r="30" spans="1:7">
      <c r="A30" s="309" t="s">
        <v>604</v>
      </c>
      <c r="B30" s="309" t="s">
        <v>147</v>
      </c>
      <c r="C30" s="309"/>
      <c r="D30" s="309"/>
      <c r="E30" s="320"/>
      <c r="F30" s="320">
        <v>0</v>
      </c>
      <c r="G30" s="314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E14" sqref="E14"/>
    </sheetView>
  </sheetViews>
  <sheetFormatPr defaultColWidth="10.75" defaultRowHeight="15.5"/>
  <cols>
    <col min="1" max="1" width="26.33203125" style="1" bestFit="1" customWidth="1"/>
    <col min="2" max="2" width="15.75" style="288" customWidth="1"/>
    <col min="3" max="3" width="15.75" style="292" customWidth="1"/>
    <col min="4" max="4" width="15.75" style="288" customWidth="1"/>
    <col min="5" max="5" width="21.75" style="123" customWidth="1"/>
    <col min="6" max="16384" width="10.75" style="1"/>
  </cols>
  <sheetData>
    <row r="1" spans="1:5">
      <c r="A1" s="281" t="s">
        <v>10</v>
      </c>
      <c r="B1" s="291">
        <v>1</v>
      </c>
    </row>
    <row r="2" spans="1:5">
      <c r="A2" s="281" t="s">
        <v>11</v>
      </c>
      <c r="B2" s="293">
        <v>43467</v>
      </c>
    </row>
    <row r="4" spans="1:5" s="125" customFormat="1" ht="31">
      <c r="A4" s="286" t="s">
        <v>101</v>
      </c>
      <c r="B4" s="287" t="s">
        <v>559</v>
      </c>
      <c r="C4" s="294" t="s">
        <v>317</v>
      </c>
      <c r="D4" s="287" t="s">
        <v>318</v>
      </c>
      <c r="E4" s="1"/>
    </row>
    <row r="5" spans="1:5">
      <c r="A5" s="282" t="s">
        <v>6</v>
      </c>
      <c r="B5" s="290"/>
      <c r="C5" s="295"/>
      <c r="D5" s="290"/>
      <c r="E5" s="1"/>
    </row>
    <row r="6" spans="1:5">
      <c r="A6" s="284" t="s">
        <v>310</v>
      </c>
      <c r="B6" s="290"/>
      <c r="C6" s="295"/>
      <c r="D6" s="290">
        <v>0</v>
      </c>
      <c r="E6" s="1"/>
    </row>
    <row r="7" spans="1:5">
      <c r="A7" s="284" t="s">
        <v>309</v>
      </c>
      <c r="B7" s="290"/>
      <c r="C7" s="295">
        <v>0</v>
      </c>
      <c r="D7" s="290"/>
      <c r="E7" s="1"/>
    </row>
    <row r="8" spans="1:5">
      <c r="A8" s="282" t="s">
        <v>303</v>
      </c>
      <c r="B8" s="290"/>
      <c r="C8" s="295"/>
      <c r="D8" s="290"/>
      <c r="E8" s="1"/>
    </row>
    <row r="9" spans="1:5">
      <c r="A9" s="284" t="s">
        <v>312</v>
      </c>
      <c r="B9" s="290"/>
      <c r="C9" s="295">
        <v>0</v>
      </c>
      <c r="D9" s="290">
        <v>26.823000000000004</v>
      </c>
      <c r="E9" s="1"/>
    </row>
    <row r="10" spans="1:5">
      <c r="A10" s="284" t="s">
        <v>294</v>
      </c>
      <c r="B10" s="290">
        <v>10.55</v>
      </c>
      <c r="C10" s="295">
        <v>1.5890094322037056</v>
      </c>
      <c r="D10" s="290"/>
      <c r="E10" s="1"/>
    </row>
    <row r="11" spans="1:5">
      <c r="A11" s="284" t="s">
        <v>297</v>
      </c>
      <c r="B11" s="290">
        <v>0.16400000000000001</v>
      </c>
      <c r="C11" s="295">
        <v>1.0292162199107731</v>
      </c>
      <c r="D11" s="290"/>
      <c r="E11" s="1"/>
    </row>
    <row r="12" spans="1:5">
      <c r="A12" s="284" t="s">
        <v>293</v>
      </c>
      <c r="B12" s="290">
        <v>0.05</v>
      </c>
      <c r="C12" s="295">
        <v>0.94135629869887771</v>
      </c>
      <c r="D12" s="290"/>
      <c r="E12" s="1"/>
    </row>
    <row r="13" spans="1:5">
      <c r="A13" s="284" t="s">
        <v>290</v>
      </c>
      <c r="B13" s="290">
        <v>16</v>
      </c>
      <c r="C13" s="295">
        <v>1.2049360623345635</v>
      </c>
      <c r="D13" s="290"/>
      <c r="E13" s="1"/>
    </row>
    <row r="14" spans="1:5">
      <c r="A14" s="284" t="s">
        <v>296</v>
      </c>
      <c r="B14" s="290">
        <v>5.8999999999999997E-2</v>
      </c>
      <c r="C14" s="295">
        <v>1.1108004324646754</v>
      </c>
      <c r="D14" s="290"/>
      <c r="E14" s="1"/>
    </row>
    <row r="15" spans="1:5">
      <c r="A15" s="282" t="s">
        <v>304</v>
      </c>
      <c r="B15" s="290"/>
      <c r="C15" s="295"/>
      <c r="D15" s="290"/>
      <c r="E15" s="1"/>
    </row>
    <row r="16" spans="1:5">
      <c r="A16" s="284" t="s">
        <v>315</v>
      </c>
      <c r="B16" s="290">
        <v>0</v>
      </c>
      <c r="C16" s="295"/>
      <c r="D16" s="290">
        <v>0</v>
      </c>
      <c r="E16" s="1"/>
    </row>
    <row r="17" spans="1:5">
      <c r="A17" s="284" t="s">
        <v>301</v>
      </c>
      <c r="B17" s="290"/>
      <c r="C17" s="295">
        <v>0</v>
      </c>
      <c r="D17" s="290"/>
      <c r="E17" s="1"/>
    </row>
    <row r="18" spans="1:5">
      <c r="A18" s="284" t="s">
        <v>297</v>
      </c>
      <c r="B18" s="290"/>
      <c r="C18" s="295">
        <v>0</v>
      </c>
      <c r="D18" s="290"/>
      <c r="E18" s="1"/>
    </row>
    <row r="19" spans="1:5">
      <c r="A19" s="284" t="s">
        <v>293</v>
      </c>
      <c r="B19" s="290"/>
      <c r="C19" s="295">
        <v>0</v>
      </c>
      <c r="D19" s="290"/>
      <c r="E19" s="1"/>
    </row>
    <row r="20" spans="1:5">
      <c r="A20" s="284" t="s">
        <v>290</v>
      </c>
      <c r="B20" s="290"/>
      <c r="C20" s="295">
        <v>0</v>
      </c>
      <c r="D20" s="290"/>
      <c r="E20" s="1"/>
    </row>
    <row r="21" spans="1:5">
      <c r="A21" s="284" t="s">
        <v>292</v>
      </c>
      <c r="B21" s="290"/>
      <c r="C21" s="295">
        <v>0</v>
      </c>
      <c r="D21" s="290"/>
      <c r="E21" s="1"/>
    </row>
    <row r="22" spans="1:5">
      <c r="A22" s="284" t="s">
        <v>299</v>
      </c>
      <c r="B22" s="290"/>
      <c r="C22" s="295">
        <v>0</v>
      </c>
      <c r="D22" s="290"/>
      <c r="E22" s="1"/>
    </row>
    <row r="23" spans="1:5">
      <c r="A23" s="284" t="s">
        <v>296</v>
      </c>
      <c r="B23" s="290"/>
      <c r="C23" s="295">
        <v>0</v>
      </c>
      <c r="D23" s="290"/>
      <c r="E23" s="1"/>
    </row>
    <row r="24" spans="1:5">
      <c r="A24" s="282" t="s">
        <v>307</v>
      </c>
      <c r="B24" s="290"/>
      <c r="C24" s="295"/>
      <c r="D24" s="290"/>
      <c r="E24" s="1"/>
    </row>
    <row r="25" spans="1:5">
      <c r="A25" s="284" t="s">
        <v>312</v>
      </c>
      <c r="B25" s="290"/>
      <c r="C25" s="295"/>
      <c r="D25" s="290">
        <v>174.86800000000002</v>
      </c>
      <c r="E25" s="1"/>
    </row>
    <row r="26" spans="1:5">
      <c r="A26" s="284" t="s">
        <v>298</v>
      </c>
      <c r="B26" s="290">
        <v>57.41</v>
      </c>
      <c r="C26" s="295">
        <v>1.3241626064612542</v>
      </c>
      <c r="D26" s="290"/>
      <c r="E26" s="1"/>
    </row>
    <row r="27" spans="1:5">
      <c r="A27" s="284" t="s">
        <v>297</v>
      </c>
      <c r="B27" s="290">
        <v>0.86499999999999999</v>
      </c>
      <c r="C27" s="295">
        <v>0.99756197055302642</v>
      </c>
      <c r="D27" s="290"/>
      <c r="E27" s="1"/>
    </row>
    <row r="28" spans="1:5">
      <c r="A28" s="284" t="s">
        <v>293</v>
      </c>
      <c r="B28" s="290">
        <v>0.3</v>
      </c>
      <c r="C28" s="295">
        <v>1.0379257497083514</v>
      </c>
      <c r="D28" s="290"/>
      <c r="E28" s="1"/>
    </row>
    <row r="29" spans="1:5">
      <c r="A29" s="284" t="s">
        <v>290</v>
      </c>
      <c r="B29" s="290">
        <v>58</v>
      </c>
      <c r="C29" s="295">
        <v>0.66888548314538188</v>
      </c>
      <c r="D29" s="290"/>
      <c r="E29" s="1"/>
    </row>
    <row r="30" spans="1:5">
      <c r="A30" s="284" t="s">
        <v>292</v>
      </c>
      <c r="B30" s="290"/>
      <c r="C30" s="295">
        <v>0</v>
      </c>
      <c r="D30" s="290"/>
      <c r="E30" s="1"/>
    </row>
    <row r="31" spans="1:5">
      <c r="A31" s="284" t="s">
        <v>299</v>
      </c>
      <c r="B31" s="290">
        <v>58</v>
      </c>
      <c r="C31" s="295">
        <v>1.3377709662907638</v>
      </c>
      <c r="D31" s="290"/>
      <c r="E31" s="1"/>
    </row>
    <row r="32" spans="1:5">
      <c r="A32" s="284" t="s">
        <v>296</v>
      </c>
      <c r="B32" s="290">
        <v>0.29299999999999998</v>
      </c>
      <c r="C32" s="295">
        <v>1.0137074822151564</v>
      </c>
      <c r="D32" s="290"/>
      <c r="E32" s="1"/>
    </row>
    <row r="33" spans="1:5">
      <c r="A33" s="282" t="s">
        <v>308</v>
      </c>
      <c r="B33" s="290"/>
      <c r="C33" s="295"/>
      <c r="D33" s="290"/>
      <c r="E33" s="1"/>
    </row>
    <row r="34" spans="1:5">
      <c r="A34" s="284" t="s">
        <v>313</v>
      </c>
      <c r="B34" s="290"/>
      <c r="C34" s="295"/>
      <c r="D34" s="290">
        <v>193.279</v>
      </c>
      <c r="E34" s="1"/>
    </row>
    <row r="35" spans="1:5">
      <c r="A35" s="284" t="s">
        <v>298</v>
      </c>
      <c r="B35" s="290">
        <v>63.65</v>
      </c>
      <c r="C35" s="295">
        <v>0.99618297900961816</v>
      </c>
      <c r="D35" s="290"/>
      <c r="E35" s="1"/>
    </row>
    <row r="36" spans="1:5">
      <c r="A36" s="284" t="s">
        <v>297</v>
      </c>
      <c r="B36" s="290">
        <v>0.98099999999999998</v>
      </c>
      <c r="C36" s="295">
        <v>1.0235721418260648</v>
      </c>
      <c r="D36" s="290"/>
      <c r="E36" s="1"/>
    </row>
    <row r="37" spans="1:5">
      <c r="A37" s="284" t="s">
        <v>293</v>
      </c>
      <c r="B37" s="290">
        <v>0.32500000000000001</v>
      </c>
      <c r="C37" s="295">
        <v>1.0173117617537342</v>
      </c>
      <c r="D37" s="290"/>
      <c r="E37" s="1"/>
    </row>
    <row r="38" spans="1:5">
      <c r="A38" s="284" t="s">
        <v>290</v>
      </c>
      <c r="B38" s="290"/>
      <c r="C38" s="295">
        <v>0</v>
      </c>
      <c r="D38" s="290"/>
      <c r="E38" s="1"/>
    </row>
    <row r="39" spans="1:5">
      <c r="A39" s="284" t="s">
        <v>299</v>
      </c>
      <c r="B39" s="290">
        <v>64</v>
      </c>
      <c r="C39" s="295">
        <v>1.0016608115729075</v>
      </c>
      <c r="D39" s="290"/>
      <c r="E39" s="1"/>
    </row>
    <row r="40" spans="1:5">
      <c r="A40" s="284" t="s">
        <v>309</v>
      </c>
      <c r="B40" s="290">
        <v>64</v>
      </c>
      <c r="C40" s="295">
        <v>1.0016608115729075</v>
      </c>
      <c r="D40" s="290"/>
      <c r="E40" s="1"/>
    </row>
    <row r="41" spans="1:5">
      <c r="A41" s="284" t="s">
        <v>296</v>
      </c>
      <c r="B41" s="290">
        <v>0.32300000000000001</v>
      </c>
      <c r="C41" s="295">
        <v>1.0110513816814035</v>
      </c>
      <c r="D41" s="290"/>
      <c r="E41" s="1"/>
    </row>
    <row r="42" spans="1:5">
      <c r="A42" s="282" t="s">
        <v>302</v>
      </c>
      <c r="B42" s="290"/>
      <c r="C42" s="295"/>
      <c r="D42" s="290"/>
      <c r="E42" s="1"/>
    </row>
    <row r="43" spans="1:5">
      <c r="A43" s="284" t="s">
        <v>316</v>
      </c>
      <c r="B43" s="290">
        <v>0</v>
      </c>
      <c r="C43" s="295"/>
      <c r="D43" s="290">
        <v>0</v>
      </c>
      <c r="E43" s="1"/>
    </row>
    <row r="44" spans="1:5">
      <c r="A44" s="284" t="s">
        <v>300</v>
      </c>
      <c r="B44" s="290"/>
      <c r="C44" s="295">
        <v>0</v>
      </c>
      <c r="D44" s="290"/>
      <c r="E44" s="1"/>
    </row>
    <row r="45" spans="1:5">
      <c r="A45" s="284" t="s">
        <v>297</v>
      </c>
      <c r="B45" s="290"/>
      <c r="C45" s="295">
        <v>0</v>
      </c>
      <c r="D45" s="290"/>
      <c r="E45" s="1"/>
    </row>
    <row r="46" spans="1:5">
      <c r="A46" s="284" t="s">
        <v>290</v>
      </c>
      <c r="B46" s="290"/>
      <c r="C46" s="295">
        <v>0</v>
      </c>
      <c r="D46" s="290"/>
      <c r="E46" s="1"/>
    </row>
    <row r="47" spans="1:5">
      <c r="A47" s="284" t="s">
        <v>299</v>
      </c>
      <c r="B47" s="290"/>
      <c r="C47" s="295">
        <v>0</v>
      </c>
      <c r="D47" s="290"/>
      <c r="E47" s="1"/>
    </row>
    <row r="48" spans="1:5">
      <c r="A48" s="282" t="s">
        <v>306</v>
      </c>
      <c r="B48" s="290"/>
      <c r="C48" s="295"/>
      <c r="D48" s="290"/>
      <c r="E48" s="1"/>
    </row>
    <row r="49" spans="1:5">
      <c r="A49" s="284" t="s">
        <v>314</v>
      </c>
      <c r="B49" s="290">
        <v>0</v>
      </c>
      <c r="C49" s="295"/>
      <c r="D49" s="290">
        <v>0</v>
      </c>
      <c r="E49" s="1"/>
    </row>
    <row r="50" spans="1:5">
      <c r="A50" s="284" t="s">
        <v>290</v>
      </c>
      <c r="B50" s="290"/>
      <c r="C50" s="295">
        <v>0</v>
      </c>
      <c r="D50" s="290"/>
      <c r="E50" s="1"/>
    </row>
    <row r="51" spans="1:5">
      <c r="A51" s="284" t="s">
        <v>292</v>
      </c>
      <c r="B51" s="290"/>
      <c r="C51" s="295">
        <v>0</v>
      </c>
      <c r="D51" s="290"/>
      <c r="E51" s="1"/>
    </row>
    <row r="52" spans="1:5">
      <c r="A52" s="284" t="s">
        <v>299</v>
      </c>
      <c r="B52" s="290"/>
      <c r="C52" s="295">
        <v>0</v>
      </c>
      <c r="D52" s="290"/>
      <c r="E52" s="1"/>
    </row>
    <row r="53" spans="1:5">
      <c r="A53" s="284" t="s">
        <v>327</v>
      </c>
      <c r="B53" s="290"/>
      <c r="C53" s="295">
        <v>0</v>
      </c>
      <c r="D53" s="290"/>
      <c r="E53" s="1"/>
    </row>
    <row r="54" spans="1:5">
      <c r="A54" s="282" t="s">
        <v>305</v>
      </c>
      <c r="B54" s="290"/>
      <c r="C54" s="295"/>
      <c r="D54" s="290"/>
      <c r="E54" s="1"/>
    </row>
    <row r="55" spans="1:5">
      <c r="A55" s="284" t="s">
        <v>314</v>
      </c>
      <c r="B55" s="290">
        <v>0</v>
      </c>
      <c r="C55" s="295"/>
      <c r="D55" s="290">
        <v>0</v>
      </c>
      <c r="E55" s="1"/>
    </row>
    <row r="56" spans="1:5">
      <c r="A56" s="284" t="s">
        <v>290</v>
      </c>
      <c r="B56" s="290"/>
      <c r="C56" s="295">
        <v>0</v>
      </c>
      <c r="D56" s="290"/>
      <c r="E56" s="1"/>
    </row>
    <row r="57" spans="1:5">
      <c r="A57" s="284" t="s">
        <v>292</v>
      </c>
      <c r="B57" s="290"/>
      <c r="C57" s="295">
        <v>0</v>
      </c>
      <c r="D57" s="290"/>
      <c r="E57" s="1"/>
    </row>
    <row r="58" spans="1:5">
      <c r="A58" s="284" t="s">
        <v>299</v>
      </c>
      <c r="B58" s="290"/>
      <c r="C58" s="295">
        <v>0</v>
      </c>
      <c r="D58" s="290"/>
      <c r="E58" s="1"/>
    </row>
    <row r="59" spans="1:5">
      <c r="A59" s="284" t="s">
        <v>326</v>
      </c>
      <c r="B59" s="290"/>
      <c r="C59" s="295">
        <v>0</v>
      </c>
      <c r="D59" s="290"/>
      <c r="E5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="88" workbookViewId="0">
      <selection activeCell="E9" sqref="E9"/>
    </sheetView>
  </sheetViews>
  <sheetFormatPr defaultColWidth="8.75" defaultRowHeight="15.5"/>
  <cols>
    <col min="1" max="1" width="12.08203125" style="62" customWidth="1"/>
    <col min="2" max="2" width="14.9140625" style="62" customWidth="1"/>
    <col min="3" max="3" width="14" style="62" customWidth="1"/>
    <col min="4" max="4" width="16" style="62" customWidth="1"/>
    <col min="5" max="5" width="8.75" style="62"/>
    <col min="6" max="6" width="4.33203125" style="62" customWidth="1"/>
    <col min="7" max="7" width="23.25" style="62" bestFit="1" customWidth="1"/>
    <col min="8" max="8" width="16.75" style="62" customWidth="1"/>
    <col min="9" max="9" width="12.25" style="62" customWidth="1"/>
    <col min="10" max="10" width="6.25" style="62" bestFit="1" customWidth="1"/>
    <col min="11" max="16384" width="8.75" style="62"/>
  </cols>
  <sheetData>
    <row r="1" spans="1:11">
      <c r="A1" s="13" t="s">
        <v>10</v>
      </c>
      <c r="B1" s="14">
        <v>1</v>
      </c>
    </row>
    <row r="2" spans="1:11">
      <c r="A2" s="13" t="s">
        <v>11</v>
      </c>
      <c r="B2" t="s">
        <v>340</v>
      </c>
    </row>
    <row r="4" spans="1:11" ht="93">
      <c r="A4" s="13" t="s">
        <v>101</v>
      </c>
      <c r="B4" s="16" t="s">
        <v>105</v>
      </c>
      <c r="C4" s="16" t="s">
        <v>104</v>
      </c>
      <c r="D4" s="16" t="s">
        <v>106</v>
      </c>
      <c r="G4" s="9" t="s">
        <v>135</v>
      </c>
      <c r="H4" s="9" t="s">
        <v>136</v>
      </c>
      <c r="I4" s="61" t="s">
        <v>137</v>
      </c>
      <c r="J4" s="9" t="s">
        <v>140</v>
      </c>
      <c r="K4" s="61" t="s">
        <v>141</v>
      </c>
    </row>
    <row r="5" spans="1:11">
      <c r="A5"/>
      <c r="B5"/>
      <c r="C5"/>
      <c r="D5"/>
      <c r="G5" s="57" t="s">
        <v>33</v>
      </c>
      <c r="H5" s="20">
        <f>IFERROR(VLOOKUP($G5,XCG!$A$3:$R$481,18,0),0)</f>
        <v>0</v>
      </c>
      <c r="I5" s="58" t="str">
        <f>IF(H5&gt;=10,"A++",IF(H5&gt;=9,"A+",IF(H5&gt;=8,"A",IF(H5&gt;=7,"B","C"))))</f>
        <v>C</v>
      </c>
      <c r="J5" s="20">
        <f>IFERROR(VLOOKUP($G5,XCG!A3:S440,19,0),0)</f>
        <v>0</v>
      </c>
      <c r="K5" s="58" t="str">
        <f>IF(J5&gt;=10,"A++",IF(J5&gt;=9,"A+",IF(J5&gt;=8,"A",IF(J5&gt;=7,"B","C"))))</f>
        <v>C</v>
      </c>
    </row>
    <row r="6" spans="1:11">
      <c r="A6"/>
      <c r="B6"/>
      <c r="C6"/>
      <c r="D6"/>
      <c r="G6" s="57" t="s">
        <v>34</v>
      </c>
      <c r="H6" s="20">
        <f>IFERROR(VLOOKUP($G6,XCG!$A$3:$R$481,18,0),0)</f>
        <v>6.6119191320983681</v>
      </c>
      <c r="I6" s="58" t="str">
        <f>IF(H6&gt;=10,"A++",IF(H6&gt;=9,"A+",IF(H6&gt;=8,"A",IF(H6&gt;=7,"B","C"))))</f>
        <v>C</v>
      </c>
      <c r="J6" s="20">
        <f>IFERROR(VLOOKUP($G6,XCG!A4:S441,19,0),0)</f>
        <v>0</v>
      </c>
      <c r="K6" s="64"/>
    </row>
    <row r="7" spans="1:11">
      <c r="A7"/>
      <c r="B7"/>
      <c r="C7"/>
      <c r="D7"/>
      <c r="G7" s="57" t="s">
        <v>35</v>
      </c>
      <c r="H7" s="20">
        <f>IFERROR(VLOOKUP($G7,XCG!$A$3:$R$481,18,0),0)</f>
        <v>0</v>
      </c>
      <c r="I7" s="58" t="str">
        <f>IF(H7&gt;=10,"A++",IF(H7&gt;=9,"A+",IF(H7&gt;=8,"A",IF(H7&gt;=7,"B","C"))))</f>
        <v>C</v>
      </c>
      <c r="J7" s="20">
        <f>IFERROR(VLOOKUP($G7,XCG!A5:S442,19,0),0)</f>
        <v>0</v>
      </c>
      <c r="K7" s="64"/>
    </row>
    <row r="8" spans="1:11">
      <c r="A8"/>
      <c r="B8"/>
      <c r="C8"/>
      <c r="D8"/>
      <c r="G8" s="57" t="s">
        <v>36</v>
      </c>
      <c r="H8" s="20">
        <f>IFERROR(VLOOKUP($G8,XCG!$A$3:$R$481,18,0),0)</f>
        <v>8.454545454545455</v>
      </c>
      <c r="I8" s="58" t="str">
        <f>IF(H8&gt;=10,"A++",IF(H8&gt;=9,"A+",IF(H8&gt;=8,"A",IF(H8&gt;=7,"B","C"))))</f>
        <v>A</v>
      </c>
      <c r="J8" s="20">
        <f>IFERROR(VLOOKUP($G8,XCG!A6:S443,19,0),0)</f>
        <v>0</v>
      </c>
      <c r="K8" s="64"/>
    </row>
    <row r="9" spans="1:11">
      <c r="A9"/>
      <c r="B9"/>
      <c r="C9"/>
      <c r="D9"/>
    </row>
    <row r="10" spans="1:11">
      <c r="A10"/>
      <c r="B10"/>
      <c r="C10"/>
      <c r="D10"/>
    </row>
    <row r="11" spans="1:11">
      <c r="A11"/>
      <c r="B11"/>
      <c r="C11"/>
      <c r="D11"/>
    </row>
    <row r="12" spans="1:11">
      <c r="A12"/>
      <c r="B12"/>
      <c r="C12"/>
      <c r="D12"/>
    </row>
    <row r="13" spans="1:11">
      <c r="A13"/>
      <c r="B13"/>
      <c r="C13"/>
      <c r="D13"/>
    </row>
    <row r="14" spans="1:11">
      <c r="A14"/>
      <c r="B14"/>
      <c r="C14"/>
      <c r="D14"/>
    </row>
    <row r="15" spans="1:11">
      <c r="A15"/>
      <c r="B15"/>
      <c r="C15"/>
      <c r="D15"/>
    </row>
    <row r="16" spans="1:11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</sheetData>
  <autoFilter ref="G4:K8"/>
  <pageMargins left="0.7" right="0.7" top="0.75" bottom="0.75" header="0.3" footer="0.3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C20" sqref="C20"/>
    </sheetView>
  </sheetViews>
  <sheetFormatPr defaultColWidth="8.75" defaultRowHeight="15.5"/>
  <cols>
    <col min="1" max="1" width="22.33203125" customWidth="1"/>
    <col min="2" max="2" width="14.33203125" customWidth="1"/>
    <col min="3" max="3" width="15.6640625" style="73" customWidth="1"/>
    <col min="4" max="4" width="16.4140625" style="73" customWidth="1"/>
    <col min="5" max="5" width="13.6640625" style="73" customWidth="1"/>
    <col min="6" max="6" width="4.6640625" customWidth="1"/>
    <col min="7" max="8" width="4.75" customWidth="1"/>
  </cols>
  <sheetData>
    <row r="1" spans="1:6">
      <c r="A1" s="13" t="s">
        <v>10</v>
      </c>
      <c r="B1" s="14">
        <v>1</v>
      </c>
    </row>
    <row r="2" spans="1:6">
      <c r="A2" s="13" t="s">
        <v>11</v>
      </c>
      <c r="B2" t="s">
        <v>340</v>
      </c>
    </row>
    <row r="4" spans="1:6">
      <c r="A4" s="13" t="s">
        <v>25</v>
      </c>
      <c r="B4" s="13" t="s">
        <v>1</v>
      </c>
      <c r="C4" s="73" t="s">
        <v>106</v>
      </c>
      <c r="D4" t="s">
        <v>103</v>
      </c>
      <c r="E4" s="73" t="s">
        <v>104</v>
      </c>
      <c r="F4" t="s">
        <v>102</v>
      </c>
    </row>
    <row r="5" spans="1:6">
      <c r="C5"/>
      <c r="D5"/>
      <c r="E5"/>
    </row>
    <row r="6" spans="1:6">
      <c r="C6"/>
      <c r="D6"/>
      <c r="E6"/>
    </row>
    <row r="7" spans="1:6">
      <c r="C7"/>
      <c r="D7"/>
      <c r="E7"/>
    </row>
    <row r="8" spans="1:6">
      <c r="C8"/>
      <c r="D8"/>
      <c r="E8"/>
    </row>
    <row r="9" spans="1:6">
      <c r="C9"/>
      <c r="D9"/>
      <c r="E9"/>
    </row>
    <row r="10" spans="1:6">
      <c r="C10"/>
      <c r="D10"/>
      <c r="E10"/>
    </row>
    <row r="11" spans="1:6">
      <c r="C11"/>
      <c r="D11"/>
      <c r="E11"/>
    </row>
    <row r="12" spans="1:6">
      <c r="C12"/>
      <c r="D12"/>
      <c r="E12"/>
    </row>
    <row r="13" spans="1:6">
      <c r="C13"/>
      <c r="D13"/>
      <c r="E13"/>
    </row>
    <row r="14" spans="1:6">
      <c r="C14"/>
      <c r="D14"/>
      <c r="E14"/>
    </row>
    <row r="15" spans="1:6">
      <c r="C15"/>
      <c r="D15"/>
      <c r="E15"/>
    </row>
    <row r="16" spans="1:6">
      <c r="C16"/>
      <c r="D16"/>
      <c r="E16"/>
    </row>
    <row r="17" spans="3:5">
      <c r="C17"/>
      <c r="D17"/>
      <c r="E17"/>
    </row>
    <row r="18" spans="3:5">
      <c r="C18"/>
      <c r="D18"/>
      <c r="E18"/>
    </row>
    <row r="19" spans="3:5">
      <c r="C19"/>
      <c r="D19"/>
      <c r="E19"/>
    </row>
    <row r="20" spans="3:5">
      <c r="C20"/>
      <c r="D20"/>
      <c r="E20"/>
    </row>
    <row r="21" spans="3:5">
      <c r="C21"/>
      <c r="D21"/>
      <c r="E21"/>
    </row>
    <row r="22" spans="3:5">
      <c r="C22"/>
      <c r="D22"/>
      <c r="E22"/>
    </row>
    <row r="23" spans="3:5">
      <c r="C23"/>
      <c r="D23"/>
      <c r="E23"/>
    </row>
    <row r="24" spans="3:5">
      <c r="C24"/>
      <c r="D24"/>
      <c r="E24"/>
    </row>
    <row r="25" spans="3:5">
      <c r="C25"/>
      <c r="D25"/>
      <c r="E25"/>
    </row>
    <row r="26" spans="3:5">
      <c r="C26"/>
      <c r="D26"/>
      <c r="E26"/>
    </row>
    <row r="27" spans="3:5">
      <c r="C27"/>
      <c r="D27"/>
      <c r="E27"/>
    </row>
    <row r="28" spans="3:5">
      <c r="C28"/>
      <c r="D28"/>
      <c r="E28"/>
    </row>
    <row r="29" spans="3:5">
      <c r="C29"/>
      <c r="D29"/>
      <c r="E29"/>
    </row>
    <row r="30" spans="3:5">
      <c r="C30"/>
      <c r="D30"/>
      <c r="E30"/>
    </row>
    <row r="31" spans="3:5">
      <c r="C31"/>
      <c r="D31"/>
      <c r="E31"/>
    </row>
    <row r="32" spans="3:5">
      <c r="C32"/>
      <c r="D32"/>
      <c r="E32"/>
    </row>
    <row r="33" spans="3:5">
      <c r="C33"/>
      <c r="D33"/>
      <c r="E33"/>
    </row>
    <row r="34" spans="3:5">
      <c r="C34"/>
      <c r="D34"/>
      <c r="E34"/>
    </row>
    <row r="35" spans="3:5">
      <c r="C35"/>
      <c r="D35"/>
      <c r="E35"/>
    </row>
    <row r="36" spans="3:5">
      <c r="C36"/>
      <c r="D36"/>
      <c r="E36"/>
    </row>
    <row r="37" spans="3:5">
      <c r="C37"/>
      <c r="D37"/>
      <c r="E37"/>
    </row>
    <row r="38" spans="3:5">
      <c r="C38"/>
      <c r="D38"/>
      <c r="E38"/>
    </row>
    <row r="39" spans="3:5">
      <c r="C39"/>
      <c r="D39"/>
      <c r="E39"/>
    </row>
    <row r="40" spans="3:5">
      <c r="C40"/>
      <c r="D40"/>
      <c r="E40"/>
    </row>
    <row r="41" spans="3:5">
      <c r="C41"/>
      <c r="D41"/>
      <c r="E41"/>
    </row>
    <row r="42" spans="3:5">
      <c r="C42"/>
      <c r="D42"/>
      <c r="E42"/>
    </row>
    <row r="43" spans="3:5">
      <c r="C43"/>
      <c r="D43"/>
      <c r="E43"/>
    </row>
    <row r="44" spans="3:5">
      <c r="C44"/>
      <c r="D44"/>
      <c r="E44"/>
    </row>
    <row r="45" spans="3:5">
      <c r="C45"/>
      <c r="D45"/>
      <c r="E45"/>
    </row>
    <row r="46" spans="3:5">
      <c r="C46"/>
      <c r="D46"/>
      <c r="E46"/>
    </row>
    <row r="47" spans="3:5">
      <c r="C47"/>
      <c r="D47"/>
      <c r="E47"/>
    </row>
    <row r="48" spans="3:5">
      <c r="C48"/>
      <c r="D48"/>
      <c r="E48"/>
    </row>
    <row r="49" spans="3:5">
      <c r="C49"/>
      <c r="D49"/>
      <c r="E49"/>
    </row>
    <row r="50" spans="3:5">
      <c r="C50"/>
      <c r="D50"/>
      <c r="E50"/>
    </row>
    <row r="51" spans="3:5">
      <c r="C51"/>
      <c r="D51"/>
      <c r="E51"/>
    </row>
    <row r="52" spans="3:5">
      <c r="C52"/>
      <c r="D52"/>
      <c r="E52"/>
    </row>
    <row r="53" spans="3:5">
      <c r="C53"/>
      <c r="D53"/>
      <c r="E53"/>
    </row>
    <row r="54" spans="3:5">
      <c r="C54"/>
      <c r="D54"/>
      <c r="E54"/>
    </row>
    <row r="55" spans="3:5">
      <c r="C55"/>
      <c r="D55"/>
      <c r="E55"/>
    </row>
    <row r="56" spans="3:5">
      <c r="C56"/>
      <c r="D56"/>
      <c r="E56"/>
    </row>
    <row r="57" spans="3:5">
      <c r="C57"/>
      <c r="D57"/>
      <c r="E57"/>
    </row>
    <row r="58" spans="3:5">
      <c r="C58"/>
      <c r="D58"/>
      <c r="E58"/>
    </row>
    <row r="59" spans="3:5">
      <c r="C59"/>
      <c r="D59"/>
      <c r="E59"/>
    </row>
    <row r="60" spans="3:5">
      <c r="C60"/>
      <c r="D60"/>
      <c r="E60"/>
    </row>
    <row r="61" spans="3:5">
      <c r="C61"/>
      <c r="D61"/>
      <c r="E61"/>
    </row>
    <row r="62" spans="3:5">
      <c r="C62"/>
      <c r="D62"/>
      <c r="E62"/>
    </row>
    <row r="63" spans="3:5">
      <c r="C63"/>
      <c r="D63"/>
      <c r="E63"/>
    </row>
    <row r="64" spans="3:5">
      <c r="C64"/>
      <c r="D64"/>
      <c r="E64"/>
    </row>
    <row r="65" spans="3:5">
      <c r="C65"/>
      <c r="D65"/>
      <c r="E65"/>
    </row>
    <row r="66" spans="3:5">
      <c r="C66"/>
      <c r="D66"/>
      <c r="E66"/>
    </row>
    <row r="67" spans="3:5">
      <c r="C67"/>
      <c r="D67"/>
      <c r="E67"/>
    </row>
    <row r="68" spans="3:5">
      <c r="C68"/>
      <c r="D68"/>
      <c r="E68"/>
    </row>
    <row r="69" spans="3:5">
      <c r="C69"/>
      <c r="D69"/>
      <c r="E69"/>
    </row>
    <row r="70" spans="3:5">
      <c r="C70"/>
      <c r="D70"/>
      <c r="E70"/>
    </row>
    <row r="71" spans="3:5">
      <c r="C71"/>
      <c r="D71"/>
      <c r="E71"/>
    </row>
    <row r="72" spans="3:5">
      <c r="C72"/>
      <c r="D72"/>
      <c r="E72"/>
    </row>
    <row r="73" spans="3:5">
      <c r="C73"/>
      <c r="D73"/>
      <c r="E73"/>
    </row>
    <row r="74" spans="3:5">
      <c r="C74"/>
      <c r="D74"/>
      <c r="E74"/>
    </row>
    <row r="75" spans="3:5">
      <c r="C75"/>
      <c r="D75"/>
      <c r="E75"/>
    </row>
    <row r="76" spans="3:5">
      <c r="C76"/>
      <c r="D76"/>
      <c r="E76"/>
    </row>
    <row r="77" spans="3:5">
      <c r="C77"/>
      <c r="D77"/>
      <c r="E77"/>
    </row>
    <row r="78" spans="3:5">
      <c r="C78"/>
      <c r="D78"/>
      <c r="E78"/>
    </row>
    <row r="79" spans="3:5">
      <c r="C79"/>
      <c r="D79"/>
      <c r="E79"/>
    </row>
    <row r="80" spans="3:5">
      <c r="C80"/>
      <c r="D80"/>
      <c r="E80"/>
    </row>
    <row r="81" spans="3:5">
      <c r="C81"/>
      <c r="D81"/>
      <c r="E81"/>
    </row>
    <row r="82" spans="3:5">
      <c r="C82"/>
      <c r="D82"/>
      <c r="E82"/>
    </row>
    <row r="83" spans="3:5">
      <c r="C83"/>
      <c r="D83"/>
      <c r="E83"/>
    </row>
    <row r="84" spans="3:5">
      <c r="C84"/>
      <c r="D84"/>
      <c r="E84"/>
    </row>
    <row r="85" spans="3:5">
      <c r="C85"/>
      <c r="D85"/>
      <c r="E85"/>
    </row>
    <row r="86" spans="3:5">
      <c r="C86"/>
      <c r="D86"/>
      <c r="E86"/>
    </row>
    <row r="87" spans="3:5">
      <c r="E87"/>
    </row>
    <row r="88" spans="3:5">
      <c r="E88"/>
    </row>
    <row r="89" spans="3:5">
      <c r="E89"/>
    </row>
  </sheetData>
  <pageMargins left="0.23622047244094491" right="0.19685039370078741" top="0.23622047244094491" bottom="0.19685039370078741" header="0.19685039370078741" footer="0.19685039370078741"/>
  <pageSetup paperSize="9" scale="98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9"/>
  <sheetViews>
    <sheetView zoomScale="9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236" sqref="D236"/>
    </sheetView>
  </sheetViews>
  <sheetFormatPr defaultColWidth="10.75" defaultRowHeight="15.5"/>
  <cols>
    <col min="1" max="1" width="39.33203125" style="1" bestFit="1" customWidth="1"/>
    <col min="2" max="2" width="39.75" style="1" bestFit="1" customWidth="1"/>
    <col min="3" max="3" width="10.75" style="1" bestFit="1" customWidth="1"/>
    <col min="4" max="4" width="11" style="1" bestFit="1" customWidth="1"/>
    <col min="5" max="5" width="10.08203125" style="1" customWidth="1"/>
    <col min="6" max="6" width="10.75" style="1" customWidth="1"/>
    <col min="7" max="7" width="8.33203125" style="1" bestFit="1" customWidth="1"/>
    <col min="8" max="8" width="10.33203125" style="1" customWidth="1"/>
    <col min="9" max="9" width="10" style="1" customWidth="1"/>
    <col min="10" max="10" width="10.75" style="1" customWidth="1"/>
    <col min="11" max="12" width="10.25" style="1" bestFit="1" customWidth="1"/>
    <col min="13" max="13" width="15.75" style="3" bestFit="1" customWidth="1"/>
    <col min="14" max="17" width="11" style="1" customWidth="1"/>
    <col min="18" max="19" width="10.75" style="3"/>
    <col min="20" max="20" width="37.08203125" style="1" customWidth="1"/>
    <col min="21" max="28" width="11" style="1" customWidth="1"/>
    <col min="29" max="16384" width="10.75" style="1"/>
  </cols>
  <sheetData>
    <row r="1" spans="1:28" ht="25.5" customHeight="1">
      <c r="A1" s="23"/>
      <c r="B1" s="24"/>
      <c r="C1" s="24"/>
      <c r="D1" s="25"/>
      <c r="E1" s="24"/>
      <c r="F1" s="539" t="s">
        <v>107</v>
      </c>
      <c r="G1" s="539"/>
      <c r="H1" s="539"/>
      <c r="I1" s="539"/>
      <c r="J1" s="540" t="s">
        <v>90</v>
      </c>
      <c r="K1" s="540"/>
      <c r="L1" s="540"/>
      <c r="M1" s="540"/>
      <c r="N1" s="539" t="s">
        <v>108</v>
      </c>
      <c r="O1" s="539"/>
      <c r="P1" s="539"/>
      <c r="Q1" s="539"/>
      <c r="R1" s="538" t="s">
        <v>129</v>
      </c>
      <c r="S1" s="538" t="s">
        <v>142</v>
      </c>
      <c r="T1" s="56" t="s">
        <v>144</v>
      </c>
      <c r="U1" s="26" t="s">
        <v>45</v>
      </c>
      <c r="V1" s="26" t="s">
        <v>46</v>
      </c>
      <c r="W1" s="26" t="s">
        <v>47</v>
      </c>
      <c r="X1" s="26" t="s">
        <v>48</v>
      </c>
      <c r="Y1" s="27" t="s">
        <v>45</v>
      </c>
      <c r="Z1" s="27" t="s">
        <v>46</v>
      </c>
      <c r="AA1" s="28" t="s">
        <v>47</v>
      </c>
      <c r="AB1" s="28" t="s">
        <v>48</v>
      </c>
    </row>
    <row r="2" spans="1:28" ht="62">
      <c r="A2" s="8" t="s">
        <v>91</v>
      </c>
      <c r="B2" s="8" t="s">
        <v>92</v>
      </c>
      <c r="C2" s="9" t="s">
        <v>93</v>
      </c>
      <c r="D2" s="10" t="s">
        <v>90</v>
      </c>
      <c r="E2" s="9" t="s">
        <v>94</v>
      </c>
      <c r="F2" s="11" t="s">
        <v>95</v>
      </c>
      <c r="G2" s="11" t="s">
        <v>96</v>
      </c>
      <c r="H2" s="11" t="s">
        <v>97</v>
      </c>
      <c r="I2" s="11" t="s">
        <v>98</v>
      </c>
      <c r="J2" s="12" t="s">
        <v>95</v>
      </c>
      <c r="K2" s="12" t="s">
        <v>99</v>
      </c>
      <c r="L2" s="12" t="s">
        <v>100</v>
      </c>
      <c r="M2" s="12" t="s">
        <v>98</v>
      </c>
      <c r="N2" s="11" t="s">
        <v>95</v>
      </c>
      <c r="O2" s="11" t="s">
        <v>99</v>
      </c>
      <c r="P2" s="11" t="s">
        <v>100</v>
      </c>
      <c r="Q2" s="11" t="s">
        <v>98</v>
      </c>
      <c r="R2" s="538"/>
      <c r="S2" s="538"/>
      <c r="T2" s="29" t="s">
        <v>127</v>
      </c>
      <c r="U2" s="19">
        <v>7</v>
      </c>
      <c r="V2" s="19">
        <v>7</v>
      </c>
      <c r="W2" s="19"/>
      <c r="X2" s="19">
        <v>7</v>
      </c>
      <c r="Y2" s="20">
        <f>(33/8)*3</f>
        <v>12.375</v>
      </c>
      <c r="Z2" s="20">
        <f>33/8</f>
        <v>4.125</v>
      </c>
      <c r="AA2" s="19"/>
      <c r="AB2" s="20">
        <f>(33/8)*3</f>
        <v>12.375</v>
      </c>
    </row>
    <row r="3" spans="1:28">
      <c r="A3" s="30" t="s">
        <v>116</v>
      </c>
      <c r="B3" s="19" t="s">
        <v>7</v>
      </c>
      <c r="C3" s="31">
        <v>0.14583333333333334</v>
      </c>
      <c r="D3" s="67">
        <v>15</v>
      </c>
      <c r="E3" s="32"/>
      <c r="F3" s="33">
        <v>0.5</v>
      </c>
      <c r="G3" s="34">
        <f t="shared" ref="G3:G12" si="0">IFERROR(VLOOKUP($B3,$T$1:$AB$34,3,0),0)</f>
        <v>8</v>
      </c>
      <c r="H3" s="35">
        <f>(C3*24)/(SUM($C$3:$C$11)*24)</f>
        <v>0.37168141592920356</v>
      </c>
      <c r="I3" s="36">
        <f>G3*H3</f>
        <v>2.9734513274336285</v>
      </c>
      <c r="J3" s="33">
        <v>0.25</v>
      </c>
      <c r="K3" s="37">
        <f t="shared" ref="K3:K12" si="1">IFERROR(VLOOKUP($B3,$T$1:$AB$34,7,0),0)</f>
        <v>3.25</v>
      </c>
      <c r="L3" s="36">
        <f>IFERROR(D3/(C3*24),0)</f>
        <v>4.2857142857142856</v>
      </c>
      <c r="M3" s="60"/>
      <c r="N3" s="33">
        <v>0.25</v>
      </c>
      <c r="O3" s="39">
        <v>3.5</v>
      </c>
      <c r="P3" s="40">
        <f>(SUM(E3:E12)/((SUM(C3:C11)*24)))</f>
        <v>0</v>
      </c>
      <c r="Q3" s="38"/>
      <c r="R3" s="3">
        <f>(I13+M13)/2</f>
        <v>7.5064594484918103</v>
      </c>
      <c r="S3" s="65" t="e">
        <f>F3*I13+J3*M13+N3*Q13</f>
        <v>#DIV/0!</v>
      </c>
      <c r="T3" s="29" t="s">
        <v>76</v>
      </c>
      <c r="U3" s="19">
        <v>7</v>
      </c>
      <c r="V3" s="19"/>
      <c r="W3" s="19">
        <v>7</v>
      </c>
      <c r="X3" s="19"/>
      <c r="Y3" s="20">
        <f>1000/8</f>
        <v>125</v>
      </c>
      <c r="Z3" s="20"/>
      <c r="AA3" s="20">
        <f>(33/8)*3</f>
        <v>12.375</v>
      </c>
      <c r="AB3" s="19"/>
    </row>
    <row r="4" spans="1:28">
      <c r="A4" s="41"/>
      <c r="B4" s="19" t="s">
        <v>88</v>
      </c>
      <c r="C4" s="31">
        <v>0.13194444444444445</v>
      </c>
      <c r="D4" s="67">
        <v>12</v>
      </c>
      <c r="E4" s="32"/>
      <c r="F4" s="33"/>
      <c r="G4" s="34">
        <f t="shared" si="0"/>
        <v>7</v>
      </c>
      <c r="H4" s="35">
        <f t="shared" ref="H4:H12" si="2">(C4*24)/(SUM($C$3:$C$11)*24)</f>
        <v>0.33628318584070804</v>
      </c>
      <c r="I4" s="36">
        <f t="shared" ref="I4:I12" si="3">G4*H4</f>
        <v>2.3539823008849563</v>
      </c>
      <c r="J4" s="33"/>
      <c r="K4" s="37">
        <f t="shared" si="1"/>
        <v>4.125</v>
      </c>
      <c r="L4" s="36">
        <f t="shared" ref="L4:L12" si="4">IFERROR(D4/(C4*24),0)</f>
        <v>3.7894736842105261</v>
      </c>
      <c r="M4" s="60"/>
      <c r="N4" s="33"/>
      <c r="O4" s="39"/>
      <c r="P4" s="40"/>
      <c r="Q4" s="38"/>
      <c r="T4" s="29" t="s">
        <v>88</v>
      </c>
      <c r="U4" s="19">
        <v>7</v>
      </c>
      <c r="V4" s="19">
        <v>7</v>
      </c>
      <c r="W4" s="19"/>
      <c r="X4" s="19">
        <v>7</v>
      </c>
      <c r="Y4" s="20">
        <f>(33/8)*3</f>
        <v>12.375</v>
      </c>
      <c r="Z4" s="20">
        <f>33/8</f>
        <v>4.125</v>
      </c>
      <c r="AA4" s="19"/>
      <c r="AB4" s="20">
        <f>(33/8)*3</f>
        <v>12.375</v>
      </c>
    </row>
    <row r="5" spans="1:28">
      <c r="A5" s="41"/>
      <c r="B5" s="19" t="s">
        <v>75</v>
      </c>
      <c r="C5" s="31">
        <v>0.11458333333333333</v>
      </c>
      <c r="D5" s="67">
        <v>8</v>
      </c>
      <c r="E5" s="32"/>
      <c r="F5" s="33"/>
      <c r="G5" s="34">
        <f t="shared" si="0"/>
        <v>7</v>
      </c>
      <c r="H5" s="35">
        <f t="shared" si="2"/>
        <v>0.29203539823008851</v>
      </c>
      <c r="I5" s="36">
        <f t="shared" si="3"/>
        <v>2.0442477876106198</v>
      </c>
      <c r="J5" s="33"/>
      <c r="K5" s="37">
        <f t="shared" si="1"/>
        <v>4.125</v>
      </c>
      <c r="L5" s="36">
        <f t="shared" si="4"/>
        <v>2.9090909090909092</v>
      </c>
      <c r="M5" s="60"/>
      <c r="N5" s="33"/>
      <c r="O5" s="39"/>
      <c r="P5" s="40"/>
      <c r="Q5" s="38"/>
      <c r="T5" s="19" t="s">
        <v>78</v>
      </c>
      <c r="U5" s="19">
        <v>7</v>
      </c>
      <c r="V5" s="19"/>
      <c r="W5" s="19"/>
      <c r="X5" s="19"/>
      <c r="Y5" s="20">
        <f>320/8</f>
        <v>40</v>
      </c>
      <c r="Z5" s="20"/>
      <c r="AA5" s="19"/>
      <c r="AB5" s="19"/>
    </row>
    <row r="6" spans="1:28">
      <c r="A6" s="41"/>
      <c r="B6" s="19"/>
      <c r="C6" s="31"/>
      <c r="D6" s="67"/>
      <c r="E6" s="32"/>
      <c r="F6" s="33"/>
      <c r="G6" s="34">
        <f t="shared" si="0"/>
        <v>0</v>
      </c>
      <c r="H6" s="35">
        <f t="shared" si="2"/>
        <v>0</v>
      </c>
      <c r="I6" s="36">
        <f t="shared" si="3"/>
        <v>0</v>
      </c>
      <c r="J6" s="33"/>
      <c r="K6" s="37">
        <f t="shared" si="1"/>
        <v>0</v>
      </c>
      <c r="L6" s="36">
        <f t="shared" si="4"/>
        <v>0</v>
      </c>
      <c r="M6" s="60"/>
      <c r="N6" s="33"/>
      <c r="O6" s="39"/>
      <c r="P6" s="40"/>
      <c r="Q6" s="38"/>
      <c r="T6" s="19" t="s">
        <v>63</v>
      </c>
      <c r="U6" s="19">
        <v>7</v>
      </c>
      <c r="V6" s="19">
        <v>7</v>
      </c>
      <c r="W6" s="19"/>
      <c r="X6" s="19">
        <v>7</v>
      </c>
      <c r="Y6" s="20">
        <f>(33/8)*3</f>
        <v>12.375</v>
      </c>
      <c r="Z6" s="20">
        <f>33/8</f>
        <v>4.125</v>
      </c>
      <c r="AA6" s="19"/>
      <c r="AB6" s="20">
        <f>(33/8)*3</f>
        <v>12.375</v>
      </c>
    </row>
    <row r="7" spans="1:28">
      <c r="A7" s="41"/>
      <c r="B7" s="19"/>
      <c r="C7" s="31"/>
      <c r="D7" s="67"/>
      <c r="E7" s="32"/>
      <c r="F7" s="33"/>
      <c r="G7" s="34">
        <f t="shared" si="0"/>
        <v>0</v>
      </c>
      <c r="H7" s="35">
        <f t="shared" si="2"/>
        <v>0</v>
      </c>
      <c r="I7" s="36">
        <f t="shared" si="3"/>
        <v>0</v>
      </c>
      <c r="J7" s="33"/>
      <c r="K7" s="37">
        <f t="shared" si="1"/>
        <v>0</v>
      </c>
      <c r="L7" s="36">
        <f t="shared" si="4"/>
        <v>0</v>
      </c>
      <c r="M7" s="60"/>
      <c r="N7" s="33"/>
      <c r="O7" s="39"/>
      <c r="P7" s="40"/>
      <c r="Q7" s="38"/>
      <c r="T7" s="29" t="s">
        <v>79</v>
      </c>
      <c r="U7" s="19">
        <v>7</v>
      </c>
      <c r="V7" s="19">
        <v>7</v>
      </c>
      <c r="W7" s="19"/>
      <c r="X7" s="19">
        <v>7</v>
      </c>
      <c r="Y7" s="20">
        <f>(320/5/8)</f>
        <v>8</v>
      </c>
      <c r="Z7" s="20">
        <f>(320/5/8)</f>
        <v>8</v>
      </c>
      <c r="AA7" s="19"/>
      <c r="AB7" s="20">
        <f>(320/5/8)</f>
        <v>8</v>
      </c>
    </row>
    <row r="8" spans="1:28">
      <c r="A8" s="41"/>
      <c r="B8" s="19"/>
      <c r="C8" s="31"/>
      <c r="D8" s="67"/>
      <c r="E8" s="32"/>
      <c r="F8" s="33"/>
      <c r="G8" s="34">
        <f t="shared" si="0"/>
        <v>0</v>
      </c>
      <c r="H8" s="35">
        <f t="shared" si="2"/>
        <v>0</v>
      </c>
      <c r="I8" s="36">
        <f t="shared" si="3"/>
        <v>0</v>
      </c>
      <c r="J8" s="33"/>
      <c r="K8" s="37">
        <f t="shared" si="1"/>
        <v>0</v>
      </c>
      <c r="L8" s="36">
        <f t="shared" si="4"/>
        <v>0</v>
      </c>
      <c r="M8" s="60"/>
      <c r="N8" s="33"/>
      <c r="O8" s="39"/>
      <c r="P8" s="40"/>
      <c r="Q8" s="38"/>
      <c r="T8" s="29" t="s">
        <v>128</v>
      </c>
      <c r="U8" s="19">
        <v>7</v>
      </c>
      <c r="V8" s="19"/>
      <c r="W8" s="19"/>
      <c r="X8" s="19">
        <v>8</v>
      </c>
      <c r="Y8" s="20">
        <f>1000/8</f>
        <v>125</v>
      </c>
      <c r="Z8" s="20"/>
      <c r="AA8" s="19"/>
      <c r="AB8" s="20">
        <f>1000/8</f>
        <v>125</v>
      </c>
    </row>
    <row r="9" spans="1:28">
      <c r="A9" s="41"/>
      <c r="B9" s="19"/>
      <c r="C9" s="31"/>
      <c r="D9" s="67"/>
      <c r="E9" s="32"/>
      <c r="F9" s="33"/>
      <c r="G9" s="34">
        <f t="shared" si="0"/>
        <v>0</v>
      </c>
      <c r="H9" s="35">
        <f t="shared" si="2"/>
        <v>0</v>
      </c>
      <c r="I9" s="36">
        <f t="shared" si="3"/>
        <v>0</v>
      </c>
      <c r="J9" s="33"/>
      <c r="K9" s="37">
        <f t="shared" si="1"/>
        <v>0</v>
      </c>
      <c r="L9" s="36">
        <f t="shared" si="4"/>
        <v>0</v>
      </c>
      <c r="M9" s="60"/>
      <c r="N9" s="33"/>
      <c r="O9" s="39"/>
      <c r="P9" s="40"/>
      <c r="Q9" s="38"/>
      <c r="T9" s="42" t="s">
        <v>68</v>
      </c>
      <c r="U9" s="19">
        <v>9</v>
      </c>
      <c r="V9" s="19">
        <v>10</v>
      </c>
      <c r="W9" s="19"/>
      <c r="X9" s="19"/>
      <c r="Y9" s="20">
        <f>(26/8)*3</f>
        <v>9.75</v>
      </c>
      <c r="Z9" s="20">
        <f>(26/8)</f>
        <v>3.25</v>
      </c>
      <c r="AA9" s="19"/>
      <c r="AB9" s="19"/>
    </row>
    <row r="10" spans="1:28">
      <c r="A10" s="41"/>
      <c r="B10" s="19"/>
      <c r="C10" s="31"/>
      <c r="D10" s="67"/>
      <c r="E10" s="32"/>
      <c r="F10" s="33"/>
      <c r="G10" s="34">
        <f t="shared" si="0"/>
        <v>0</v>
      </c>
      <c r="H10" s="35">
        <f t="shared" si="2"/>
        <v>0</v>
      </c>
      <c r="I10" s="36">
        <f t="shared" si="3"/>
        <v>0</v>
      </c>
      <c r="J10" s="33"/>
      <c r="K10" s="37">
        <f t="shared" si="1"/>
        <v>0</v>
      </c>
      <c r="L10" s="36">
        <f t="shared" si="4"/>
        <v>0</v>
      </c>
      <c r="M10" s="60"/>
      <c r="N10" s="33"/>
      <c r="O10" s="39"/>
      <c r="P10" s="40"/>
      <c r="Q10" s="38"/>
      <c r="T10" s="42" t="s">
        <v>69</v>
      </c>
      <c r="U10" s="19">
        <v>10</v>
      </c>
      <c r="V10" s="19"/>
      <c r="W10" s="19"/>
      <c r="X10" s="19"/>
      <c r="Y10" s="20">
        <f>Y9</f>
        <v>9.75</v>
      </c>
      <c r="Z10" s="20"/>
      <c r="AA10" s="19"/>
      <c r="AB10" s="19"/>
    </row>
    <row r="11" spans="1:28">
      <c r="A11" s="41"/>
      <c r="B11" s="19"/>
      <c r="C11" s="31"/>
      <c r="D11" s="67"/>
      <c r="E11" s="32"/>
      <c r="F11" s="33"/>
      <c r="G11" s="34">
        <f t="shared" si="0"/>
        <v>0</v>
      </c>
      <c r="H11" s="35">
        <f t="shared" si="2"/>
        <v>0</v>
      </c>
      <c r="I11" s="36">
        <f t="shared" si="3"/>
        <v>0</v>
      </c>
      <c r="J11" s="33"/>
      <c r="K11" s="37">
        <f t="shared" si="1"/>
        <v>0</v>
      </c>
      <c r="L11" s="36">
        <f t="shared" si="4"/>
        <v>0</v>
      </c>
      <c r="M11" s="60"/>
      <c r="N11" s="33"/>
      <c r="O11" s="39"/>
      <c r="P11" s="40"/>
      <c r="Q11" s="38"/>
      <c r="T11" s="42" t="s">
        <v>70</v>
      </c>
      <c r="U11" s="19">
        <v>8</v>
      </c>
      <c r="V11" s="19">
        <v>9</v>
      </c>
      <c r="W11" s="19"/>
      <c r="X11" s="19">
        <v>8</v>
      </c>
      <c r="Y11" s="20">
        <f>(26/8)*3</f>
        <v>9.75</v>
      </c>
      <c r="Z11" s="20">
        <f>26/8</f>
        <v>3.25</v>
      </c>
      <c r="AA11" s="19"/>
      <c r="AB11" s="20">
        <f>(26/8)*3</f>
        <v>9.75</v>
      </c>
    </row>
    <row r="12" spans="1:28">
      <c r="A12" s="41"/>
      <c r="B12" s="19" t="s">
        <v>89</v>
      </c>
      <c r="C12" s="31"/>
      <c r="D12" s="67"/>
      <c r="E12" s="32"/>
      <c r="F12" s="33"/>
      <c r="G12" s="34">
        <f t="shared" si="0"/>
        <v>-20</v>
      </c>
      <c r="H12" s="35">
        <f t="shared" si="2"/>
        <v>0</v>
      </c>
      <c r="I12" s="36">
        <f t="shared" si="3"/>
        <v>0</v>
      </c>
      <c r="J12" s="33"/>
      <c r="K12" s="37">
        <f t="shared" si="1"/>
        <v>0</v>
      </c>
      <c r="L12" s="36">
        <f t="shared" si="4"/>
        <v>0</v>
      </c>
      <c r="M12" s="60"/>
      <c r="N12" s="33"/>
      <c r="O12" s="39"/>
      <c r="P12" s="40"/>
      <c r="Q12" s="38"/>
      <c r="T12" s="42" t="s">
        <v>7</v>
      </c>
      <c r="U12" s="19">
        <v>8</v>
      </c>
      <c r="V12" s="19">
        <v>8</v>
      </c>
      <c r="W12" s="19"/>
      <c r="X12" s="19">
        <v>8</v>
      </c>
      <c r="Y12" s="20">
        <f>(26/8)*3</f>
        <v>9.75</v>
      </c>
      <c r="Z12" s="20">
        <f>26/8</f>
        <v>3.25</v>
      </c>
      <c r="AA12" s="19"/>
      <c r="AB12" s="20">
        <f>(26/8)*3</f>
        <v>9.75</v>
      </c>
    </row>
    <row r="13" spans="1:28">
      <c r="A13" s="43"/>
      <c r="B13" s="44"/>
      <c r="C13" s="45"/>
      <c r="D13" s="68"/>
      <c r="E13" s="46"/>
      <c r="F13" s="47"/>
      <c r="G13" s="48"/>
      <c r="H13" s="49"/>
      <c r="I13" s="50">
        <f>SUM(I3:I12)</f>
        <v>7.3716814159292046</v>
      </c>
      <c r="J13" s="47"/>
      <c r="K13" s="47">
        <f>AVERAGE(K3:K12)</f>
        <v>1.1499999999999999</v>
      </c>
      <c r="L13" s="47">
        <f>AVERAGE(L3:L12)</f>
        <v>1.0984278879015723</v>
      </c>
      <c r="M13" s="50">
        <f>(L13*8)/K13</f>
        <v>7.641237481054417</v>
      </c>
      <c r="N13" s="47"/>
      <c r="O13" s="47">
        <f>AVERAGE(O3:O12)</f>
        <v>3.5</v>
      </c>
      <c r="P13" s="47">
        <f>AVERAGE(P3:P12)</f>
        <v>0</v>
      </c>
      <c r="Q13" s="50" t="e">
        <f>(O13*8)/P13</f>
        <v>#DIV/0!</v>
      </c>
      <c r="T13" s="19" t="s">
        <v>84</v>
      </c>
      <c r="U13" s="19">
        <v>9</v>
      </c>
      <c r="V13" s="19">
        <v>10</v>
      </c>
      <c r="W13" s="19"/>
      <c r="X13" s="19"/>
      <c r="Y13" s="20">
        <f>(26/8)*3</f>
        <v>9.75</v>
      </c>
      <c r="Z13" s="20">
        <f>26/8</f>
        <v>3.25</v>
      </c>
      <c r="AA13" s="19"/>
      <c r="AB13" s="19"/>
    </row>
    <row r="14" spans="1:28">
      <c r="A14" s="30" t="s">
        <v>117</v>
      </c>
      <c r="B14" s="19" t="s">
        <v>7</v>
      </c>
      <c r="C14" s="31">
        <v>0.14583333333333334</v>
      </c>
      <c r="D14" s="67">
        <v>15</v>
      </c>
      <c r="E14" s="32"/>
      <c r="F14" s="33">
        <v>0.5</v>
      </c>
      <c r="G14" s="34">
        <f t="shared" ref="G14:G23" si="5">IFERROR(VLOOKUP($B14,$T$1:$AB$34,3,0),0)</f>
        <v>8</v>
      </c>
      <c r="H14" s="51">
        <f>(C14*24)/(SUM($C$14:$C$22)*24)</f>
        <v>0.36842105263157893</v>
      </c>
      <c r="I14" s="52">
        <f>G14*H14</f>
        <v>2.9473684210526314</v>
      </c>
      <c r="J14" s="33">
        <v>0.25</v>
      </c>
      <c r="K14" s="37">
        <f t="shared" ref="K14:K23" si="6">IFERROR(VLOOKUP($B14,$T$1:$AB$34,7,0),0)</f>
        <v>3.25</v>
      </c>
      <c r="L14" s="36">
        <f t="shared" ref="L14:L23" si="7">IFERROR(D14/(C14*24),0)</f>
        <v>4.2857142857142856</v>
      </c>
      <c r="M14" s="54"/>
      <c r="N14" s="33">
        <v>0.25</v>
      </c>
      <c r="O14" s="39">
        <v>3.5</v>
      </c>
      <c r="P14" s="39">
        <f>(SUM(E14:E23)/(SUM(C14:C22)*24))</f>
        <v>0</v>
      </c>
      <c r="Q14" s="53"/>
      <c r="R14" s="3">
        <f>(I24+M24)/2</f>
        <v>7.365228929100244</v>
      </c>
      <c r="S14" s="65" t="e">
        <f>F14*I24+J14*M24+N14*Q24</f>
        <v>#DIV/0!</v>
      </c>
      <c r="T14" s="42" t="s">
        <v>71</v>
      </c>
      <c r="U14" s="19">
        <v>8</v>
      </c>
      <c r="V14" s="19"/>
      <c r="W14" s="19"/>
      <c r="X14" s="19"/>
      <c r="Y14" s="20">
        <f>1000/8</f>
        <v>125</v>
      </c>
      <c r="Z14" s="20"/>
      <c r="AA14" s="19"/>
      <c r="AB14" s="19"/>
    </row>
    <row r="15" spans="1:28">
      <c r="A15" s="41"/>
      <c r="B15" s="19" t="s">
        <v>88</v>
      </c>
      <c r="C15" s="31">
        <v>0.13194444444444442</v>
      </c>
      <c r="D15" s="67">
        <v>11</v>
      </c>
      <c r="E15" s="32"/>
      <c r="F15" s="33"/>
      <c r="G15" s="34">
        <f t="shared" si="5"/>
        <v>7</v>
      </c>
      <c r="H15" s="51">
        <f t="shared" ref="H15:H23" si="8">(C15*24)/(SUM($C$14:$C$22)*24)</f>
        <v>0.33333333333333326</v>
      </c>
      <c r="I15" s="52">
        <f t="shared" ref="I15:I23" si="9">G15*H15</f>
        <v>2.333333333333333</v>
      </c>
      <c r="J15" s="33"/>
      <c r="K15" s="37">
        <f t="shared" si="6"/>
        <v>4.125</v>
      </c>
      <c r="L15" s="36">
        <f t="shared" si="7"/>
        <v>3.4736842105263164</v>
      </c>
      <c r="M15" s="54"/>
      <c r="N15" s="33"/>
      <c r="O15" s="39"/>
      <c r="P15" s="39"/>
      <c r="Q15" s="53"/>
      <c r="T15" s="42" t="s">
        <v>75</v>
      </c>
      <c r="U15" s="19">
        <v>7</v>
      </c>
      <c r="V15" s="19">
        <v>7</v>
      </c>
      <c r="W15" s="19"/>
      <c r="X15" s="19">
        <v>7</v>
      </c>
      <c r="Y15" s="20">
        <f>(33/8)*3</f>
        <v>12.375</v>
      </c>
      <c r="Z15" s="20">
        <f>33/8</f>
        <v>4.125</v>
      </c>
      <c r="AA15" s="19"/>
      <c r="AB15" s="20">
        <f>(33/8)*3</f>
        <v>12.375</v>
      </c>
    </row>
    <row r="16" spans="1:28">
      <c r="A16" s="41"/>
      <c r="B16" s="19" t="s">
        <v>75</v>
      </c>
      <c r="C16" s="31">
        <v>0.11805555555555557</v>
      </c>
      <c r="D16" s="67">
        <v>8</v>
      </c>
      <c r="E16" s="32"/>
      <c r="F16" s="33"/>
      <c r="G16" s="34">
        <f t="shared" si="5"/>
        <v>7</v>
      </c>
      <c r="H16" s="51">
        <f t="shared" si="8"/>
        <v>0.29824561403508776</v>
      </c>
      <c r="I16" s="52">
        <f t="shared" si="9"/>
        <v>2.0877192982456143</v>
      </c>
      <c r="J16" s="33"/>
      <c r="K16" s="37">
        <f t="shared" si="6"/>
        <v>4.125</v>
      </c>
      <c r="L16" s="36">
        <f t="shared" si="7"/>
        <v>2.8235294117647056</v>
      </c>
      <c r="M16" s="54"/>
      <c r="N16" s="33"/>
      <c r="O16" s="39"/>
      <c r="P16" s="39"/>
      <c r="Q16" s="53"/>
      <c r="T16" s="42" t="s">
        <v>81</v>
      </c>
      <c r="U16" s="19"/>
      <c r="V16" s="19"/>
      <c r="W16" s="19"/>
      <c r="X16" s="19">
        <v>9</v>
      </c>
      <c r="Y16" s="20"/>
      <c r="Z16" s="20"/>
      <c r="AA16" s="19"/>
      <c r="AB16" s="20">
        <f>13</f>
        <v>13</v>
      </c>
    </row>
    <row r="17" spans="1:28">
      <c r="A17" s="41"/>
      <c r="B17" s="19"/>
      <c r="C17" s="31"/>
      <c r="D17" s="67"/>
      <c r="E17" s="32"/>
      <c r="F17" s="33"/>
      <c r="G17" s="34">
        <f t="shared" si="5"/>
        <v>0</v>
      </c>
      <c r="H17" s="51">
        <f t="shared" si="8"/>
        <v>0</v>
      </c>
      <c r="I17" s="52">
        <f t="shared" si="9"/>
        <v>0</v>
      </c>
      <c r="J17" s="33"/>
      <c r="K17" s="37">
        <f t="shared" si="6"/>
        <v>0</v>
      </c>
      <c r="L17" s="36">
        <f t="shared" si="7"/>
        <v>0</v>
      </c>
      <c r="M17" s="54"/>
      <c r="N17" s="33"/>
      <c r="O17" s="39"/>
      <c r="P17" s="39"/>
      <c r="Q17" s="53"/>
      <c r="T17" s="29" t="s">
        <v>72</v>
      </c>
      <c r="U17" s="19"/>
      <c r="V17" s="19"/>
      <c r="W17" s="19"/>
      <c r="X17" s="19">
        <v>10</v>
      </c>
      <c r="Y17" s="20"/>
      <c r="Z17" s="20"/>
      <c r="AA17" s="19"/>
      <c r="AB17" s="21">
        <f>AB16</f>
        <v>13</v>
      </c>
    </row>
    <row r="18" spans="1:28">
      <c r="A18" s="41"/>
      <c r="B18" s="19"/>
      <c r="C18" s="31"/>
      <c r="D18" s="67"/>
      <c r="E18" s="32"/>
      <c r="F18" s="33"/>
      <c r="G18" s="34">
        <f t="shared" si="5"/>
        <v>0</v>
      </c>
      <c r="H18" s="51">
        <f t="shared" si="8"/>
        <v>0</v>
      </c>
      <c r="I18" s="52">
        <f t="shared" si="9"/>
        <v>0</v>
      </c>
      <c r="J18" s="33"/>
      <c r="K18" s="37">
        <f t="shared" si="6"/>
        <v>0</v>
      </c>
      <c r="L18" s="36">
        <f t="shared" si="7"/>
        <v>0</v>
      </c>
      <c r="M18" s="54"/>
      <c r="N18" s="33"/>
      <c r="O18" s="39"/>
      <c r="P18" s="39"/>
      <c r="Q18" s="53"/>
      <c r="T18" s="29" t="s">
        <v>73</v>
      </c>
      <c r="U18" s="19"/>
      <c r="V18" s="19"/>
      <c r="W18" s="19"/>
      <c r="X18" s="19">
        <v>10</v>
      </c>
      <c r="Y18" s="20"/>
      <c r="Z18" s="20"/>
      <c r="AA18" s="19"/>
      <c r="AB18" s="21">
        <f>AB17</f>
        <v>13</v>
      </c>
    </row>
    <row r="19" spans="1:28">
      <c r="A19" s="41"/>
      <c r="B19" s="19"/>
      <c r="C19" s="31"/>
      <c r="D19" s="67"/>
      <c r="E19" s="32"/>
      <c r="F19" s="33"/>
      <c r="G19" s="34">
        <f t="shared" si="5"/>
        <v>0</v>
      </c>
      <c r="H19" s="51">
        <f t="shared" si="8"/>
        <v>0</v>
      </c>
      <c r="I19" s="52">
        <f t="shared" si="9"/>
        <v>0</v>
      </c>
      <c r="J19" s="33"/>
      <c r="K19" s="37">
        <f t="shared" si="6"/>
        <v>0</v>
      </c>
      <c r="L19" s="36">
        <f t="shared" si="7"/>
        <v>0</v>
      </c>
      <c r="M19" s="54"/>
      <c r="N19" s="33"/>
      <c r="O19" s="39"/>
      <c r="P19" s="39"/>
      <c r="Q19" s="53"/>
      <c r="T19" s="29" t="s">
        <v>85</v>
      </c>
      <c r="U19" s="19">
        <v>8</v>
      </c>
      <c r="V19" s="19">
        <v>8</v>
      </c>
      <c r="W19" s="19"/>
      <c r="X19" s="19">
        <v>10</v>
      </c>
      <c r="Y19" s="20">
        <f>(26/8)*2</f>
        <v>6.5</v>
      </c>
      <c r="Z19" s="20">
        <f>26/8</f>
        <v>3.25</v>
      </c>
      <c r="AA19" s="19"/>
      <c r="AB19" s="20">
        <f>(26/8)*2</f>
        <v>6.5</v>
      </c>
    </row>
    <row r="20" spans="1:28">
      <c r="A20" s="41"/>
      <c r="B20" s="19"/>
      <c r="C20" s="31"/>
      <c r="D20" s="67"/>
      <c r="E20" s="32"/>
      <c r="F20" s="33"/>
      <c r="G20" s="34">
        <f t="shared" si="5"/>
        <v>0</v>
      </c>
      <c r="H20" s="51">
        <f t="shared" si="8"/>
        <v>0</v>
      </c>
      <c r="I20" s="52">
        <f t="shared" si="9"/>
        <v>0</v>
      </c>
      <c r="J20" s="33"/>
      <c r="K20" s="37">
        <f t="shared" si="6"/>
        <v>0</v>
      </c>
      <c r="L20" s="36">
        <f t="shared" si="7"/>
        <v>0</v>
      </c>
      <c r="M20" s="54"/>
      <c r="N20" s="33"/>
      <c r="O20" s="39"/>
      <c r="P20" s="39"/>
      <c r="Q20" s="53"/>
      <c r="T20" s="42" t="s">
        <v>77</v>
      </c>
      <c r="U20" s="19">
        <v>9</v>
      </c>
      <c r="V20" s="19"/>
      <c r="W20" s="19"/>
      <c r="X20" s="19"/>
      <c r="Y20" s="20">
        <f>1000/8</f>
        <v>125</v>
      </c>
      <c r="Z20" s="20"/>
      <c r="AA20" s="19"/>
      <c r="AB20" s="19"/>
    </row>
    <row r="21" spans="1:28">
      <c r="A21" s="41"/>
      <c r="B21" s="19"/>
      <c r="C21" s="31"/>
      <c r="D21" s="67"/>
      <c r="E21" s="32"/>
      <c r="F21" s="33"/>
      <c r="G21" s="34">
        <f t="shared" si="5"/>
        <v>0</v>
      </c>
      <c r="H21" s="51">
        <f t="shared" si="8"/>
        <v>0</v>
      </c>
      <c r="I21" s="52">
        <f t="shared" si="9"/>
        <v>0</v>
      </c>
      <c r="J21" s="33"/>
      <c r="K21" s="37">
        <f t="shared" si="6"/>
        <v>0</v>
      </c>
      <c r="L21" s="36">
        <f t="shared" si="7"/>
        <v>0</v>
      </c>
      <c r="M21" s="54"/>
      <c r="N21" s="33"/>
      <c r="O21" s="39"/>
      <c r="P21" s="39"/>
      <c r="Q21" s="53"/>
      <c r="T21" s="29" t="s">
        <v>80</v>
      </c>
      <c r="U21" s="19">
        <v>8</v>
      </c>
      <c r="V21" s="19"/>
      <c r="W21" s="19"/>
      <c r="X21" s="19"/>
      <c r="Y21" s="20">
        <f>180/8</f>
        <v>22.5</v>
      </c>
      <c r="Z21" s="20"/>
      <c r="AA21" s="19"/>
      <c r="AB21" s="19"/>
    </row>
    <row r="22" spans="1:28">
      <c r="A22" s="41"/>
      <c r="B22" s="19"/>
      <c r="C22" s="31"/>
      <c r="D22" s="67"/>
      <c r="E22" s="32"/>
      <c r="F22" s="33"/>
      <c r="G22" s="34">
        <f t="shared" si="5"/>
        <v>0</v>
      </c>
      <c r="H22" s="51">
        <f t="shared" si="8"/>
        <v>0</v>
      </c>
      <c r="I22" s="52">
        <f t="shared" si="9"/>
        <v>0</v>
      </c>
      <c r="J22" s="33"/>
      <c r="K22" s="37">
        <f t="shared" si="6"/>
        <v>0</v>
      </c>
      <c r="L22" s="36">
        <f t="shared" si="7"/>
        <v>0</v>
      </c>
      <c r="M22" s="54"/>
      <c r="N22" s="33"/>
      <c r="O22" s="39"/>
      <c r="P22" s="39"/>
      <c r="Q22" s="53"/>
      <c r="T22" s="29" t="s">
        <v>80</v>
      </c>
      <c r="U22" s="19">
        <v>8</v>
      </c>
      <c r="V22" s="19"/>
      <c r="W22" s="19"/>
      <c r="X22" s="19"/>
      <c r="Y22" s="20">
        <f>180/8</f>
        <v>22.5</v>
      </c>
      <c r="Z22" s="20"/>
      <c r="AA22" s="19"/>
      <c r="AB22" s="19"/>
    </row>
    <row r="23" spans="1:28">
      <c r="A23" s="41"/>
      <c r="B23" s="19" t="s">
        <v>89</v>
      </c>
      <c r="C23" s="31"/>
      <c r="D23" s="67"/>
      <c r="E23" s="32"/>
      <c r="F23" s="33"/>
      <c r="G23" s="34">
        <f t="shared" si="5"/>
        <v>-20</v>
      </c>
      <c r="H23" s="51">
        <f t="shared" si="8"/>
        <v>0</v>
      </c>
      <c r="I23" s="52">
        <f t="shared" si="9"/>
        <v>0</v>
      </c>
      <c r="J23" s="33"/>
      <c r="K23" s="37">
        <f t="shared" si="6"/>
        <v>0</v>
      </c>
      <c r="L23" s="36">
        <f t="shared" si="7"/>
        <v>0</v>
      </c>
      <c r="M23" s="54"/>
      <c r="N23" s="33"/>
      <c r="O23" s="39"/>
      <c r="P23" s="39"/>
      <c r="Q23" s="53"/>
      <c r="T23" s="42" t="s">
        <v>86</v>
      </c>
      <c r="U23" s="19">
        <v>8</v>
      </c>
      <c r="V23" s="19"/>
      <c r="W23" s="19"/>
      <c r="X23" s="19">
        <v>8</v>
      </c>
      <c r="Y23" s="20">
        <f>(26/8)*3</f>
        <v>9.75</v>
      </c>
      <c r="Z23" s="20"/>
      <c r="AA23" s="19"/>
      <c r="AB23" s="20">
        <f>(420/12.5/7)*3</f>
        <v>14.399999999999999</v>
      </c>
    </row>
    <row r="24" spans="1:28">
      <c r="A24" s="43"/>
      <c r="B24" s="44"/>
      <c r="C24" s="45"/>
      <c r="D24" s="68"/>
      <c r="E24" s="46"/>
      <c r="F24" s="47"/>
      <c r="G24" s="48"/>
      <c r="H24" s="49"/>
      <c r="I24" s="50">
        <f>SUM(I14:I23)</f>
        <v>7.3684210526315788</v>
      </c>
      <c r="J24" s="47"/>
      <c r="K24" s="47">
        <f>AVERAGE(K14:K23)</f>
        <v>1.1499999999999999</v>
      </c>
      <c r="L24" s="47">
        <f>AVERAGE(L14:L23)</f>
        <v>1.0582927908005306</v>
      </c>
      <c r="M24" s="50">
        <f>(L24*8)/K24</f>
        <v>7.3620368055689092</v>
      </c>
      <c r="N24" s="47"/>
      <c r="O24" s="47">
        <f>AVERAGE(O14:O23)</f>
        <v>3.5</v>
      </c>
      <c r="P24" s="47">
        <f>AVERAGE(P14:P23)</f>
        <v>0</v>
      </c>
      <c r="Q24" s="50" t="e">
        <f>(O24*8)/P24</f>
        <v>#DIV/0!</v>
      </c>
      <c r="T24" s="19" t="s">
        <v>87</v>
      </c>
      <c r="U24" s="19">
        <v>7</v>
      </c>
      <c r="V24" s="19">
        <v>7</v>
      </c>
      <c r="W24" s="19"/>
      <c r="X24" s="19">
        <v>7</v>
      </c>
      <c r="Y24" s="20">
        <f>(26/8)*3</f>
        <v>9.75</v>
      </c>
      <c r="Z24" s="20">
        <f>26/8</f>
        <v>3.25</v>
      </c>
      <c r="AA24" s="19"/>
      <c r="AB24" s="20">
        <f>(26/8)*3</f>
        <v>9.75</v>
      </c>
    </row>
    <row r="25" spans="1:28">
      <c r="A25" s="30" t="s">
        <v>39</v>
      </c>
      <c r="B25" s="19"/>
      <c r="C25" s="31"/>
      <c r="D25" s="67"/>
      <c r="E25" s="32"/>
      <c r="F25" s="33">
        <v>0.5</v>
      </c>
      <c r="G25" s="34">
        <f t="shared" ref="G25:G34" si="10">IFERROR(VLOOKUP($B25,$T$1:$AB$34,3,0),0)</f>
        <v>0</v>
      </c>
      <c r="H25" s="35" t="e">
        <f>(C25*24)/(SUM($C$25:$C$33)*24)</f>
        <v>#DIV/0!</v>
      </c>
      <c r="I25" s="20" t="e">
        <f>G25*H25</f>
        <v>#DIV/0!</v>
      </c>
      <c r="J25" s="33">
        <v>0.25</v>
      </c>
      <c r="K25" s="37">
        <f t="shared" ref="K25:K34" si="11">IFERROR(VLOOKUP($B25,$T$1:$AB$34,7,0),0)</f>
        <v>0</v>
      </c>
      <c r="L25" s="36">
        <f t="shared" ref="L25:L34" si="12">IFERROR(D25/(C25*24),0)</f>
        <v>0</v>
      </c>
      <c r="M25" s="36"/>
      <c r="N25" s="33">
        <v>0.25</v>
      </c>
      <c r="O25" s="54">
        <v>3.5</v>
      </c>
      <c r="P25" s="39" t="e">
        <f>(SUM(E25:E34)/(SUM(C25:C33)*24))</f>
        <v>#DIV/0!</v>
      </c>
      <c r="Q25" s="54"/>
      <c r="R25" s="3" t="e">
        <f>(I35+M35)/2</f>
        <v>#DIV/0!</v>
      </c>
      <c r="S25" s="65" t="e">
        <f>F25*I35+J25*M35+N25*Q35</f>
        <v>#DIV/0!</v>
      </c>
      <c r="T25" s="19" t="s">
        <v>9</v>
      </c>
      <c r="U25" s="22">
        <v>7</v>
      </c>
      <c r="V25" s="22">
        <v>7</v>
      </c>
      <c r="W25" s="19">
        <v>7</v>
      </c>
      <c r="X25" s="19">
        <v>7</v>
      </c>
      <c r="Y25" s="20">
        <f>33/8*3</f>
        <v>12.375</v>
      </c>
      <c r="Z25" s="20">
        <f>33/8</f>
        <v>4.125</v>
      </c>
      <c r="AA25" s="20">
        <f>33/8</f>
        <v>4.125</v>
      </c>
      <c r="AB25" s="20">
        <f>33/8*3</f>
        <v>12.375</v>
      </c>
    </row>
    <row r="26" spans="1:28">
      <c r="A26" s="41"/>
      <c r="B26" s="19"/>
      <c r="C26" s="31"/>
      <c r="D26" s="67"/>
      <c r="E26" s="32"/>
      <c r="F26" s="33"/>
      <c r="G26" s="34">
        <f t="shared" si="10"/>
        <v>0</v>
      </c>
      <c r="H26" s="35" t="e">
        <f t="shared" ref="H26:H34" si="13">(C26*24)/(SUM($C$25:$C$33)*24)</f>
        <v>#DIV/0!</v>
      </c>
      <c r="I26" s="20" t="e">
        <f t="shared" ref="I26:I45" si="14">G26*H26</f>
        <v>#DIV/0!</v>
      </c>
      <c r="J26" s="33"/>
      <c r="K26" s="37">
        <f t="shared" si="11"/>
        <v>0</v>
      </c>
      <c r="L26" s="36">
        <f t="shared" si="12"/>
        <v>0</v>
      </c>
      <c r="M26" s="36"/>
      <c r="N26" s="33"/>
      <c r="O26" s="54"/>
      <c r="P26" s="39"/>
      <c r="Q26" s="54"/>
      <c r="T26" s="19" t="s">
        <v>89</v>
      </c>
      <c r="U26" s="19">
        <v>-20</v>
      </c>
      <c r="V26" s="19">
        <v>-20</v>
      </c>
      <c r="W26" s="19">
        <v>-20</v>
      </c>
      <c r="X26" s="19">
        <v>-20</v>
      </c>
      <c r="Y26" s="19"/>
      <c r="Z26" s="19"/>
      <c r="AA26" s="19"/>
      <c r="AB26" s="19"/>
    </row>
    <row r="27" spans="1:28">
      <c r="A27" s="41"/>
      <c r="B27" s="19"/>
      <c r="C27" s="31"/>
      <c r="D27" s="67"/>
      <c r="E27" s="32"/>
      <c r="F27" s="33"/>
      <c r="G27" s="34">
        <f t="shared" si="10"/>
        <v>0</v>
      </c>
      <c r="H27" s="35" t="e">
        <f t="shared" si="13"/>
        <v>#DIV/0!</v>
      </c>
      <c r="I27" s="20" t="e">
        <f t="shared" si="14"/>
        <v>#DIV/0!</v>
      </c>
      <c r="J27" s="33"/>
      <c r="K27" s="37">
        <f t="shared" si="11"/>
        <v>0</v>
      </c>
      <c r="L27" s="36">
        <f t="shared" si="12"/>
        <v>0</v>
      </c>
      <c r="M27" s="36"/>
      <c r="N27" s="33"/>
      <c r="O27" s="54"/>
      <c r="P27" s="39"/>
      <c r="Q27" s="54"/>
      <c r="T27" s="42" t="s">
        <v>74</v>
      </c>
      <c r="U27" s="19">
        <v>9</v>
      </c>
      <c r="V27" s="19"/>
      <c r="W27" s="19"/>
      <c r="X27" s="19"/>
      <c r="Y27" s="20">
        <f>1000/8</f>
        <v>125</v>
      </c>
      <c r="Z27" s="20"/>
      <c r="AA27" s="19"/>
    </row>
    <row r="28" spans="1:28">
      <c r="A28" s="41"/>
      <c r="B28" s="19"/>
      <c r="C28" s="31"/>
      <c r="D28" s="67"/>
      <c r="E28" s="32"/>
      <c r="F28" s="33"/>
      <c r="G28" s="34">
        <f t="shared" si="10"/>
        <v>0</v>
      </c>
      <c r="H28" s="35" t="e">
        <f t="shared" si="13"/>
        <v>#DIV/0!</v>
      </c>
      <c r="I28" s="20" t="e">
        <f t="shared" si="14"/>
        <v>#DIV/0!</v>
      </c>
      <c r="J28" s="33"/>
      <c r="K28" s="37">
        <f t="shared" si="11"/>
        <v>0</v>
      </c>
      <c r="L28" s="36">
        <f t="shared" si="12"/>
        <v>0</v>
      </c>
      <c r="M28" s="36"/>
      <c r="N28" s="33"/>
      <c r="O28" s="54"/>
      <c r="P28" s="39"/>
      <c r="Q28" s="54"/>
      <c r="T28" s="42" t="s">
        <v>138</v>
      </c>
      <c r="U28" s="19">
        <v>9</v>
      </c>
      <c r="V28" s="19"/>
      <c r="W28" s="19"/>
      <c r="X28" s="19"/>
      <c r="Y28" s="20">
        <f>1000/8</f>
        <v>125</v>
      </c>
      <c r="Z28" s="20"/>
      <c r="AA28" s="19"/>
    </row>
    <row r="29" spans="1:28">
      <c r="A29" s="41"/>
      <c r="B29" s="19"/>
      <c r="C29" s="31"/>
      <c r="D29" s="67"/>
      <c r="E29" s="32"/>
      <c r="F29" s="33"/>
      <c r="G29" s="34">
        <f t="shared" si="10"/>
        <v>0</v>
      </c>
      <c r="H29" s="35" t="e">
        <f t="shared" si="13"/>
        <v>#DIV/0!</v>
      </c>
      <c r="I29" s="20" t="e">
        <f t="shared" si="14"/>
        <v>#DIV/0!</v>
      </c>
      <c r="J29" s="33"/>
      <c r="K29" s="37">
        <f t="shared" si="11"/>
        <v>0</v>
      </c>
      <c r="L29" s="36">
        <f t="shared" si="12"/>
        <v>0</v>
      </c>
      <c r="M29" s="36"/>
      <c r="N29" s="33"/>
      <c r="O29" s="54"/>
      <c r="P29" s="39"/>
      <c r="Q29" s="54"/>
      <c r="T29" s="19" t="s">
        <v>83</v>
      </c>
      <c r="U29" s="19">
        <v>9</v>
      </c>
      <c r="V29" s="19">
        <v>10</v>
      </c>
      <c r="W29" s="19"/>
      <c r="X29" s="19"/>
      <c r="Y29" s="20">
        <f>(26/8)*3</f>
        <v>9.75</v>
      </c>
      <c r="Z29" s="20">
        <f>26/8</f>
        <v>3.25</v>
      </c>
      <c r="AA29" s="19"/>
      <c r="AB29" s="19"/>
    </row>
    <row r="30" spans="1:28">
      <c r="A30" s="41"/>
      <c r="B30" s="19"/>
      <c r="C30" s="31"/>
      <c r="D30" s="67"/>
      <c r="E30" s="32"/>
      <c r="F30" s="33"/>
      <c r="G30" s="34">
        <f t="shared" si="10"/>
        <v>0</v>
      </c>
      <c r="H30" s="35" t="e">
        <f t="shared" si="13"/>
        <v>#DIV/0!</v>
      </c>
      <c r="I30" s="20" t="e">
        <f t="shared" si="14"/>
        <v>#DIV/0!</v>
      </c>
      <c r="J30" s="33"/>
      <c r="K30" s="37">
        <f t="shared" si="11"/>
        <v>0</v>
      </c>
      <c r="L30" s="36">
        <f t="shared" si="12"/>
        <v>0</v>
      </c>
      <c r="M30" s="36"/>
      <c r="N30" s="33"/>
      <c r="O30" s="54"/>
      <c r="P30" s="39"/>
      <c r="Q30" s="54"/>
      <c r="T30" s="42" t="s">
        <v>143</v>
      </c>
      <c r="U30" s="19">
        <v>9</v>
      </c>
      <c r="V30" s="19">
        <v>8</v>
      </c>
      <c r="W30" s="19"/>
      <c r="X30" s="19"/>
      <c r="Y30" s="20">
        <f>(26/8)*3</f>
        <v>9.75</v>
      </c>
      <c r="Z30" s="20">
        <f>(26/8)</f>
        <v>3.25</v>
      </c>
      <c r="AA30" s="19"/>
      <c r="AB30" s="19"/>
    </row>
    <row r="31" spans="1:28">
      <c r="A31" s="41"/>
      <c r="B31" s="19"/>
      <c r="C31" s="31"/>
      <c r="D31" s="67"/>
      <c r="E31" s="32"/>
      <c r="F31" s="33"/>
      <c r="G31" s="34">
        <f t="shared" si="10"/>
        <v>0</v>
      </c>
      <c r="H31" s="35" t="e">
        <f t="shared" si="13"/>
        <v>#DIV/0!</v>
      </c>
      <c r="I31" s="20" t="e">
        <f t="shared" si="14"/>
        <v>#DIV/0!</v>
      </c>
      <c r="J31" s="33"/>
      <c r="K31" s="37">
        <f t="shared" si="11"/>
        <v>0</v>
      </c>
      <c r="L31" s="36">
        <f t="shared" si="12"/>
        <v>0</v>
      </c>
      <c r="M31" s="36"/>
      <c r="N31" s="33"/>
      <c r="O31" s="54"/>
      <c r="P31" s="39"/>
      <c r="Q31" s="54"/>
      <c r="T31" s="19" t="s">
        <v>67</v>
      </c>
      <c r="U31" s="19">
        <v>8</v>
      </c>
      <c r="V31" s="19">
        <v>8</v>
      </c>
      <c r="W31" s="19"/>
      <c r="X31" s="19">
        <v>8</v>
      </c>
      <c r="Y31" s="20">
        <f>(26/8)*3</f>
        <v>9.75</v>
      </c>
      <c r="Z31" s="20">
        <f>26/8</f>
        <v>3.25</v>
      </c>
      <c r="AA31" s="19"/>
      <c r="AB31" s="20">
        <f>(26/8)*3</f>
        <v>9.75</v>
      </c>
    </row>
    <row r="32" spans="1:28">
      <c r="A32" s="41"/>
      <c r="B32" s="19"/>
      <c r="C32" s="31"/>
      <c r="D32" s="67"/>
      <c r="E32" s="32"/>
      <c r="F32" s="33"/>
      <c r="G32" s="34">
        <f t="shared" si="10"/>
        <v>0</v>
      </c>
      <c r="H32" s="35" t="e">
        <f t="shared" si="13"/>
        <v>#DIV/0!</v>
      </c>
      <c r="I32" s="20" t="e">
        <f t="shared" si="14"/>
        <v>#DIV/0!</v>
      </c>
      <c r="J32" s="33"/>
      <c r="K32" s="37">
        <f t="shared" si="11"/>
        <v>0</v>
      </c>
      <c r="L32" s="36">
        <f t="shared" si="12"/>
        <v>0</v>
      </c>
      <c r="M32" s="36"/>
      <c r="N32" s="33"/>
      <c r="O32" s="54"/>
      <c r="P32" s="39"/>
      <c r="Q32" s="54"/>
      <c r="T32" s="19" t="s">
        <v>145</v>
      </c>
      <c r="U32" s="19">
        <v>9</v>
      </c>
      <c r="V32" s="19">
        <v>10</v>
      </c>
      <c r="W32" s="19"/>
      <c r="X32" s="19"/>
      <c r="Y32" s="20">
        <f>(26/8)*3</f>
        <v>9.75</v>
      </c>
      <c r="Z32" s="20">
        <f>26/8</f>
        <v>3.25</v>
      </c>
      <c r="AA32" s="19"/>
      <c r="AB32" s="19"/>
    </row>
    <row r="33" spans="1:28">
      <c r="A33" s="41"/>
      <c r="B33" s="19"/>
      <c r="C33" s="31"/>
      <c r="D33" s="67"/>
      <c r="E33" s="32"/>
      <c r="F33" s="33"/>
      <c r="G33" s="34">
        <f t="shared" si="10"/>
        <v>0</v>
      </c>
      <c r="H33" s="35" t="e">
        <f t="shared" si="13"/>
        <v>#DIV/0!</v>
      </c>
      <c r="I33" s="20" t="e">
        <f t="shared" si="14"/>
        <v>#DIV/0!</v>
      </c>
      <c r="J33" s="33"/>
      <c r="K33" s="37">
        <f t="shared" si="11"/>
        <v>0</v>
      </c>
      <c r="L33" s="36">
        <f t="shared" si="12"/>
        <v>0</v>
      </c>
      <c r="M33" s="36"/>
      <c r="N33" s="33"/>
      <c r="O33" s="54"/>
      <c r="P33" s="39"/>
      <c r="Q33" s="54"/>
      <c r="T33" s="19" t="s">
        <v>82</v>
      </c>
      <c r="U33" s="19">
        <v>7</v>
      </c>
      <c r="V33" s="19"/>
      <c r="W33" s="19"/>
      <c r="X33" s="19"/>
      <c r="Y33" s="20">
        <f>320/8</f>
        <v>40</v>
      </c>
      <c r="Z33" s="20"/>
      <c r="AA33" s="19"/>
      <c r="AB33" s="19"/>
    </row>
    <row r="34" spans="1:28">
      <c r="A34" s="41"/>
      <c r="B34" s="19" t="s">
        <v>89</v>
      </c>
      <c r="C34" s="18"/>
      <c r="D34" s="67"/>
      <c r="E34" s="32"/>
      <c r="F34" s="33"/>
      <c r="G34" s="34">
        <f t="shared" si="10"/>
        <v>-20</v>
      </c>
      <c r="H34" s="35" t="e">
        <f t="shared" si="13"/>
        <v>#DIV/0!</v>
      </c>
      <c r="I34" s="20" t="e">
        <f t="shared" si="14"/>
        <v>#DIV/0!</v>
      </c>
      <c r="J34" s="33"/>
      <c r="K34" s="37">
        <f t="shared" si="11"/>
        <v>0</v>
      </c>
      <c r="L34" s="36">
        <f t="shared" si="12"/>
        <v>0</v>
      </c>
      <c r="M34" s="36"/>
      <c r="N34" s="33"/>
      <c r="O34" s="54"/>
      <c r="P34" s="39"/>
      <c r="Q34" s="54"/>
    </row>
    <row r="35" spans="1:28">
      <c r="A35" s="43"/>
      <c r="B35" s="44"/>
      <c r="C35" s="45"/>
      <c r="D35" s="68"/>
      <c r="E35" s="46"/>
      <c r="F35" s="47"/>
      <c r="G35" s="48"/>
      <c r="H35" s="49"/>
      <c r="I35" s="50" t="e">
        <f>SUM(I25:I34)</f>
        <v>#DIV/0!</v>
      </c>
      <c r="J35" s="47"/>
      <c r="K35" s="47">
        <f>AVERAGE(K25:K34)</f>
        <v>0</v>
      </c>
      <c r="L35" s="47">
        <f>AVERAGE(L25:L34)</f>
        <v>0</v>
      </c>
      <c r="M35" s="50" t="e">
        <f>(L35*8)/K35</f>
        <v>#DIV/0!</v>
      </c>
      <c r="N35" s="47"/>
      <c r="O35" s="47">
        <f>AVERAGE(O25)</f>
        <v>3.5</v>
      </c>
      <c r="P35" s="47" t="e">
        <f>AVERAGE(P25)</f>
        <v>#DIV/0!</v>
      </c>
      <c r="Q35" s="50" t="e">
        <f>(O35*8)/P35</f>
        <v>#DIV/0!</v>
      </c>
    </row>
    <row r="36" spans="1:28">
      <c r="A36" s="30" t="s">
        <v>113</v>
      </c>
      <c r="B36" s="19" t="s">
        <v>68</v>
      </c>
      <c r="C36" s="31">
        <v>0.47916666666666663</v>
      </c>
      <c r="D36" s="67">
        <v>33</v>
      </c>
      <c r="E36" s="32"/>
      <c r="F36" s="33">
        <v>0.5</v>
      </c>
      <c r="G36" s="34">
        <f t="shared" ref="G36:G45" si="15">IFERROR(VLOOKUP($B36,$T$1:$AB$34,3,0),0)</f>
        <v>10</v>
      </c>
      <c r="H36" s="35">
        <f t="shared" ref="H36:H45" si="16">(C36*24)/(SUM($C$36:$C$45)*24)</f>
        <v>0.97872340425531912</v>
      </c>
      <c r="I36" s="20">
        <f t="shared" si="14"/>
        <v>9.787234042553191</v>
      </c>
      <c r="J36" s="33">
        <v>0.25</v>
      </c>
      <c r="K36" s="37">
        <f t="shared" ref="K36:K45" si="17">IFERROR(VLOOKUP($B36,$T$1:$AB$34,7,0),0)</f>
        <v>3.25</v>
      </c>
      <c r="L36" s="36">
        <f t="shared" ref="L36:L45" si="18">IFERROR(D36/(C36*24),0)</f>
        <v>2.8695652173913042</v>
      </c>
      <c r="M36" s="36"/>
      <c r="N36" s="33">
        <v>0.25</v>
      </c>
      <c r="O36" s="54">
        <v>3.5</v>
      </c>
      <c r="P36" s="39">
        <f>(SUM(E36:E45)/(SUM(C36:C44)*24))</f>
        <v>0</v>
      </c>
      <c r="Q36" s="54"/>
      <c r="R36" s="3">
        <f>(I46+M46)/2</f>
        <v>8.2126236390806238</v>
      </c>
      <c r="S36" s="65" t="e">
        <f>F36*I46+J36*M46+N36*Q46</f>
        <v>#DIV/0!</v>
      </c>
    </row>
    <row r="37" spans="1:28">
      <c r="A37" s="41"/>
      <c r="B37" s="19"/>
      <c r="C37" s="31"/>
      <c r="D37" s="67"/>
      <c r="E37" s="32"/>
      <c r="F37" s="33"/>
      <c r="G37" s="34">
        <f t="shared" si="15"/>
        <v>0</v>
      </c>
      <c r="H37" s="35">
        <f t="shared" si="16"/>
        <v>0</v>
      </c>
      <c r="I37" s="20">
        <f t="shared" si="14"/>
        <v>0</v>
      </c>
      <c r="J37" s="33"/>
      <c r="K37" s="37">
        <f t="shared" si="17"/>
        <v>0</v>
      </c>
      <c r="L37" s="36">
        <f t="shared" si="18"/>
        <v>0</v>
      </c>
      <c r="M37" s="36"/>
      <c r="N37" s="33"/>
      <c r="O37" s="54"/>
      <c r="P37" s="39"/>
      <c r="Q37" s="54"/>
    </row>
    <row r="38" spans="1:28">
      <c r="A38" s="41"/>
      <c r="B38" s="19"/>
      <c r="C38" s="31"/>
      <c r="D38" s="67"/>
      <c r="E38" s="32"/>
      <c r="F38" s="33"/>
      <c r="G38" s="34">
        <f t="shared" si="15"/>
        <v>0</v>
      </c>
      <c r="H38" s="35">
        <f t="shared" si="16"/>
        <v>0</v>
      </c>
      <c r="I38" s="20">
        <f t="shared" si="14"/>
        <v>0</v>
      </c>
      <c r="J38" s="33"/>
      <c r="K38" s="37">
        <f t="shared" si="17"/>
        <v>0</v>
      </c>
      <c r="L38" s="36">
        <f t="shared" si="18"/>
        <v>0</v>
      </c>
      <c r="M38" s="36"/>
      <c r="N38" s="33"/>
      <c r="O38" s="54"/>
      <c r="P38" s="39"/>
      <c r="Q38" s="54"/>
    </row>
    <row r="39" spans="1:28">
      <c r="A39" s="41"/>
      <c r="B39" s="19"/>
      <c r="C39" s="31"/>
      <c r="D39" s="67"/>
      <c r="E39" s="32"/>
      <c r="F39" s="33"/>
      <c r="G39" s="34">
        <f t="shared" si="15"/>
        <v>0</v>
      </c>
      <c r="H39" s="35">
        <f t="shared" si="16"/>
        <v>0</v>
      </c>
      <c r="I39" s="20">
        <f t="shared" si="14"/>
        <v>0</v>
      </c>
      <c r="J39" s="33"/>
      <c r="K39" s="37">
        <f t="shared" si="17"/>
        <v>0</v>
      </c>
      <c r="L39" s="36">
        <f t="shared" si="18"/>
        <v>0</v>
      </c>
      <c r="M39" s="36"/>
      <c r="N39" s="33"/>
      <c r="O39" s="54"/>
      <c r="P39" s="39"/>
      <c r="Q39" s="54"/>
    </row>
    <row r="40" spans="1:28">
      <c r="A40" s="41"/>
      <c r="B40" s="19"/>
      <c r="C40" s="31"/>
      <c r="D40" s="67"/>
      <c r="E40" s="32"/>
      <c r="F40" s="33"/>
      <c r="G40" s="34">
        <f t="shared" si="15"/>
        <v>0</v>
      </c>
      <c r="H40" s="35">
        <f t="shared" si="16"/>
        <v>0</v>
      </c>
      <c r="I40" s="20">
        <f t="shared" si="14"/>
        <v>0</v>
      </c>
      <c r="J40" s="33"/>
      <c r="K40" s="37">
        <f t="shared" si="17"/>
        <v>0</v>
      </c>
      <c r="L40" s="36">
        <f t="shared" si="18"/>
        <v>0</v>
      </c>
      <c r="M40" s="36"/>
      <c r="N40" s="33"/>
      <c r="O40" s="54"/>
      <c r="P40" s="39"/>
      <c r="Q40" s="54"/>
    </row>
    <row r="41" spans="1:28">
      <c r="A41" s="41"/>
      <c r="B41" s="19"/>
      <c r="C41" s="31"/>
      <c r="D41" s="67"/>
      <c r="E41" s="32"/>
      <c r="F41" s="33"/>
      <c r="G41" s="34">
        <f t="shared" si="15"/>
        <v>0</v>
      </c>
      <c r="H41" s="35">
        <f t="shared" si="16"/>
        <v>0</v>
      </c>
      <c r="I41" s="20">
        <f t="shared" si="14"/>
        <v>0</v>
      </c>
      <c r="J41" s="33"/>
      <c r="K41" s="37">
        <f t="shared" si="17"/>
        <v>0</v>
      </c>
      <c r="L41" s="36">
        <f t="shared" si="18"/>
        <v>0</v>
      </c>
      <c r="M41" s="36"/>
      <c r="N41" s="33"/>
      <c r="O41" s="54"/>
      <c r="P41" s="39"/>
      <c r="Q41" s="54"/>
    </row>
    <row r="42" spans="1:28">
      <c r="A42" s="41"/>
      <c r="B42" s="19"/>
      <c r="C42" s="31"/>
      <c r="D42" s="67"/>
      <c r="E42" s="32"/>
      <c r="F42" s="33"/>
      <c r="G42" s="34">
        <f t="shared" si="15"/>
        <v>0</v>
      </c>
      <c r="H42" s="35">
        <f t="shared" si="16"/>
        <v>0</v>
      </c>
      <c r="I42" s="20">
        <f t="shared" si="14"/>
        <v>0</v>
      </c>
      <c r="J42" s="33"/>
      <c r="K42" s="37">
        <f t="shared" si="17"/>
        <v>0</v>
      </c>
      <c r="L42" s="36">
        <f t="shared" si="18"/>
        <v>0</v>
      </c>
      <c r="M42" s="36"/>
      <c r="N42" s="33"/>
      <c r="O42" s="54"/>
      <c r="P42" s="39"/>
      <c r="Q42" s="54"/>
    </row>
    <row r="43" spans="1:28">
      <c r="A43" s="41"/>
      <c r="B43" s="19"/>
      <c r="C43" s="31"/>
      <c r="D43" s="67"/>
      <c r="E43" s="32"/>
      <c r="F43" s="33"/>
      <c r="G43" s="34">
        <f t="shared" si="15"/>
        <v>0</v>
      </c>
      <c r="H43" s="35">
        <f t="shared" si="16"/>
        <v>0</v>
      </c>
      <c r="I43" s="20">
        <f t="shared" si="14"/>
        <v>0</v>
      </c>
      <c r="J43" s="33"/>
      <c r="K43" s="37">
        <f t="shared" si="17"/>
        <v>0</v>
      </c>
      <c r="L43" s="36">
        <f t="shared" si="18"/>
        <v>0</v>
      </c>
      <c r="M43" s="36"/>
      <c r="N43" s="33"/>
      <c r="O43" s="54"/>
      <c r="P43" s="39"/>
      <c r="Q43" s="54"/>
    </row>
    <row r="44" spans="1:28">
      <c r="A44" s="41"/>
      <c r="B44" s="19"/>
      <c r="C44" s="31"/>
      <c r="D44" s="67"/>
      <c r="E44" s="32"/>
      <c r="F44" s="33"/>
      <c r="G44" s="34">
        <f t="shared" si="15"/>
        <v>0</v>
      </c>
      <c r="H44" s="35">
        <f t="shared" si="16"/>
        <v>0</v>
      </c>
      <c r="I44" s="20">
        <f t="shared" si="14"/>
        <v>0</v>
      </c>
      <c r="J44" s="33"/>
      <c r="K44" s="37">
        <f t="shared" si="17"/>
        <v>0</v>
      </c>
      <c r="L44" s="36">
        <f t="shared" si="18"/>
        <v>0</v>
      </c>
      <c r="M44" s="36"/>
      <c r="N44" s="33"/>
      <c r="O44" s="54"/>
      <c r="P44" s="39"/>
      <c r="Q44" s="54"/>
    </row>
    <row r="45" spans="1:28">
      <c r="A45" s="41"/>
      <c r="B45" s="19" t="s">
        <v>89</v>
      </c>
      <c r="C45" s="31">
        <v>1.0416666666666666E-2</v>
      </c>
      <c r="D45" s="67"/>
      <c r="E45" s="32"/>
      <c r="F45" s="33"/>
      <c r="G45" s="34">
        <f t="shared" si="15"/>
        <v>-20</v>
      </c>
      <c r="H45" s="35">
        <f t="shared" si="16"/>
        <v>2.1276595744680851E-2</v>
      </c>
      <c r="I45" s="20">
        <f t="shared" si="14"/>
        <v>-0.42553191489361702</v>
      </c>
      <c r="J45" s="33"/>
      <c r="K45" s="37">
        <f t="shared" si="17"/>
        <v>0</v>
      </c>
      <c r="L45" s="36">
        <f t="shared" si="18"/>
        <v>0</v>
      </c>
      <c r="M45" s="36"/>
      <c r="N45" s="33"/>
      <c r="O45" s="54"/>
      <c r="P45" s="39"/>
      <c r="Q45" s="54"/>
    </row>
    <row r="46" spans="1:28">
      <c r="A46" s="43"/>
      <c r="B46" s="44"/>
      <c r="C46" s="45"/>
      <c r="D46" s="68"/>
      <c r="E46" s="46"/>
      <c r="F46" s="47"/>
      <c r="G46" s="48"/>
      <c r="H46" s="49"/>
      <c r="I46" s="50">
        <f>SUM(I36:I45)</f>
        <v>9.3617021276595747</v>
      </c>
      <c r="J46" s="47"/>
      <c r="K46" s="47">
        <f>AVERAGE(K36:K45)</f>
        <v>0.32500000000000001</v>
      </c>
      <c r="L46" s="47">
        <f>AVERAGE(L36:L45)</f>
        <v>0.28695652173913044</v>
      </c>
      <c r="M46" s="50">
        <f>(L46*8)/K46</f>
        <v>7.063545150501672</v>
      </c>
      <c r="N46" s="47"/>
      <c r="O46" s="47">
        <f>AVERAGE(O36)</f>
        <v>3.5</v>
      </c>
      <c r="P46" s="47">
        <f>AVERAGE(P36)</f>
        <v>0</v>
      </c>
      <c r="Q46" s="50" t="e">
        <f>(O46*8)/P46</f>
        <v>#DIV/0!</v>
      </c>
    </row>
    <row r="47" spans="1:28">
      <c r="A47" s="30" t="s">
        <v>40</v>
      </c>
      <c r="B47" s="19" t="s">
        <v>145</v>
      </c>
      <c r="C47" s="31">
        <v>0.42361111111111105</v>
      </c>
      <c r="D47" s="67">
        <v>30</v>
      </c>
      <c r="E47" s="32"/>
      <c r="F47" s="33">
        <v>0.5</v>
      </c>
      <c r="G47" s="34">
        <f t="shared" ref="G47:G56" si="19">IFERROR(VLOOKUP($B47,$T$1:$AB$34,3,0),0)</f>
        <v>10</v>
      </c>
      <c r="H47" s="35">
        <f>(C47*24)/(SUM($C$47:$C$55)*24)</f>
        <v>0.81333333333333324</v>
      </c>
      <c r="I47" s="20">
        <f t="shared" ref="I47:I58" si="20">G47*H47</f>
        <v>8.1333333333333329</v>
      </c>
      <c r="J47" s="33">
        <v>0.25</v>
      </c>
      <c r="K47" s="37">
        <f t="shared" ref="K47:K56" si="21">IFERROR(VLOOKUP($B47,$T$1:$AB$34,7,0),0)</f>
        <v>3.25</v>
      </c>
      <c r="L47" s="36">
        <f t="shared" ref="L47:L56" si="22">IFERROR(D47/(C47*24),0)</f>
        <v>2.9508196721311482</v>
      </c>
      <c r="M47" s="36"/>
      <c r="N47" s="33">
        <v>0.25</v>
      </c>
      <c r="O47" s="54">
        <v>3.5</v>
      </c>
      <c r="P47" s="39">
        <f>(SUM(E47:E56)/(SUM(C47:C55)*24))</f>
        <v>0</v>
      </c>
      <c r="Q47" s="54"/>
      <c r="R47" s="3">
        <f>(I57+M57)/2</f>
        <v>8.2116399447546993</v>
      </c>
      <c r="S47" s="65" t="e">
        <f>F47*I57+J47*M57+N47*Q57</f>
        <v>#DIV/0!</v>
      </c>
    </row>
    <row r="48" spans="1:28">
      <c r="A48" s="41"/>
      <c r="B48" s="19" t="s">
        <v>85</v>
      </c>
      <c r="C48" s="31">
        <v>9.7222222222222224E-2</v>
      </c>
      <c r="D48" s="67">
        <v>6</v>
      </c>
      <c r="E48" s="32"/>
      <c r="F48" s="33"/>
      <c r="G48" s="34">
        <f t="shared" si="19"/>
        <v>8</v>
      </c>
      <c r="H48" s="35">
        <f t="shared" ref="H48:H55" si="23">(C48*24)/(SUM($C$47:$C$55)*24)</f>
        <v>0.1866666666666667</v>
      </c>
      <c r="I48" s="20">
        <f t="shared" si="20"/>
        <v>1.4933333333333336</v>
      </c>
      <c r="J48" s="33"/>
      <c r="K48" s="37">
        <f t="shared" si="21"/>
        <v>3.25</v>
      </c>
      <c r="L48" s="36">
        <f t="shared" si="22"/>
        <v>2.5714285714285712</v>
      </c>
      <c r="M48" s="36"/>
      <c r="N48" s="33"/>
      <c r="O48" s="54"/>
      <c r="P48" s="39"/>
      <c r="Q48" s="54"/>
    </row>
    <row r="49" spans="1:19">
      <c r="A49" s="41"/>
      <c r="B49" s="19"/>
      <c r="C49" s="31"/>
      <c r="D49" s="67"/>
      <c r="E49" s="32"/>
      <c r="F49" s="33"/>
      <c r="G49" s="34">
        <f t="shared" si="19"/>
        <v>0</v>
      </c>
      <c r="H49" s="35">
        <f t="shared" si="23"/>
        <v>0</v>
      </c>
      <c r="I49" s="20">
        <f t="shared" si="20"/>
        <v>0</v>
      </c>
      <c r="J49" s="33"/>
      <c r="K49" s="37">
        <f t="shared" si="21"/>
        <v>0</v>
      </c>
      <c r="L49" s="36">
        <f t="shared" si="22"/>
        <v>0</v>
      </c>
      <c r="M49" s="36"/>
      <c r="N49" s="33"/>
      <c r="O49" s="54"/>
      <c r="P49" s="39"/>
      <c r="Q49" s="54"/>
    </row>
    <row r="50" spans="1:19">
      <c r="A50" s="41"/>
      <c r="B50" s="19"/>
      <c r="C50" s="31"/>
      <c r="D50" s="67"/>
      <c r="E50" s="32"/>
      <c r="F50" s="33"/>
      <c r="G50" s="34">
        <f t="shared" si="19"/>
        <v>0</v>
      </c>
      <c r="H50" s="35">
        <f t="shared" si="23"/>
        <v>0</v>
      </c>
      <c r="I50" s="20">
        <f t="shared" si="20"/>
        <v>0</v>
      </c>
      <c r="J50" s="33"/>
      <c r="K50" s="37">
        <f t="shared" si="21"/>
        <v>0</v>
      </c>
      <c r="L50" s="36">
        <f t="shared" si="22"/>
        <v>0</v>
      </c>
      <c r="M50" s="36"/>
      <c r="N50" s="33"/>
      <c r="O50" s="54"/>
      <c r="P50" s="39"/>
      <c r="Q50" s="54"/>
    </row>
    <row r="51" spans="1:19">
      <c r="A51" s="41"/>
      <c r="B51" s="19"/>
      <c r="C51" s="31"/>
      <c r="D51" s="67"/>
      <c r="E51" s="32"/>
      <c r="F51" s="33"/>
      <c r="G51" s="34">
        <f t="shared" si="19"/>
        <v>0</v>
      </c>
      <c r="H51" s="35">
        <f t="shared" si="23"/>
        <v>0</v>
      </c>
      <c r="I51" s="20">
        <f t="shared" si="20"/>
        <v>0</v>
      </c>
      <c r="J51" s="33"/>
      <c r="K51" s="37">
        <f t="shared" si="21"/>
        <v>0</v>
      </c>
      <c r="L51" s="36">
        <f t="shared" si="22"/>
        <v>0</v>
      </c>
      <c r="M51" s="36"/>
      <c r="N51" s="33"/>
      <c r="O51" s="54"/>
      <c r="P51" s="39"/>
      <c r="Q51" s="54"/>
    </row>
    <row r="52" spans="1:19">
      <c r="A52" s="41"/>
      <c r="B52" s="19"/>
      <c r="C52" s="31"/>
      <c r="D52" s="67"/>
      <c r="E52" s="32"/>
      <c r="F52" s="33"/>
      <c r="G52" s="34">
        <f t="shared" si="19"/>
        <v>0</v>
      </c>
      <c r="H52" s="35">
        <f t="shared" si="23"/>
        <v>0</v>
      </c>
      <c r="I52" s="20">
        <f t="shared" si="20"/>
        <v>0</v>
      </c>
      <c r="J52" s="33"/>
      <c r="K52" s="37">
        <f t="shared" si="21"/>
        <v>0</v>
      </c>
      <c r="L52" s="36">
        <f t="shared" si="22"/>
        <v>0</v>
      </c>
      <c r="M52" s="36"/>
      <c r="N52" s="33"/>
      <c r="O52" s="54"/>
      <c r="P52" s="39"/>
      <c r="Q52" s="54"/>
    </row>
    <row r="53" spans="1:19">
      <c r="A53" s="41"/>
      <c r="B53" s="19"/>
      <c r="C53" s="31"/>
      <c r="D53" s="67"/>
      <c r="E53" s="32"/>
      <c r="F53" s="33"/>
      <c r="G53" s="34">
        <f t="shared" si="19"/>
        <v>0</v>
      </c>
      <c r="H53" s="35">
        <f t="shared" si="23"/>
        <v>0</v>
      </c>
      <c r="I53" s="20">
        <f t="shared" si="20"/>
        <v>0</v>
      </c>
      <c r="J53" s="33"/>
      <c r="K53" s="37">
        <f t="shared" si="21"/>
        <v>0</v>
      </c>
      <c r="L53" s="36">
        <f t="shared" si="22"/>
        <v>0</v>
      </c>
      <c r="M53" s="36"/>
      <c r="N53" s="33"/>
      <c r="O53" s="54"/>
      <c r="P53" s="39"/>
      <c r="Q53" s="54"/>
    </row>
    <row r="54" spans="1:19">
      <c r="A54" s="41"/>
      <c r="B54" s="19"/>
      <c r="C54" s="31"/>
      <c r="D54" s="67"/>
      <c r="E54" s="32"/>
      <c r="F54" s="33"/>
      <c r="G54" s="34">
        <f t="shared" si="19"/>
        <v>0</v>
      </c>
      <c r="H54" s="35">
        <f t="shared" si="23"/>
        <v>0</v>
      </c>
      <c r="I54" s="20">
        <f t="shared" si="20"/>
        <v>0</v>
      </c>
      <c r="J54" s="33"/>
      <c r="K54" s="37">
        <f t="shared" si="21"/>
        <v>0</v>
      </c>
      <c r="L54" s="36">
        <f t="shared" si="22"/>
        <v>0</v>
      </c>
      <c r="M54" s="36"/>
      <c r="N54" s="33"/>
      <c r="O54" s="54"/>
      <c r="P54" s="39"/>
      <c r="Q54" s="54"/>
    </row>
    <row r="55" spans="1:19">
      <c r="A55" s="41"/>
      <c r="B55" s="19"/>
      <c r="C55" s="31"/>
      <c r="D55" s="67"/>
      <c r="E55" s="32"/>
      <c r="F55" s="33"/>
      <c r="G55" s="34">
        <f t="shared" si="19"/>
        <v>0</v>
      </c>
      <c r="H55" s="35">
        <f t="shared" si="23"/>
        <v>0</v>
      </c>
      <c r="I55" s="20">
        <f t="shared" si="20"/>
        <v>0</v>
      </c>
      <c r="J55" s="33"/>
      <c r="K55" s="37">
        <f t="shared" si="21"/>
        <v>0</v>
      </c>
      <c r="L55" s="36">
        <f t="shared" si="22"/>
        <v>0</v>
      </c>
      <c r="M55" s="36"/>
      <c r="N55" s="33"/>
      <c r="O55" s="54"/>
      <c r="P55" s="39"/>
      <c r="Q55" s="54"/>
    </row>
    <row r="56" spans="1:19">
      <c r="A56" s="41"/>
      <c r="B56" s="19" t="s">
        <v>89</v>
      </c>
      <c r="C56" s="31"/>
      <c r="D56" s="67"/>
      <c r="E56" s="32"/>
      <c r="F56" s="33"/>
      <c r="G56" s="34">
        <f t="shared" si="19"/>
        <v>-20</v>
      </c>
      <c r="H56" s="35">
        <f>(C56*24)/(SUM($C$47:$C$56)*24)</f>
        <v>0</v>
      </c>
      <c r="I56" s="20">
        <f t="shared" si="20"/>
        <v>0</v>
      </c>
      <c r="J56" s="33"/>
      <c r="K56" s="37">
        <f t="shared" si="21"/>
        <v>0</v>
      </c>
      <c r="L56" s="36">
        <f t="shared" si="22"/>
        <v>0</v>
      </c>
      <c r="M56" s="36"/>
      <c r="N56" s="33"/>
      <c r="O56" s="54"/>
      <c r="P56" s="39"/>
      <c r="Q56" s="54"/>
    </row>
    <row r="57" spans="1:19">
      <c r="A57" s="43"/>
      <c r="B57" s="44"/>
      <c r="C57" s="45"/>
      <c r="D57" s="68"/>
      <c r="E57" s="46"/>
      <c r="F57" s="47"/>
      <c r="G57" s="48"/>
      <c r="H57" s="49"/>
      <c r="I57" s="50">
        <f>SUM(I47:I56)</f>
        <v>9.6266666666666669</v>
      </c>
      <c r="J57" s="47"/>
      <c r="K57" s="47">
        <f>AVERAGE(K47:K56)</f>
        <v>0.65</v>
      </c>
      <c r="L57" s="47">
        <f>AVERAGE(L47:L56)</f>
        <v>0.55222482435597198</v>
      </c>
      <c r="M57" s="50">
        <f>(L57*8)/K57</f>
        <v>6.7966132228427316</v>
      </c>
      <c r="N57" s="47"/>
      <c r="O57" s="47">
        <f>AVERAGE(O47)</f>
        <v>3.5</v>
      </c>
      <c r="P57" s="47">
        <f>AVERAGE(P47)</f>
        <v>0</v>
      </c>
      <c r="Q57" s="50" t="e">
        <f>(O57*8)/P57</f>
        <v>#DIV/0!</v>
      </c>
    </row>
    <row r="58" spans="1:19">
      <c r="A58" s="30" t="s">
        <v>41</v>
      </c>
      <c r="B58" s="19" t="s">
        <v>145</v>
      </c>
      <c r="C58" s="31">
        <v>0.42013888888888884</v>
      </c>
      <c r="D58" s="67">
        <v>29</v>
      </c>
      <c r="E58" s="32"/>
      <c r="F58" s="33">
        <v>0.5</v>
      </c>
      <c r="G58" s="34">
        <f t="shared" ref="G58:G67" si="24">IFERROR(VLOOKUP($B58,$T$1:$AB$34,3,0),0)</f>
        <v>10</v>
      </c>
      <c r="H58" s="35">
        <f>(C58*24)/(SUM($C$58:$C$66)*24)</f>
        <v>0.80666666666666664</v>
      </c>
      <c r="I58" s="20">
        <f t="shared" si="20"/>
        <v>8.0666666666666664</v>
      </c>
      <c r="J58" s="33">
        <v>0.25</v>
      </c>
      <c r="K58" s="37">
        <f t="shared" ref="K58:K67" si="25">IFERROR(VLOOKUP($B58,$T$1:$AB$34,7,0),0)</f>
        <v>3.25</v>
      </c>
      <c r="L58" s="36">
        <f t="shared" ref="L58:L67" si="26">IFERROR(D58/(C58*24),0)</f>
        <v>2.8760330578512399</v>
      </c>
      <c r="M58" s="36"/>
      <c r="N58" s="33">
        <v>0.25</v>
      </c>
      <c r="O58" s="54">
        <v>3.5</v>
      </c>
      <c r="P58" s="39">
        <f>(SUM(E58:E67)/(SUM(C58:C66)*24))</f>
        <v>0</v>
      </c>
      <c r="Q58" s="54"/>
      <c r="R58" s="3">
        <f>(I68+M68)/2</f>
        <v>8.1043846226918319</v>
      </c>
      <c r="S58" s="65" t="e">
        <f>F58*I68+J58*M68+N58*Q68</f>
        <v>#DIV/0!</v>
      </c>
    </row>
    <row r="59" spans="1:19">
      <c r="A59" s="41"/>
      <c r="B59" s="19" t="s">
        <v>85</v>
      </c>
      <c r="C59" s="31">
        <v>0.10069444444444443</v>
      </c>
      <c r="D59" s="67">
        <v>6</v>
      </c>
      <c r="E59" s="32"/>
      <c r="F59" s="33"/>
      <c r="G59" s="34">
        <f t="shared" si="24"/>
        <v>8</v>
      </c>
      <c r="H59" s="35">
        <f t="shared" ref="H59:H67" si="27">(C59*24)/(SUM($C$58:$C$66)*24)</f>
        <v>0.19333333333333336</v>
      </c>
      <c r="I59" s="20">
        <f>G59*H59</f>
        <v>1.5466666666666669</v>
      </c>
      <c r="J59" s="33"/>
      <c r="K59" s="37">
        <f t="shared" si="25"/>
        <v>3.25</v>
      </c>
      <c r="L59" s="36">
        <f t="shared" si="26"/>
        <v>2.4827586206896552</v>
      </c>
      <c r="M59" s="36"/>
      <c r="N59" s="33"/>
      <c r="O59" s="54"/>
      <c r="P59" s="39"/>
      <c r="Q59" s="54"/>
    </row>
    <row r="60" spans="1:19">
      <c r="A60" s="41"/>
      <c r="B60" s="19"/>
      <c r="C60" s="31"/>
      <c r="D60" s="67"/>
      <c r="E60" s="32"/>
      <c r="F60" s="33"/>
      <c r="G60" s="34">
        <f t="shared" si="24"/>
        <v>0</v>
      </c>
      <c r="H60" s="35">
        <f t="shared" si="27"/>
        <v>0</v>
      </c>
      <c r="I60" s="20">
        <f t="shared" ref="I60:I67" si="28">G60*H60</f>
        <v>0</v>
      </c>
      <c r="J60" s="33"/>
      <c r="K60" s="37">
        <f t="shared" si="25"/>
        <v>0</v>
      </c>
      <c r="L60" s="36">
        <f t="shared" si="26"/>
        <v>0</v>
      </c>
      <c r="M60" s="36"/>
      <c r="N60" s="33"/>
      <c r="O60" s="54"/>
      <c r="P60" s="39"/>
      <c r="Q60" s="54"/>
    </row>
    <row r="61" spans="1:19">
      <c r="A61" s="41"/>
      <c r="B61" s="19"/>
      <c r="C61" s="31"/>
      <c r="D61" s="67"/>
      <c r="E61" s="32"/>
      <c r="F61" s="33"/>
      <c r="G61" s="34">
        <f t="shared" si="24"/>
        <v>0</v>
      </c>
      <c r="H61" s="35">
        <f t="shared" si="27"/>
        <v>0</v>
      </c>
      <c r="I61" s="20">
        <f t="shared" si="28"/>
        <v>0</v>
      </c>
      <c r="J61" s="33"/>
      <c r="K61" s="37">
        <f t="shared" si="25"/>
        <v>0</v>
      </c>
      <c r="L61" s="36">
        <f t="shared" si="26"/>
        <v>0</v>
      </c>
      <c r="M61" s="36"/>
      <c r="N61" s="33"/>
      <c r="O61" s="54"/>
      <c r="P61" s="39"/>
      <c r="Q61" s="54"/>
    </row>
    <row r="62" spans="1:19">
      <c r="A62" s="41"/>
      <c r="B62" s="19"/>
      <c r="C62" s="31"/>
      <c r="D62" s="67"/>
      <c r="E62" s="32"/>
      <c r="F62" s="33"/>
      <c r="G62" s="34">
        <f t="shared" si="24"/>
        <v>0</v>
      </c>
      <c r="H62" s="35">
        <f t="shared" si="27"/>
        <v>0</v>
      </c>
      <c r="I62" s="20">
        <f t="shared" si="28"/>
        <v>0</v>
      </c>
      <c r="J62" s="33"/>
      <c r="K62" s="37">
        <f t="shared" si="25"/>
        <v>0</v>
      </c>
      <c r="L62" s="36">
        <f t="shared" si="26"/>
        <v>0</v>
      </c>
      <c r="M62" s="36"/>
      <c r="N62" s="33"/>
      <c r="O62" s="54"/>
      <c r="P62" s="39"/>
      <c r="Q62" s="54"/>
    </row>
    <row r="63" spans="1:19">
      <c r="A63" s="41"/>
      <c r="B63" s="19"/>
      <c r="C63" s="31"/>
      <c r="D63" s="67"/>
      <c r="E63" s="32"/>
      <c r="F63" s="33"/>
      <c r="G63" s="34">
        <f t="shared" si="24"/>
        <v>0</v>
      </c>
      <c r="H63" s="35">
        <f t="shared" si="27"/>
        <v>0</v>
      </c>
      <c r="I63" s="20">
        <f t="shared" si="28"/>
        <v>0</v>
      </c>
      <c r="J63" s="33"/>
      <c r="K63" s="37">
        <f t="shared" si="25"/>
        <v>0</v>
      </c>
      <c r="L63" s="36">
        <f t="shared" si="26"/>
        <v>0</v>
      </c>
      <c r="M63" s="36"/>
      <c r="N63" s="33"/>
      <c r="O63" s="54"/>
      <c r="P63" s="39"/>
      <c r="Q63" s="54"/>
    </row>
    <row r="64" spans="1:19">
      <c r="A64" s="41"/>
      <c r="B64" s="19"/>
      <c r="C64" s="31"/>
      <c r="D64" s="67"/>
      <c r="E64" s="32"/>
      <c r="F64" s="33"/>
      <c r="G64" s="34">
        <f t="shared" si="24"/>
        <v>0</v>
      </c>
      <c r="H64" s="35">
        <f t="shared" si="27"/>
        <v>0</v>
      </c>
      <c r="I64" s="20">
        <f t="shared" si="28"/>
        <v>0</v>
      </c>
      <c r="J64" s="33"/>
      <c r="K64" s="37">
        <f t="shared" si="25"/>
        <v>0</v>
      </c>
      <c r="L64" s="36">
        <f t="shared" si="26"/>
        <v>0</v>
      </c>
      <c r="M64" s="36"/>
      <c r="N64" s="33"/>
      <c r="O64" s="54"/>
      <c r="P64" s="39"/>
      <c r="Q64" s="54"/>
    </row>
    <row r="65" spans="1:19">
      <c r="A65" s="41"/>
      <c r="B65" s="19"/>
      <c r="C65" s="31"/>
      <c r="D65" s="67"/>
      <c r="E65" s="32"/>
      <c r="F65" s="33"/>
      <c r="G65" s="34">
        <f t="shared" si="24"/>
        <v>0</v>
      </c>
      <c r="H65" s="35">
        <f t="shared" si="27"/>
        <v>0</v>
      </c>
      <c r="I65" s="20">
        <f t="shared" si="28"/>
        <v>0</v>
      </c>
      <c r="J65" s="33"/>
      <c r="K65" s="37">
        <f t="shared" si="25"/>
        <v>0</v>
      </c>
      <c r="L65" s="36">
        <f t="shared" si="26"/>
        <v>0</v>
      </c>
      <c r="M65" s="36"/>
      <c r="N65" s="33"/>
      <c r="O65" s="54"/>
      <c r="P65" s="39"/>
      <c r="Q65" s="54"/>
    </row>
    <row r="66" spans="1:19">
      <c r="A66" s="41"/>
      <c r="B66" s="19"/>
      <c r="C66" s="31"/>
      <c r="D66" s="67"/>
      <c r="E66" s="32"/>
      <c r="F66" s="33"/>
      <c r="G66" s="34">
        <f t="shared" si="24"/>
        <v>0</v>
      </c>
      <c r="H66" s="35">
        <f t="shared" si="27"/>
        <v>0</v>
      </c>
      <c r="I66" s="20">
        <f t="shared" si="28"/>
        <v>0</v>
      </c>
      <c r="J66" s="33"/>
      <c r="K66" s="37">
        <f t="shared" si="25"/>
        <v>0</v>
      </c>
      <c r="L66" s="36">
        <f t="shared" si="26"/>
        <v>0</v>
      </c>
      <c r="M66" s="36"/>
      <c r="N66" s="33"/>
      <c r="O66" s="54"/>
      <c r="P66" s="39"/>
      <c r="Q66" s="54"/>
    </row>
    <row r="67" spans="1:19">
      <c r="A67" s="41"/>
      <c r="B67" s="19" t="s">
        <v>89</v>
      </c>
      <c r="C67" s="31"/>
      <c r="D67" s="67"/>
      <c r="E67" s="32"/>
      <c r="F67" s="33"/>
      <c r="G67" s="34">
        <f t="shared" si="24"/>
        <v>-20</v>
      </c>
      <c r="H67" s="35">
        <f t="shared" si="27"/>
        <v>0</v>
      </c>
      <c r="I67" s="20">
        <f t="shared" si="28"/>
        <v>0</v>
      </c>
      <c r="J67" s="33"/>
      <c r="K67" s="37">
        <f t="shared" si="25"/>
        <v>0</v>
      </c>
      <c r="L67" s="36">
        <f t="shared" si="26"/>
        <v>0</v>
      </c>
      <c r="M67" s="36"/>
      <c r="N67" s="33"/>
      <c r="O67" s="54"/>
      <c r="P67" s="39"/>
      <c r="Q67" s="54"/>
    </row>
    <row r="68" spans="1:19">
      <c r="A68" s="43"/>
      <c r="B68" s="44"/>
      <c r="C68" s="45"/>
      <c r="D68" s="68"/>
      <c r="E68" s="46"/>
      <c r="F68" s="47"/>
      <c r="G68" s="48"/>
      <c r="H68" s="49"/>
      <c r="I68" s="50">
        <f>SUM(I58:I67)</f>
        <v>9.6133333333333333</v>
      </c>
      <c r="J68" s="47"/>
      <c r="K68" s="47">
        <f>AVERAGE(K58:K67)</f>
        <v>0.65</v>
      </c>
      <c r="L68" s="47">
        <f>AVERAGE(L58:L67)</f>
        <v>0.53587916785408951</v>
      </c>
      <c r="M68" s="50">
        <f>(L68*8)/K68</f>
        <v>6.5954359120503323</v>
      </c>
      <c r="N68" s="47"/>
      <c r="O68" s="47">
        <f>AVERAGE(O58)</f>
        <v>3.5</v>
      </c>
      <c r="P68" s="47">
        <f>AVERAGE(P58)</f>
        <v>0</v>
      </c>
      <c r="Q68" s="50" t="e">
        <f>(O68*8)/P68</f>
        <v>#DIV/0!</v>
      </c>
    </row>
    <row r="69" spans="1:19">
      <c r="A69" s="30" t="s">
        <v>42</v>
      </c>
      <c r="B69" s="19" t="s">
        <v>145</v>
      </c>
      <c r="C69" s="31">
        <v>0.17708333333333331</v>
      </c>
      <c r="D69" s="67">
        <v>14</v>
      </c>
      <c r="E69" s="32"/>
      <c r="F69" s="33">
        <v>0.5</v>
      </c>
      <c r="G69" s="34">
        <f t="shared" ref="G69:G78" si="29">IFERROR(VLOOKUP($B69,$T$1:$AB$34,3,0),0)</f>
        <v>10</v>
      </c>
      <c r="H69" s="35">
        <f>(C69*24)/(SUM($C$69:$C$77)*24)</f>
        <v>0.35664335664335661</v>
      </c>
      <c r="I69" s="20">
        <f t="shared" ref="I69:I78" si="30">G69*H69</f>
        <v>3.5664335664335662</v>
      </c>
      <c r="J69" s="33">
        <v>0.25</v>
      </c>
      <c r="K69" s="37">
        <f t="shared" ref="K69:K78" si="31">IFERROR(VLOOKUP($B69,$T$1:$AB$34,7,0),0)</f>
        <v>3.25</v>
      </c>
      <c r="L69" s="36">
        <f t="shared" ref="L69:L78" si="32">IFERROR(D69/(C69*24),0)</f>
        <v>3.2941176470588234</v>
      </c>
      <c r="M69" s="36"/>
      <c r="N69" s="33">
        <v>0.25</v>
      </c>
      <c r="O69" s="54">
        <v>3.5</v>
      </c>
      <c r="P69" s="39">
        <f>(SUM(E69:E78)/(SUM(C69:C77)*24))</f>
        <v>0</v>
      </c>
      <c r="Q69" s="54"/>
      <c r="R69" s="3">
        <f>(I79+M79)/2</f>
        <v>7.8570591256533424</v>
      </c>
      <c r="S69" s="65" t="e">
        <f>F69*I79+J69*M79+N69*Q79</f>
        <v>#DIV/0!</v>
      </c>
    </row>
    <row r="70" spans="1:19">
      <c r="A70" s="41"/>
      <c r="B70" s="19" t="s">
        <v>9</v>
      </c>
      <c r="C70" s="31">
        <v>1.7361111111111112E-2</v>
      </c>
      <c r="D70" s="67">
        <f>C70*24*K70</f>
        <v>1.71875</v>
      </c>
      <c r="E70" s="32"/>
      <c r="F70" s="33"/>
      <c r="G70" s="34">
        <f t="shared" si="29"/>
        <v>7</v>
      </c>
      <c r="H70" s="35">
        <f t="shared" ref="H70:H78" si="33">(C70*24)/(SUM($C$69:$C$77)*24)</f>
        <v>3.4965034965034961E-2</v>
      </c>
      <c r="I70" s="20">
        <f t="shared" si="30"/>
        <v>0.24475524475524474</v>
      </c>
      <c r="J70" s="33"/>
      <c r="K70" s="37">
        <f t="shared" si="31"/>
        <v>4.125</v>
      </c>
      <c r="L70" s="36">
        <f t="shared" si="32"/>
        <v>4.125</v>
      </c>
      <c r="M70" s="36"/>
      <c r="N70" s="33"/>
      <c r="O70" s="54"/>
      <c r="P70" s="39"/>
      <c r="Q70" s="54"/>
    </row>
    <row r="71" spans="1:19">
      <c r="A71" s="41"/>
      <c r="B71" s="19" t="s">
        <v>75</v>
      </c>
      <c r="C71" s="31">
        <v>0.15625</v>
      </c>
      <c r="D71" s="67">
        <v>8</v>
      </c>
      <c r="E71" s="32"/>
      <c r="F71" s="33"/>
      <c r="G71" s="34">
        <f t="shared" si="29"/>
        <v>7</v>
      </c>
      <c r="H71" s="35">
        <f t="shared" si="33"/>
        <v>0.31468531468531463</v>
      </c>
      <c r="I71" s="20">
        <f t="shared" si="30"/>
        <v>2.2027972027972025</v>
      </c>
      <c r="J71" s="33"/>
      <c r="K71" s="37">
        <f t="shared" si="31"/>
        <v>4.125</v>
      </c>
      <c r="L71" s="36">
        <f t="shared" si="32"/>
        <v>2.1333333333333333</v>
      </c>
      <c r="M71" s="36"/>
      <c r="N71" s="33"/>
      <c r="O71" s="54"/>
      <c r="P71" s="39"/>
      <c r="Q71" s="54"/>
    </row>
    <row r="72" spans="1:19">
      <c r="A72" s="41"/>
      <c r="B72" s="19" t="s">
        <v>85</v>
      </c>
      <c r="C72" s="31">
        <v>0.14583333333333334</v>
      </c>
      <c r="D72" s="67">
        <v>14</v>
      </c>
      <c r="E72" s="32"/>
      <c r="F72" s="33"/>
      <c r="G72" s="34">
        <f t="shared" si="29"/>
        <v>8</v>
      </c>
      <c r="H72" s="35">
        <f t="shared" si="33"/>
        <v>0.2937062937062937</v>
      </c>
      <c r="I72" s="20">
        <f t="shared" si="30"/>
        <v>2.3496503496503496</v>
      </c>
      <c r="J72" s="33"/>
      <c r="K72" s="37">
        <f t="shared" si="31"/>
        <v>3.25</v>
      </c>
      <c r="L72" s="36">
        <f t="shared" si="32"/>
        <v>4</v>
      </c>
      <c r="M72" s="36"/>
      <c r="N72" s="33"/>
      <c r="O72" s="54"/>
      <c r="P72" s="39"/>
      <c r="Q72" s="54"/>
    </row>
    <row r="73" spans="1:19">
      <c r="A73" s="41"/>
      <c r="B73" s="19"/>
      <c r="C73" s="31"/>
      <c r="D73" s="67"/>
      <c r="E73" s="32"/>
      <c r="F73" s="33"/>
      <c r="G73" s="34">
        <f t="shared" si="29"/>
        <v>0</v>
      </c>
      <c r="H73" s="35">
        <f t="shared" si="33"/>
        <v>0</v>
      </c>
      <c r="I73" s="20">
        <f t="shared" si="30"/>
        <v>0</v>
      </c>
      <c r="J73" s="33"/>
      <c r="K73" s="37">
        <f t="shared" si="31"/>
        <v>0</v>
      </c>
      <c r="L73" s="36">
        <f t="shared" si="32"/>
        <v>0</v>
      </c>
      <c r="M73" s="36"/>
      <c r="N73" s="33"/>
      <c r="O73" s="54"/>
      <c r="P73" s="39"/>
      <c r="Q73" s="54"/>
    </row>
    <row r="74" spans="1:19">
      <c r="A74" s="41"/>
      <c r="B74" s="19"/>
      <c r="C74" s="31"/>
      <c r="D74" s="67"/>
      <c r="E74" s="32"/>
      <c r="F74" s="33"/>
      <c r="G74" s="34">
        <f t="shared" si="29"/>
        <v>0</v>
      </c>
      <c r="H74" s="35">
        <f t="shared" si="33"/>
        <v>0</v>
      </c>
      <c r="I74" s="20">
        <f t="shared" si="30"/>
        <v>0</v>
      </c>
      <c r="J74" s="33"/>
      <c r="K74" s="37">
        <f t="shared" si="31"/>
        <v>0</v>
      </c>
      <c r="L74" s="36">
        <f t="shared" si="32"/>
        <v>0</v>
      </c>
      <c r="M74" s="36"/>
      <c r="N74" s="33"/>
      <c r="O74" s="54"/>
      <c r="P74" s="39"/>
      <c r="Q74" s="54"/>
    </row>
    <row r="75" spans="1:19">
      <c r="A75" s="41"/>
      <c r="B75" s="19"/>
      <c r="C75" s="31"/>
      <c r="D75" s="67"/>
      <c r="E75" s="32"/>
      <c r="F75" s="33"/>
      <c r="G75" s="34">
        <f t="shared" si="29"/>
        <v>0</v>
      </c>
      <c r="H75" s="35">
        <f t="shared" si="33"/>
        <v>0</v>
      </c>
      <c r="I75" s="20">
        <f t="shared" si="30"/>
        <v>0</v>
      </c>
      <c r="J75" s="33"/>
      <c r="K75" s="37">
        <f t="shared" si="31"/>
        <v>0</v>
      </c>
      <c r="L75" s="36">
        <f t="shared" si="32"/>
        <v>0</v>
      </c>
      <c r="M75" s="36"/>
      <c r="N75" s="33"/>
      <c r="O75" s="54"/>
      <c r="P75" s="39"/>
      <c r="Q75" s="54"/>
    </row>
    <row r="76" spans="1:19">
      <c r="A76" s="41"/>
      <c r="B76" s="19"/>
      <c r="C76" s="31"/>
      <c r="D76" s="67"/>
      <c r="E76" s="32"/>
      <c r="F76" s="33"/>
      <c r="G76" s="34">
        <f t="shared" si="29"/>
        <v>0</v>
      </c>
      <c r="H76" s="35">
        <f t="shared" si="33"/>
        <v>0</v>
      </c>
      <c r="I76" s="20">
        <f t="shared" si="30"/>
        <v>0</v>
      </c>
      <c r="J76" s="33"/>
      <c r="K76" s="37">
        <f t="shared" si="31"/>
        <v>0</v>
      </c>
      <c r="L76" s="36">
        <f t="shared" si="32"/>
        <v>0</v>
      </c>
      <c r="M76" s="36"/>
      <c r="N76" s="33"/>
      <c r="O76" s="54"/>
      <c r="P76" s="39"/>
      <c r="Q76" s="54"/>
    </row>
    <row r="77" spans="1:19">
      <c r="A77" s="41"/>
      <c r="B77" s="19"/>
      <c r="C77" s="31"/>
      <c r="D77" s="67"/>
      <c r="E77" s="32"/>
      <c r="F77" s="33"/>
      <c r="G77" s="34">
        <f t="shared" si="29"/>
        <v>0</v>
      </c>
      <c r="H77" s="35">
        <f t="shared" si="33"/>
        <v>0</v>
      </c>
      <c r="I77" s="20">
        <f t="shared" si="30"/>
        <v>0</v>
      </c>
      <c r="J77" s="33"/>
      <c r="K77" s="37">
        <f t="shared" si="31"/>
        <v>0</v>
      </c>
      <c r="L77" s="36">
        <f t="shared" si="32"/>
        <v>0</v>
      </c>
      <c r="M77" s="36"/>
      <c r="N77" s="33"/>
      <c r="O77" s="54"/>
      <c r="P77" s="39"/>
      <c r="Q77" s="54"/>
    </row>
    <row r="78" spans="1:19">
      <c r="A78" s="41"/>
      <c r="B78" s="19" t="s">
        <v>89</v>
      </c>
      <c r="C78" s="31"/>
      <c r="D78" s="67"/>
      <c r="E78" s="32"/>
      <c r="F78" s="33"/>
      <c r="G78" s="34">
        <f t="shared" si="29"/>
        <v>-20</v>
      </c>
      <c r="H78" s="35">
        <f t="shared" si="33"/>
        <v>0</v>
      </c>
      <c r="I78" s="20">
        <f t="shared" si="30"/>
        <v>0</v>
      </c>
      <c r="J78" s="33"/>
      <c r="K78" s="37">
        <f t="shared" si="31"/>
        <v>0</v>
      </c>
      <c r="L78" s="36">
        <f t="shared" si="32"/>
        <v>0</v>
      </c>
      <c r="M78" s="36"/>
      <c r="N78" s="33"/>
      <c r="O78" s="54"/>
      <c r="P78" s="39"/>
      <c r="Q78" s="54"/>
    </row>
    <row r="79" spans="1:19">
      <c r="A79" s="43"/>
      <c r="B79" s="44"/>
      <c r="C79" s="45"/>
      <c r="D79" s="68"/>
      <c r="E79" s="46"/>
      <c r="F79" s="47"/>
      <c r="G79" s="48"/>
      <c r="H79" s="49"/>
      <c r="I79" s="50">
        <f>SUM(I69:I78)</f>
        <v>8.3636363636363633</v>
      </c>
      <c r="J79" s="47"/>
      <c r="K79" s="47">
        <f>AVERAGE(K69:K78)</f>
        <v>1.4750000000000001</v>
      </c>
      <c r="L79" s="47">
        <f>AVERAGE(L69:L78)</f>
        <v>1.3552450980392157</v>
      </c>
      <c r="M79" s="50">
        <f>(L79*8)/K79</f>
        <v>7.3504818876703215</v>
      </c>
      <c r="N79" s="47"/>
      <c r="O79" s="47">
        <f>AVERAGE(O69)</f>
        <v>3.5</v>
      </c>
      <c r="P79" s="47">
        <f>AVERAGE(P69)</f>
        <v>0</v>
      </c>
      <c r="Q79" s="50" t="e">
        <f>(O79*8)/P79</f>
        <v>#DIV/0!</v>
      </c>
    </row>
    <row r="80" spans="1:19">
      <c r="A80" s="30" t="s">
        <v>43</v>
      </c>
      <c r="B80" s="19"/>
      <c r="C80" s="31"/>
      <c r="D80" s="67"/>
      <c r="E80" s="32"/>
      <c r="F80" s="33">
        <v>0.5</v>
      </c>
      <c r="G80" s="34">
        <f t="shared" ref="G80:G89" si="34">IFERROR(VLOOKUP($B80,$T$1:$AB$34,3,0),0)</f>
        <v>0</v>
      </c>
      <c r="H80" s="35" t="e">
        <f>(C80*24)/(SUM($C$80:$C$88)*24)</f>
        <v>#DIV/0!</v>
      </c>
      <c r="I80" s="20" t="e">
        <f t="shared" ref="I80:I89" si="35">G80*H80</f>
        <v>#DIV/0!</v>
      </c>
      <c r="J80" s="33">
        <v>0.25</v>
      </c>
      <c r="K80" s="37">
        <f t="shared" ref="K80:K89" si="36">IFERROR(VLOOKUP($B80,$T$1:$AB$34,7,0),0)</f>
        <v>0</v>
      </c>
      <c r="L80" s="36">
        <f t="shared" ref="L80:L89" si="37">IFERROR(D80/(C80*24),0)</f>
        <v>0</v>
      </c>
      <c r="M80" s="36"/>
      <c r="N80" s="33">
        <v>0.25</v>
      </c>
      <c r="O80" s="54">
        <v>3.5</v>
      </c>
      <c r="P80" s="39" t="e">
        <f>(SUM(E80:E89)/(SUM(C80:C88)*24))</f>
        <v>#DIV/0!</v>
      </c>
      <c r="Q80" s="54"/>
      <c r="R80" s="3" t="e">
        <f>(I90+M90)/2</f>
        <v>#DIV/0!</v>
      </c>
      <c r="S80" s="65" t="e">
        <f>F80*I90+J80*M90+N80*Q90</f>
        <v>#DIV/0!</v>
      </c>
    </row>
    <row r="81" spans="1:19">
      <c r="A81" s="41"/>
      <c r="B81" s="19"/>
      <c r="C81" s="31"/>
      <c r="D81" s="67"/>
      <c r="E81" s="32"/>
      <c r="F81" s="33"/>
      <c r="G81" s="34">
        <f t="shared" si="34"/>
        <v>0</v>
      </c>
      <c r="H81" s="35" t="e">
        <f t="shared" ref="H81:H89" si="38">(C81*24)/(SUM($C$80:$C$88)*24)</f>
        <v>#DIV/0!</v>
      </c>
      <c r="I81" s="20" t="e">
        <f t="shared" si="35"/>
        <v>#DIV/0!</v>
      </c>
      <c r="J81" s="33"/>
      <c r="K81" s="37">
        <f t="shared" si="36"/>
        <v>0</v>
      </c>
      <c r="L81" s="36">
        <f t="shared" si="37"/>
        <v>0</v>
      </c>
      <c r="M81" s="36"/>
      <c r="N81" s="33"/>
      <c r="O81" s="54"/>
      <c r="P81" s="39"/>
      <c r="Q81" s="54"/>
    </row>
    <row r="82" spans="1:19">
      <c r="A82" s="41"/>
      <c r="B82" s="19"/>
      <c r="C82" s="31"/>
      <c r="D82" s="67"/>
      <c r="E82" s="32"/>
      <c r="F82" s="33"/>
      <c r="G82" s="34">
        <f t="shared" si="34"/>
        <v>0</v>
      </c>
      <c r="H82" s="35" t="e">
        <f t="shared" si="38"/>
        <v>#DIV/0!</v>
      </c>
      <c r="I82" s="20" t="e">
        <f t="shared" si="35"/>
        <v>#DIV/0!</v>
      </c>
      <c r="J82" s="33"/>
      <c r="K82" s="37">
        <f t="shared" si="36"/>
        <v>0</v>
      </c>
      <c r="L82" s="36">
        <f t="shared" si="37"/>
        <v>0</v>
      </c>
      <c r="M82" s="36"/>
      <c r="N82" s="33"/>
      <c r="O82" s="54"/>
      <c r="P82" s="39"/>
      <c r="Q82" s="54"/>
    </row>
    <row r="83" spans="1:19">
      <c r="A83" s="41"/>
      <c r="B83" s="19"/>
      <c r="C83" s="31"/>
      <c r="D83" s="67"/>
      <c r="E83" s="32"/>
      <c r="F83" s="33"/>
      <c r="G83" s="34">
        <f t="shared" si="34"/>
        <v>0</v>
      </c>
      <c r="H83" s="35" t="e">
        <f t="shared" si="38"/>
        <v>#DIV/0!</v>
      </c>
      <c r="I83" s="20" t="e">
        <f t="shared" si="35"/>
        <v>#DIV/0!</v>
      </c>
      <c r="J83" s="33"/>
      <c r="K83" s="37">
        <f t="shared" si="36"/>
        <v>0</v>
      </c>
      <c r="L83" s="36">
        <f t="shared" si="37"/>
        <v>0</v>
      </c>
      <c r="M83" s="36"/>
      <c r="N83" s="33"/>
      <c r="O83" s="54"/>
      <c r="P83" s="39"/>
      <c r="Q83" s="54"/>
    </row>
    <row r="84" spans="1:19">
      <c r="A84" s="41"/>
      <c r="B84" s="19"/>
      <c r="C84" s="31"/>
      <c r="D84" s="67"/>
      <c r="E84" s="32"/>
      <c r="F84" s="33"/>
      <c r="G84" s="34">
        <f t="shared" si="34"/>
        <v>0</v>
      </c>
      <c r="H84" s="35" t="e">
        <f t="shared" si="38"/>
        <v>#DIV/0!</v>
      </c>
      <c r="I84" s="20" t="e">
        <f t="shared" si="35"/>
        <v>#DIV/0!</v>
      </c>
      <c r="J84" s="33"/>
      <c r="K84" s="37">
        <f t="shared" si="36"/>
        <v>0</v>
      </c>
      <c r="L84" s="36">
        <f t="shared" si="37"/>
        <v>0</v>
      </c>
      <c r="M84" s="36"/>
      <c r="N84" s="33"/>
      <c r="O84" s="54"/>
      <c r="P84" s="39"/>
      <c r="Q84" s="54"/>
    </row>
    <row r="85" spans="1:19">
      <c r="A85" s="41"/>
      <c r="B85" s="19"/>
      <c r="C85" s="31"/>
      <c r="D85" s="67"/>
      <c r="E85" s="32"/>
      <c r="F85" s="33"/>
      <c r="G85" s="34">
        <f t="shared" si="34"/>
        <v>0</v>
      </c>
      <c r="H85" s="35" t="e">
        <f t="shared" si="38"/>
        <v>#DIV/0!</v>
      </c>
      <c r="I85" s="20" t="e">
        <f t="shared" si="35"/>
        <v>#DIV/0!</v>
      </c>
      <c r="J85" s="33"/>
      <c r="K85" s="37">
        <f t="shared" si="36"/>
        <v>0</v>
      </c>
      <c r="L85" s="36">
        <f t="shared" si="37"/>
        <v>0</v>
      </c>
      <c r="M85" s="36"/>
      <c r="N85" s="33"/>
      <c r="O85" s="54"/>
      <c r="P85" s="39"/>
      <c r="Q85" s="54"/>
    </row>
    <row r="86" spans="1:19">
      <c r="A86" s="41"/>
      <c r="B86" s="19"/>
      <c r="C86" s="31"/>
      <c r="D86" s="67"/>
      <c r="E86" s="32"/>
      <c r="F86" s="33"/>
      <c r="G86" s="34">
        <f t="shared" si="34"/>
        <v>0</v>
      </c>
      <c r="H86" s="35" t="e">
        <f t="shared" si="38"/>
        <v>#DIV/0!</v>
      </c>
      <c r="I86" s="20" t="e">
        <f t="shared" si="35"/>
        <v>#DIV/0!</v>
      </c>
      <c r="J86" s="33"/>
      <c r="K86" s="37">
        <f t="shared" si="36"/>
        <v>0</v>
      </c>
      <c r="L86" s="36">
        <f t="shared" si="37"/>
        <v>0</v>
      </c>
      <c r="M86" s="36"/>
      <c r="N86" s="33"/>
      <c r="O86" s="54"/>
      <c r="P86" s="39"/>
      <c r="Q86" s="54"/>
    </row>
    <row r="87" spans="1:19">
      <c r="A87" s="41"/>
      <c r="B87" s="19"/>
      <c r="C87" s="31"/>
      <c r="D87" s="67"/>
      <c r="E87" s="32"/>
      <c r="F87" s="33"/>
      <c r="G87" s="34">
        <f t="shared" si="34"/>
        <v>0</v>
      </c>
      <c r="H87" s="35" t="e">
        <f t="shared" si="38"/>
        <v>#DIV/0!</v>
      </c>
      <c r="I87" s="20" t="e">
        <f t="shared" si="35"/>
        <v>#DIV/0!</v>
      </c>
      <c r="J87" s="33"/>
      <c r="K87" s="37">
        <f t="shared" si="36"/>
        <v>0</v>
      </c>
      <c r="L87" s="36">
        <f t="shared" si="37"/>
        <v>0</v>
      </c>
      <c r="M87" s="36"/>
      <c r="N87" s="33"/>
      <c r="O87" s="54"/>
      <c r="P87" s="39"/>
      <c r="Q87" s="54"/>
    </row>
    <row r="88" spans="1:19">
      <c r="A88" s="41"/>
      <c r="B88" s="19"/>
      <c r="C88" s="31"/>
      <c r="D88" s="67"/>
      <c r="E88" s="32"/>
      <c r="F88" s="33"/>
      <c r="G88" s="34">
        <f t="shared" si="34"/>
        <v>0</v>
      </c>
      <c r="H88" s="35" t="e">
        <f t="shared" si="38"/>
        <v>#DIV/0!</v>
      </c>
      <c r="I88" s="20" t="e">
        <f t="shared" si="35"/>
        <v>#DIV/0!</v>
      </c>
      <c r="J88" s="33"/>
      <c r="K88" s="37">
        <f t="shared" si="36"/>
        <v>0</v>
      </c>
      <c r="L88" s="36">
        <f t="shared" si="37"/>
        <v>0</v>
      </c>
      <c r="M88" s="36"/>
      <c r="N88" s="33"/>
      <c r="O88" s="54"/>
      <c r="P88" s="39"/>
      <c r="Q88" s="54"/>
    </row>
    <row r="89" spans="1:19">
      <c r="A89" s="41"/>
      <c r="B89" s="19" t="s">
        <v>89</v>
      </c>
      <c r="C89" s="31"/>
      <c r="D89" s="67"/>
      <c r="E89" s="32"/>
      <c r="F89" s="33"/>
      <c r="G89" s="34">
        <f t="shared" si="34"/>
        <v>-20</v>
      </c>
      <c r="H89" s="35" t="e">
        <f t="shared" si="38"/>
        <v>#DIV/0!</v>
      </c>
      <c r="I89" s="20" t="e">
        <f t="shared" si="35"/>
        <v>#DIV/0!</v>
      </c>
      <c r="J89" s="33"/>
      <c r="K89" s="37">
        <f t="shared" si="36"/>
        <v>0</v>
      </c>
      <c r="L89" s="36">
        <f t="shared" si="37"/>
        <v>0</v>
      </c>
      <c r="M89" s="36"/>
      <c r="N89" s="33"/>
      <c r="O89" s="54"/>
      <c r="P89" s="39"/>
      <c r="Q89" s="54"/>
    </row>
    <row r="90" spans="1:19">
      <c r="A90" s="43"/>
      <c r="B90" s="44"/>
      <c r="C90" s="45"/>
      <c r="D90" s="68"/>
      <c r="E90" s="46"/>
      <c r="F90" s="47"/>
      <c r="G90" s="48"/>
      <c r="H90" s="49"/>
      <c r="I90" s="50" t="e">
        <f>SUM(I80:I89)</f>
        <v>#DIV/0!</v>
      </c>
      <c r="J90" s="47"/>
      <c r="K90" s="47">
        <f>AVERAGE(K80:K89)</f>
        <v>0</v>
      </c>
      <c r="L90" s="47">
        <f>AVERAGE(L80:L89)</f>
        <v>0</v>
      </c>
      <c r="M90" s="50" t="e">
        <f>(L90*8)/K90</f>
        <v>#DIV/0!</v>
      </c>
      <c r="N90" s="47"/>
      <c r="O90" s="47">
        <f>AVERAGE(O80)</f>
        <v>3.5</v>
      </c>
      <c r="P90" s="47" t="e">
        <f>AVERAGE(P80)</f>
        <v>#DIV/0!</v>
      </c>
      <c r="Q90" s="50" t="e">
        <f>(O90*8)/P90</f>
        <v>#DIV/0!</v>
      </c>
    </row>
    <row r="91" spans="1:19">
      <c r="A91" s="30" t="s">
        <v>37</v>
      </c>
      <c r="B91" s="19" t="s">
        <v>145</v>
      </c>
      <c r="C91" s="31">
        <v>0.16319444444444442</v>
      </c>
      <c r="D91" s="67">
        <v>13</v>
      </c>
      <c r="E91" s="32"/>
      <c r="F91" s="33">
        <v>0.5</v>
      </c>
      <c r="G91" s="34">
        <f t="shared" ref="G91:G100" si="39">IFERROR(VLOOKUP($B91,$T$1:$AB$34,3,0),0)</f>
        <v>10</v>
      </c>
      <c r="H91" s="35">
        <f>(C91*24)/(SUM($C$91:$C$99)*24)</f>
        <v>0.43925233644859807</v>
      </c>
      <c r="I91" s="20">
        <f>G91*H91</f>
        <v>4.3925233644859807</v>
      </c>
      <c r="J91" s="33">
        <v>0.25</v>
      </c>
      <c r="K91" s="37">
        <f t="shared" ref="K91:K100" si="40">IFERROR(VLOOKUP($B91,$T$1:$AB$34,7,0),0)</f>
        <v>3.25</v>
      </c>
      <c r="L91" s="36">
        <f t="shared" ref="L91:L100" si="41">IFERROR(D91/(C91*24),0)</f>
        <v>3.3191489361702131</v>
      </c>
      <c r="M91" s="36"/>
      <c r="N91" s="33">
        <v>0.25</v>
      </c>
      <c r="O91" s="54">
        <v>3.5</v>
      </c>
      <c r="P91" s="39">
        <f>(SUM(E91:E100)/(SUM(C91:C99)*24))</f>
        <v>0</v>
      </c>
      <c r="Q91" s="54"/>
      <c r="R91" s="3">
        <f>(I101+M101)/2</f>
        <v>6.4810766394546571</v>
      </c>
      <c r="S91" s="65" t="e">
        <f>F91*I101+J91*M101+N91*Q101</f>
        <v>#DIV/0!</v>
      </c>
    </row>
    <row r="92" spans="1:19">
      <c r="A92" s="41"/>
      <c r="B92" s="19" t="s">
        <v>9</v>
      </c>
      <c r="C92" s="31">
        <v>4.1666666666666664E-2</v>
      </c>
      <c r="D92" s="67">
        <v>10</v>
      </c>
      <c r="E92" s="32"/>
      <c r="F92" s="33"/>
      <c r="G92" s="34">
        <f t="shared" si="39"/>
        <v>7</v>
      </c>
      <c r="H92" s="35">
        <f t="shared" ref="H92:H100" si="42">(C92*24)/(SUM($C$91:$C$99)*24)</f>
        <v>0.11214953271028039</v>
      </c>
      <c r="I92" s="20">
        <f t="shared" ref="I92:I100" si="43">G92*H92</f>
        <v>0.7850467289719627</v>
      </c>
      <c r="J92" s="33"/>
      <c r="K92" s="37">
        <f t="shared" si="40"/>
        <v>4.125</v>
      </c>
      <c r="L92" s="36">
        <f t="shared" si="41"/>
        <v>10</v>
      </c>
      <c r="M92" s="36"/>
      <c r="N92" s="33"/>
      <c r="O92" s="54"/>
      <c r="P92" s="39"/>
      <c r="Q92" s="54"/>
    </row>
    <row r="93" spans="1:19">
      <c r="A93" s="41"/>
      <c r="B93" s="19" t="s">
        <v>75</v>
      </c>
      <c r="C93" s="31">
        <v>0.13541666666666666</v>
      </c>
      <c r="D93" s="67">
        <v>8</v>
      </c>
      <c r="E93" s="32"/>
      <c r="F93" s="33"/>
      <c r="G93" s="34">
        <f t="shared" si="39"/>
        <v>7</v>
      </c>
      <c r="H93" s="35">
        <f t="shared" si="42"/>
        <v>0.36448598130841126</v>
      </c>
      <c r="I93" s="20">
        <f t="shared" si="43"/>
        <v>2.5514018691588789</v>
      </c>
      <c r="J93" s="33"/>
      <c r="K93" s="37">
        <f t="shared" si="40"/>
        <v>4.125</v>
      </c>
      <c r="L93" s="36">
        <f t="shared" si="41"/>
        <v>2.4615384615384617</v>
      </c>
      <c r="M93" s="36"/>
      <c r="N93" s="33"/>
      <c r="O93" s="54"/>
      <c r="P93" s="39"/>
      <c r="Q93" s="54"/>
    </row>
    <row r="94" spans="1:19">
      <c r="A94" s="41"/>
      <c r="B94" s="19" t="s">
        <v>85</v>
      </c>
      <c r="C94" s="31">
        <v>3.125E-2</v>
      </c>
      <c r="D94" s="67">
        <v>3</v>
      </c>
      <c r="E94" s="32"/>
      <c r="F94" s="33"/>
      <c r="G94" s="34">
        <f t="shared" si="39"/>
        <v>8</v>
      </c>
      <c r="H94" s="35">
        <f t="shared" si="42"/>
        <v>8.411214953271029E-2</v>
      </c>
      <c r="I94" s="20">
        <f t="shared" si="43"/>
        <v>0.67289719626168232</v>
      </c>
      <c r="J94" s="33"/>
      <c r="K94" s="37">
        <f t="shared" si="40"/>
        <v>3.25</v>
      </c>
      <c r="L94" s="36">
        <f t="shared" si="41"/>
        <v>4</v>
      </c>
      <c r="M94" s="36"/>
      <c r="N94" s="33"/>
      <c r="O94" s="54"/>
      <c r="P94" s="39"/>
      <c r="Q94" s="54"/>
    </row>
    <row r="95" spans="1:19">
      <c r="A95" s="41"/>
      <c r="B95" s="19"/>
      <c r="C95" s="31"/>
      <c r="D95" s="67"/>
      <c r="E95" s="32"/>
      <c r="F95" s="33"/>
      <c r="G95" s="34">
        <f t="shared" si="39"/>
        <v>0</v>
      </c>
      <c r="H95" s="35">
        <f t="shared" si="42"/>
        <v>0</v>
      </c>
      <c r="I95" s="20">
        <f>G95*H95</f>
        <v>0</v>
      </c>
      <c r="J95" s="33"/>
      <c r="K95" s="37">
        <f t="shared" si="40"/>
        <v>0</v>
      </c>
      <c r="L95" s="36">
        <f t="shared" si="41"/>
        <v>0</v>
      </c>
      <c r="M95" s="36"/>
      <c r="N95" s="33"/>
      <c r="O95" s="54"/>
      <c r="P95" s="39"/>
      <c r="Q95" s="54"/>
    </row>
    <row r="96" spans="1:19">
      <c r="A96" s="41"/>
      <c r="B96" s="19"/>
      <c r="C96" s="31"/>
      <c r="D96" s="67"/>
      <c r="E96" s="32"/>
      <c r="F96" s="33"/>
      <c r="G96" s="34">
        <f t="shared" si="39"/>
        <v>0</v>
      </c>
      <c r="H96" s="35">
        <f t="shared" si="42"/>
        <v>0</v>
      </c>
      <c r="I96" s="20">
        <f t="shared" si="43"/>
        <v>0</v>
      </c>
      <c r="J96" s="33"/>
      <c r="K96" s="37">
        <f t="shared" si="40"/>
        <v>0</v>
      </c>
      <c r="L96" s="36">
        <f t="shared" si="41"/>
        <v>0</v>
      </c>
      <c r="M96" s="36"/>
      <c r="N96" s="33"/>
      <c r="O96" s="54"/>
      <c r="P96" s="39"/>
      <c r="Q96" s="54"/>
    </row>
    <row r="97" spans="1:19">
      <c r="A97" s="41"/>
      <c r="B97" s="19"/>
      <c r="C97" s="31"/>
      <c r="D97" s="67"/>
      <c r="E97" s="32"/>
      <c r="F97" s="33"/>
      <c r="G97" s="34">
        <f t="shared" si="39"/>
        <v>0</v>
      </c>
      <c r="H97" s="35">
        <f t="shared" si="42"/>
        <v>0</v>
      </c>
      <c r="I97" s="20">
        <f t="shared" si="43"/>
        <v>0</v>
      </c>
      <c r="J97" s="33"/>
      <c r="K97" s="37">
        <f t="shared" si="40"/>
        <v>0</v>
      </c>
      <c r="L97" s="36">
        <f t="shared" si="41"/>
        <v>0</v>
      </c>
      <c r="M97" s="36"/>
      <c r="N97" s="33"/>
      <c r="O97" s="54"/>
      <c r="P97" s="39"/>
      <c r="Q97" s="54"/>
    </row>
    <row r="98" spans="1:19">
      <c r="A98" s="41"/>
      <c r="B98" s="19"/>
      <c r="C98" s="31"/>
      <c r="D98" s="67"/>
      <c r="E98" s="32"/>
      <c r="F98" s="33"/>
      <c r="G98" s="34">
        <f t="shared" si="39"/>
        <v>0</v>
      </c>
      <c r="H98" s="35">
        <f t="shared" si="42"/>
        <v>0</v>
      </c>
      <c r="I98" s="20">
        <f t="shared" si="43"/>
        <v>0</v>
      </c>
      <c r="J98" s="33"/>
      <c r="K98" s="37">
        <f t="shared" si="40"/>
        <v>0</v>
      </c>
      <c r="L98" s="36">
        <f t="shared" si="41"/>
        <v>0</v>
      </c>
      <c r="M98" s="36"/>
      <c r="N98" s="33"/>
      <c r="O98" s="54"/>
      <c r="P98" s="39"/>
      <c r="Q98" s="54"/>
    </row>
    <row r="99" spans="1:19">
      <c r="A99" s="41"/>
      <c r="B99" s="19"/>
      <c r="C99" s="31"/>
      <c r="D99" s="67"/>
      <c r="E99" s="32"/>
      <c r="F99" s="33"/>
      <c r="G99" s="34">
        <f t="shared" si="39"/>
        <v>0</v>
      </c>
      <c r="H99" s="35">
        <f t="shared" si="42"/>
        <v>0</v>
      </c>
      <c r="I99" s="20">
        <f t="shared" si="43"/>
        <v>0</v>
      </c>
      <c r="J99" s="33"/>
      <c r="K99" s="37">
        <f t="shared" si="40"/>
        <v>0</v>
      </c>
      <c r="L99" s="36">
        <f t="shared" si="41"/>
        <v>0</v>
      </c>
      <c r="M99" s="36"/>
      <c r="N99" s="33"/>
      <c r="O99" s="54"/>
      <c r="P99" s="39"/>
      <c r="Q99" s="54"/>
    </row>
    <row r="100" spans="1:19">
      <c r="A100" s="41"/>
      <c r="B100" s="19" t="s">
        <v>89</v>
      </c>
      <c r="C100" s="31">
        <v>0.11458333333333333</v>
      </c>
      <c r="D100" s="67"/>
      <c r="E100" s="32"/>
      <c r="F100" s="33"/>
      <c r="G100" s="34">
        <f t="shared" si="39"/>
        <v>-20</v>
      </c>
      <c r="H100" s="35">
        <f t="shared" si="42"/>
        <v>0.30841121495327106</v>
      </c>
      <c r="I100" s="20">
        <f t="shared" si="43"/>
        <v>-6.1682242990654217</v>
      </c>
      <c r="J100" s="33"/>
      <c r="K100" s="37">
        <f t="shared" si="40"/>
        <v>0</v>
      </c>
      <c r="L100" s="36">
        <f t="shared" si="41"/>
        <v>0</v>
      </c>
      <c r="M100" s="36"/>
      <c r="N100" s="33"/>
      <c r="O100" s="54"/>
      <c r="P100" s="39"/>
      <c r="Q100" s="54"/>
    </row>
    <row r="101" spans="1:19">
      <c r="A101" s="43"/>
      <c r="B101" s="44"/>
      <c r="C101" s="45"/>
      <c r="D101" s="68"/>
      <c r="E101" s="46"/>
      <c r="F101" s="47"/>
      <c r="G101" s="48"/>
      <c r="H101" s="49"/>
      <c r="I101" s="55">
        <f>SUM(I91:I100)</f>
        <v>2.2336448598130829</v>
      </c>
      <c r="J101" s="47"/>
      <c r="K101" s="47">
        <f>AVERAGE(K91:K100)</f>
        <v>1.4750000000000001</v>
      </c>
      <c r="L101" s="47">
        <f>AVERAGE(L91:L100)</f>
        <v>1.9780687397708676</v>
      </c>
      <c r="M101" s="50">
        <f>(L101*8)/K101</f>
        <v>10.728508419096231</v>
      </c>
      <c r="N101" s="47"/>
      <c r="O101" s="47">
        <f>AVERAGE(O91)</f>
        <v>3.5</v>
      </c>
      <c r="P101" s="47">
        <f>AVERAGE(P91)</f>
        <v>0</v>
      </c>
      <c r="Q101" s="50" t="e">
        <f>(O101*8)/P101</f>
        <v>#DIV/0!</v>
      </c>
    </row>
    <row r="102" spans="1:19">
      <c r="A102" s="30" t="s">
        <v>38</v>
      </c>
      <c r="B102" s="19" t="s">
        <v>145</v>
      </c>
      <c r="C102" s="31">
        <v>0.17708333333333331</v>
      </c>
      <c r="D102" s="67">
        <v>15</v>
      </c>
      <c r="E102" s="32"/>
      <c r="F102" s="33">
        <v>0.5</v>
      </c>
      <c r="G102" s="34">
        <f t="shared" ref="G102:G111" si="44">IFERROR(VLOOKUP($B102,$T$1:$AB$34,3,0),0)</f>
        <v>10</v>
      </c>
      <c r="H102" s="35">
        <f>(C102*24)/(SUM($C$102:$C$110)*24)</f>
        <v>0.36690647482014394</v>
      </c>
      <c r="I102" s="20">
        <f t="shared" ref="I102:I111" si="45">G102*H102</f>
        <v>3.6690647482014391</v>
      </c>
      <c r="J102" s="33">
        <v>0.25</v>
      </c>
      <c r="K102" s="37">
        <f t="shared" ref="K102:K111" si="46">IFERROR(VLOOKUP($B102,$T$1:$AB$34,7,0),0)</f>
        <v>3.25</v>
      </c>
      <c r="L102" s="36">
        <f t="shared" ref="L102:L111" si="47">IFERROR(D102/(C102*24),0)</f>
        <v>3.5294117647058822</v>
      </c>
      <c r="M102" s="36"/>
      <c r="N102" s="33">
        <v>0.25</v>
      </c>
      <c r="O102" s="54">
        <v>3.5</v>
      </c>
      <c r="P102" s="39">
        <f>(SUM(E102:E111)/(SUM(C102:C110)*24))</f>
        <v>0</v>
      </c>
      <c r="Q102" s="54"/>
      <c r="R102" s="3">
        <f>(I112+M112)/2</f>
        <v>7.2324603623855843</v>
      </c>
      <c r="S102" s="65" t="e">
        <f>F102*I112+J102*M112+N102*Q112</f>
        <v>#DIV/0!</v>
      </c>
    </row>
    <row r="103" spans="1:19">
      <c r="A103" s="41"/>
      <c r="B103" s="19" t="s">
        <v>75</v>
      </c>
      <c r="C103" s="31">
        <v>0.15972222222222221</v>
      </c>
      <c r="D103" s="67">
        <v>2</v>
      </c>
      <c r="E103" s="32"/>
      <c r="F103" s="33"/>
      <c r="G103" s="34">
        <f t="shared" si="44"/>
        <v>7</v>
      </c>
      <c r="H103" s="35">
        <f t="shared" ref="H103:H111" si="48">(C103*24)/(SUM($C$102:$C$110)*24)</f>
        <v>0.33093525179856115</v>
      </c>
      <c r="I103" s="20">
        <f t="shared" si="45"/>
        <v>2.3165467625899279</v>
      </c>
      <c r="J103" s="33"/>
      <c r="K103" s="37">
        <f t="shared" si="46"/>
        <v>4.125</v>
      </c>
      <c r="L103" s="36">
        <f t="shared" si="47"/>
        <v>0.52173913043478259</v>
      </c>
      <c r="M103" s="36"/>
      <c r="N103" s="33"/>
      <c r="O103" s="54"/>
      <c r="P103" s="39"/>
      <c r="Q103" s="54"/>
    </row>
    <row r="104" spans="1:19">
      <c r="A104" s="41"/>
      <c r="B104" s="19" t="s">
        <v>85</v>
      </c>
      <c r="C104" s="31">
        <v>0.14583333333333334</v>
      </c>
      <c r="D104" s="67">
        <v>14</v>
      </c>
      <c r="E104" s="32"/>
      <c r="F104" s="33"/>
      <c r="G104" s="34">
        <f t="shared" si="44"/>
        <v>8</v>
      </c>
      <c r="H104" s="35">
        <f t="shared" si="48"/>
        <v>0.30215827338129497</v>
      </c>
      <c r="I104" s="20">
        <f t="shared" si="45"/>
        <v>2.4172661870503598</v>
      </c>
      <c r="J104" s="33"/>
      <c r="K104" s="37">
        <f t="shared" si="46"/>
        <v>3.25</v>
      </c>
      <c r="L104" s="36">
        <f t="shared" si="47"/>
        <v>4</v>
      </c>
      <c r="M104" s="36"/>
      <c r="N104" s="33"/>
      <c r="O104" s="54"/>
      <c r="P104" s="39"/>
      <c r="Q104" s="54"/>
    </row>
    <row r="105" spans="1:19">
      <c r="A105" s="41"/>
      <c r="B105" s="19"/>
      <c r="C105" s="31"/>
      <c r="D105" s="67"/>
      <c r="E105" s="32"/>
      <c r="F105" s="33"/>
      <c r="G105" s="34">
        <f t="shared" si="44"/>
        <v>0</v>
      </c>
      <c r="H105" s="35">
        <f t="shared" si="48"/>
        <v>0</v>
      </c>
      <c r="I105" s="20">
        <f t="shared" si="45"/>
        <v>0</v>
      </c>
      <c r="J105" s="33"/>
      <c r="K105" s="37">
        <f t="shared" si="46"/>
        <v>0</v>
      </c>
      <c r="L105" s="36">
        <f t="shared" si="47"/>
        <v>0</v>
      </c>
      <c r="M105" s="36"/>
      <c r="N105" s="33"/>
      <c r="O105" s="54"/>
      <c r="P105" s="39"/>
      <c r="Q105" s="54"/>
    </row>
    <row r="106" spans="1:19">
      <c r="A106" s="41"/>
      <c r="B106" s="19"/>
      <c r="C106" s="31"/>
      <c r="D106" s="67"/>
      <c r="E106" s="32"/>
      <c r="F106" s="33"/>
      <c r="G106" s="34">
        <f t="shared" si="44"/>
        <v>0</v>
      </c>
      <c r="H106" s="35">
        <f t="shared" si="48"/>
        <v>0</v>
      </c>
      <c r="I106" s="20">
        <f t="shared" si="45"/>
        <v>0</v>
      </c>
      <c r="J106" s="33"/>
      <c r="K106" s="37">
        <f t="shared" si="46"/>
        <v>0</v>
      </c>
      <c r="L106" s="36">
        <f t="shared" si="47"/>
        <v>0</v>
      </c>
      <c r="M106" s="36"/>
      <c r="N106" s="33"/>
      <c r="O106" s="54"/>
      <c r="P106" s="39"/>
      <c r="Q106" s="54"/>
    </row>
    <row r="107" spans="1:19">
      <c r="A107" s="41"/>
      <c r="B107" s="19"/>
      <c r="C107" s="31"/>
      <c r="D107" s="67"/>
      <c r="E107" s="32"/>
      <c r="F107" s="33"/>
      <c r="G107" s="34">
        <f t="shared" si="44"/>
        <v>0</v>
      </c>
      <c r="H107" s="35">
        <f t="shared" si="48"/>
        <v>0</v>
      </c>
      <c r="I107" s="20">
        <f t="shared" si="45"/>
        <v>0</v>
      </c>
      <c r="J107" s="33"/>
      <c r="K107" s="37">
        <f t="shared" si="46"/>
        <v>0</v>
      </c>
      <c r="L107" s="36">
        <f t="shared" si="47"/>
        <v>0</v>
      </c>
      <c r="M107" s="36"/>
      <c r="N107" s="33"/>
      <c r="O107" s="54"/>
      <c r="P107" s="39"/>
      <c r="Q107" s="54"/>
    </row>
    <row r="108" spans="1:19">
      <c r="A108" s="41"/>
      <c r="B108" s="19"/>
      <c r="C108" s="31"/>
      <c r="D108" s="67"/>
      <c r="E108" s="32"/>
      <c r="F108" s="33"/>
      <c r="G108" s="34">
        <f t="shared" si="44"/>
        <v>0</v>
      </c>
      <c r="H108" s="35">
        <f t="shared" si="48"/>
        <v>0</v>
      </c>
      <c r="I108" s="20">
        <f t="shared" si="45"/>
        <v>0</v>
      </c>
      <c r="J108" s="33"/>
      <c r="K108" s="37">
        <f t="shared" si="46"/>
        <v>0</v>
      </c>
      <c r="L108" s="36">
        <f t="shared" si="47"/>
        <v>0</v>
      </c>
      <c r="M108" s="36"/>
      <c r="N108" s="33"/>
      <c r="O108" s="54"/>
      <c r="P108" s="39"/>
      <c r="Q108" s="54"/>
    </row>
    <row r="109" spans="1:19">
      <c r="A109" s="41"/>
      <c r="B109" s="19"/>
      <c r="C109" s="31"/>
      <c r="D109" s="67"/>
      <c r="E109" s="32"/>
      <c r="F109" s="33"/>
      <c r="G109" s="34">
        <f t="shared" si="44"/>
        <v>0</v>
      </c>
      <c r="H109" s="35">
        <f t="shared" si="48"/>
        <v>0</v>
      </c>
      <c r="I109" s="20">
        <f t="shared" si="45"/>
        <v>0</v>
      </c>
      <c r="J109" s="33"/>
      <c r="K109" s="37">
        <f t="shared" si="46"/>
        <v>0</v>
      </c>
      <c r="L109" s="36">
        <f t="shared" si="47"/>
        <v>0</v>
      </c>
      <c r="M109" s="36"/>
      <c r="N109" s="33"/>
      <c r="O109" s="54"/>
      <c r="P109" s="39"/>
      <c r="Q109" s="54"/>
    </row>
    <row r="110" spans="1:19">
      <c r="A110" s="41"/>
      <c r="B110" s="19"/>
      <c r="C110" s="31"/>
      <c r="D110" s="67"/>
      <c r="E110" s="32"/>
      <c r="F110" s="33"/>
      <c r="G110" s="34">
        <f t="shared" si="44"/>
        <v>0</v>
      </c>
      <c r="H110" s="35">
        <f t="shared" si="48"/>
        <v>0</v>
      </c>
      <c r="I110" s="20">
        <f t="shared" si="45"/>
        <v>0</v>
      </c>
      <c r="J110" s="33"/>
      <c r="K110" s="37">
        <f t="shared" si="46"/>
        <v>0</v>
      </c>
      <c r="L110" s="36">
        <f t="shared" si="47"/>
        <v>0</v>
      </c>
      <c r="M110" s="36"/>
      <c r="N110" s="33"/>
      <c r="O110" s="54"/>
      <c r="P110" s="39"/>
      <c r="Q110" s="54"/>
    </row>
    <row r="111" spans="1:19">
      <c r="A111" s="41"/>
      <c r="B111" s="19" t="s">
        <v>89</v>
      </c>
      <c r="C111" s="31"/>
      <c r="D111" s="67"/>
      <c r="E111" s="32"/>
      <c r="F111" s="33"/>
      <c r="G111" s="34">
        <f t="shared" si="44"/>
        <v>-20</v>
      </c>
      <c r="H111" s="35">
        <f t="shared" si="48"/>
        <v>0</v>
      </c>
      <c r="I111" s="20">
        <f t="shared" si="45"/>
        <v>0</v>
      </c>
      <c r="J111" s="33"/>
      <c r="K111" s="37">
        <f t="shared" si="46"/>
        <v>0</v>
      </c>
      <c r="L111" s="36">
        <f t="shared" si="47"/>
        <v>0</v>
      </c>
      <c r="M111" s="36"/>
      <c r="N111" s="33"/>
      <c r="O111" s="54"/>
      <c r="P111" s="39"/>
      <c r="Q111" s="54"/>
    </row>
    <row r="112" spans="1:19">
      <c r="A112" s="43"/>
      <c r="B112" s="44"/>
      <c r="C112" s="45"/>
      <c r="D112" s="68"/>
      <c r="E112" s="46"/>
      <c r="F112" s="47"/>
      <c r="G112" s="48"/>
      <c r="H112" s="49"/>
      <c r="I112" s="50">
        <f>SUM(I102:I111)</f>
        <v>8.4028776978417277</v>
      </c>
      <c r="J112" s="47"/>
      <c r="K112" s="47">
        <f>AVERAGE(K102:K111)</f>
        <v>1.0625</v>
      </c>
      <c r="L112" s="47">
        <f>AVERAGE(L102:L111)</f>
        <v>0.80511508951406652</v>
      </c>
      <c r="M112" s="50">
        <f>(L112*8)/K112</f>
        <v>6.0620430269294419</v>
      </c>
      <c r="N112" s="47"/>
      <c r="O112" s="47">
        <f>AVERAGE(O102)</f>
        <v>3.5</v>
      </c>
      <c r="P112" s="47">
        <f>AVERAGE(P102)</f>
        <v>0</v>
      </c>
      <c r="Q112" s="50" t="e">
        <f>(O112*8)/P112</f>
        <v>#DIV/0!</v>
      </c>
    </row>
    <row r="113" spans="1:19">
      <c r="A113" s="30" t="s">
        <v>109</v>
      </c>
      <c r="B113" s="19" t="s">
        <v>68</v>
      </c>
      <c r="C113" s="31">
        <v>0.46875</v>
      </c>
      <c r="D113" s="67">
        <v>32</v>
      </c>
      <c r="E113" s="32"/>
      <c r="F113" s="33">
        <v>0.5</v>
      </c>
      <c r="G113" s="34">
        <f t="shared" ref="G113:G122" si="49">IFERROR(VLOOKUP($B113,$T$1:$AB$34,3,0),0)</f>
        <v>10</v>
      </c>
      <c r="H113" s="35">
        <f>(C113*24)/(SUM($C$113:$C$121)*24)</f>
        <v>0.97826086956521741</v>
      </c>
      <c r="I113" s="20">
        <f>G113*H113</f>
        <v>9.7826086956521738</v>
      </c>
      <c r="J113" s="33">
        <v>0.25</v>
      </c>
      <c r="K113" s="37">
        <f t="shared" ref="K113:K122" si="50">IFERROR(VLOOKUP($B113,$T$1:$AB$34,7,0),0)</f>
        <v>3.25</v>
      </c>
      <c r="L113" s="36">
        <f>IFERROR(D113/(C113*24),0)</f>
        <v>2.8444444444444446</v>
      </c>
      <c r="M113" s="36"/>
      <c r="N113" s="33">
        <v>0.25</v>
      </c>
      <c r="O113" s="54">
        <v>3.5</v>
      </c>
      <c r="P113" s="39">
        <f>(SUM(E113:E122)/(SUM(C113:C121)*24))</f>
        <v>0</v>
      </c>
      <c r="Q113" s="54"/>
      <c r="R113" s="3">
        <f>(I123+M123)/2</f>
        <v>8.6796323589617614</v>
      </c>
      <c r="S113" s="65" t="e">
        <f>F113*I123+J113*M123+N113*Q123</f>
        <v>#DIV/0!</v>
      </c>
    </row>
    <row r="114" spans="1:19">
      <c r="A114" s="41"/>
      <c r="B114" s="19" t="s">
        <v>63</v>
      </c>
      <c r="C114" s="31">
        <v>1.0416666666666666E-2</v>
      </c>
      <c r="D114" s="67">
        <v>1</v>
      </c>
      <c r="E114" s="32"/>
      <c r="F114" s="33"/>
      <c r="G114" s="34">
        <f t="shared" si="49"/>
        <v>7</v>
      </c>
      <c r="H114" s="35">
        <f t="shared" ref="H114:H122" si="51">(C114*24)/(SUM($C$113:$C$121)*24)</f>
        <v>2.1739130434782608E-2</v>
      </c>
      <c r="I114" s="20">
        <f t="shared" ref="I114:I122" si="52">G114*H114</f>
        <v>0.15217391304347827</v>
      </c>
      <c r="J114" s="33"/>
      <c r="K114" s="37">
        <f t="shared" si="50"/>
        <v>4.125</v>
      </c>
      <c r="L114" s="36">
        <f>IFERROR(D114/(C114*24),0)</f>
        <v>4</v>
      </c>
      <c r="M114" s="36"/>
      <c r="N114" s="33"/>
      <c r="O114" s="54"/>
      <c r="P114" s="39"/>
      <c r="Q114" s="54"/>
    </row>
    <row r="115" spans="1:19">
      <c r="A115" s="41"/>
      <c r="B115" s="19"/>
      <c r="C115" s="31"/>
      <c r="D115" s="67"/>
      <c r="E115" s="32"/>
      <c r="F115" s="33"/>
      <c r="G115" s="34">
        <f t="shared" si="49"/>
        <v>0</v>
      </c>
      <c r="H115" s="35">
        <f t="shared" si="51"/>
        <v>0</v>
      </c>
      <c r="I115" s="20">
        <f t="shared" si="52"/>
        <v>0</v>
      </c>
      <c r="J115" s="33"/>
      <c r="K115" s="37">
        <f t="shared" si="50"/>
        <v>0</v>
      </c>
      <c r="L115" s="36">
        <f t="shared" ref="L115:L122" si="53">IFERROR(D115/(C115*24),0)</f>
        <v>0</v>
      </c>
      <c r="M115" s="36"/>
      <c r="N115" s="33"/>
      <c r="O115" s="54"/>
      <c r="P115" s="39"/>
      <c r="Q115" s="54"/>
    </row>
    <row r="116" spans="1:19">
      <c r="A116" s="41"/>
      <c r="B116" s="19"/>
      <c r="C116" s="31"/>
      <c r="D116" s="67"/>
      <c r="E116" s="32"/>
      <c r="F116" s="33"/>
      <c r="G116" s="34">
        <f t="shared" si="49"/>
        <v>0</v>
      </c>
      <c r="H116" s="35">
        <f t="shared" si="51"/>
        <v>0</v>
      </c>
      <c r="I116" s="20">
        <f t="shared" si="52"/>
        <v>0</v>
      </c>
      <c r="J116" s="33"/>
      <c r="K116" s="37">
        <f t="shared" si="50"/>
        <v>0</v>
      </c>
      <c r="L116" s="36">
        <f t="shared" si="53"/>
        <v>0</v>
      </c>
      <c r="M116" s="36"/>
      <c r="N116" s="33"/>
      <c r="O116" s="54"/>
      <c r="P116" s="39"/>
      <c r="Q116" s="54"/>
    </row>
    <row r="117" spans="1:19">
      <c r="A117" s="41"/>
      <c r="B117" s="19"/>
      <c r="C117" s="31"/>
      <c r="D117" s="67"/>
      <c r="E117" s="32"/>
      <c r="F117" s="33"/>
      <c r="G117" s="34">
        <f t="shared" si="49"/>
        <v>0</v>
      </c>
      <c r="H117" s="35">
        <f t="shared" si="51"/>
        <v>0</v>
      </c>
      <c r="I117" s="20">
        <f t="shared" si="52"/>
        <v>0</v>
      </c>
      <c r="J117" s="33"/>
      <c r="K117" s="37">
        <f t="shared" si="50"/>
        <v>0</v>
      </c>
      <c r="L117" s="36">
        <f t="shared" si="53"/>
        <v>0</v>
      </c>
      <c r="M117" s="36"/>
      <c r="N117" s="33"/>
      <c r="O117" s="54"/>
      <c r="P117" s="39"/>
      <c r="Q117" s="54"/>
    </row>
    <row r="118" spans="1:19">
      <c r="A118" s="41"/>
      <c r="B118" s="19"/>
      <c r="C118" s="31"/>
      <c r="D118" s="67"/>
      <c r="E118" s="32"/>
      <c r="F118" s="33"/>
      <c r="G118" s="34">
        <f t="shared" si="49"/>
        <v>0</v>
      </c>
      <c r="H118" s="35">
        <f t="shared" si="51"/>
        <v>0</v>
      </c>
      <c r="I118" s="20">
        <f t="shared" si="52"/>
        <v>0</v>
      </c>
      <c r="J118" s="33"/>
      <c r="K118" s="37">
        <f t="shared" si="50"/>
        <v>0</v>
      </c>
      <c r="L118" s="36">
        <f t="shared" si="53"/>
        <v>0</v>
      </c>
      <c r="M118" s="36"/>
      <c r="N118" s="33"/>
      <c r="O118" s="54"/>
      <c r="P118" s="39"/>
      <c r="Q118" s="54"/>
    </row>
    <row r="119" spans="1:19">
      <c r="A119" s="41"/>
      <c r="B119" s="19"/>
      <c r="C119" s="31"/>
      <c r="D119" s="67"/>
      <c r="E119" s="32"/>
      <c r="F119" s="33"/>
      <c r="G119" s="34">
        <f t="shared" si="49"/>
        <v>0</v>
      </c>
      <c r="H119" s="35">
        <f t="shared" si="51"/>
        <v>0</v>
      </c>
      <c r="I119" s="20">
        <f t="shared" si="52"/>
        <v>0</v>
      </c>
      <c r="J119" s="33"/>
      <c r="K119" s="37">
        <f t="shared" si="50"/>
        <v>0</v>
      </c>
      <c r="L119" s="36">
        <f t="shared" si="53"/>
        <v>0</v>
      </c>
      <c r="M119" s="36"/>
      <c r="N119" s="33"/>
      <c r="O119" s="54"/>
      <c r="P119" s="39"/>
      <c r="Q119" s="54"/>
    </row>
    <row r="120" spans="1:19">
      <c r="A120" s="41"/>
      <c r="B120" s="19"/>
      <c r="C120" s="31"/>
      <c r="D120" s="67"/>
      <c r="E120" s="32"/>
      <c r="F120" s="33"/>
      <c r="G120" s="34">
        <f t="shared" si="49"/>
        <v>0</v>
      </c>
      <c r="H120" s="35">
        <f t="shared" si="51"/>
        <v>0</v>
      </c>
      <c r="I120" s="20">
        <f t="shared" si="52"/>
        <v>0</v>
      </c>
      <c r="J120" s="33"/>
      <c r="K120" s="37">
        <f t="shared" si="50"/>
        <v>0</v>
      </c>
      <c r="L120" s="36">
        <f t="shared" si="53"/>
        <v>0</v>
      </c>
      <c r="M120" s="36"/>
      <c r="N120" s="33"/>
      <c r="O120" s="54"/>
      <c r="P120" s="39"/>
      <c r="Q120" s="54"/>
    </row>
    <row r="121" spans="1:19">
      <c r="A121" s="41"/>
      <c r="B121" s="19"/>
      <c r="C121" s="31"/>
      <c r="D121" s="67"/>
      <c r="E121" s="32"/>
      <c r="F121" s="33"/>
      <c r="G121" s="34">
        <f t="shared" si="49"/>
        <v>0</v>
      </c>
      <c r="H121" s="35">
        <f t="shared" si="51"/>
        <v>0</v>
      </c>
      <c r="I121" s="20">
        <f t="shared" si="52"/>
        <v>0</v>
      </c>
      <c r="J121" s="33"/>
      <c r="K121" s="37">
        <f t="shared" si="50"/>
        <v>0</v>
      </c>
      <c r="L121" s="36">
        <f t="shared" si="53"/>
        <v>0</v>
      </c>
      <c r="M121" s="36"/>
      <c r="N121" s="33"/>
      <c r="O121" s="54"/>
      <c r="P121" s="39"/>
      <c r="Q121" s="54"/>
    </row>
    <row r="122" spans="1:19">
      <c r="A122" s="41"/>
      <c r="B122" s="19" t="s">
        <v>89</v>
      </c>
      <c r="C122" s="31"/>
      <c r="D122" s="67"/>
      <c r="E122" s="32"/>
      <c r="F122" s="33"/>
      <c r="G122" s="34">
        <f t="shared" si="49"/>
        <v>-20</v>
      </c>
      <c r="H122" s="35">
        <f t="shared" si="51"/>
        <v>0</v>
      </c>
      <c r="I122" s="20">
        <f t="shared" si="52"/>
        <v>0</v>
      </c>
      <c r="J122" s="33"/>
      <c r="K122" s="37">
        <f t="shared" si="50"/>
        <v>0</v>
      </c>
      <c r="L122" s="36">
        <f t="shared" si="53"/>
        <v>0</v>
      </c>
      <c r="M122" s="36"/>
      <c r="N122" s="33"/>
      <c r="O122" s="54"/>
      <c r="P122" s="39"/>
      <c r="Q122" s="54"/>
    </row>
    <row r="123" spans="1:19">
      <c r="A123" s="43"/>
      <c r="B123" s="44"/>
      <c r="C123" s="45"/>
      <c r="D123" s="68"/>
      <c r="E123" s="46"/>
      <c r="F123" s="47"/>
      <c r="G123" s="48"/>
      <c r="H123" s="49"/>
      <c r="I123" s="50">
        <f>SUM(I113:I122)</f>
        <v>9.9347826086956523</v>
      </c>
      <c r="J123" s="47"/>
      <c r="K123" s="47">
        <f>AVERAGE(K113:K122)</f>
        <v>0.73750000000000004</v>
      </c>
      <c r="L123" s="47">
        <f>AVERAGE(L113:L122)</f>
        <v>0.68444444444444452</v>
      </c>
      <c r="M123" s="50">
        <f>(L123*8)/K123</f>
        <v>7.4244821092278723</v>
      </c>
      <c r="N123" s="47"/>
      <c r="O123" s="47">
        <f>AVERAGE(O113)</f>
        <v>3.5</v>
      </c>
      <c r="P123" s="47">
        <f>AVERAGE(P113)</f>
        <v>0</v>
      </c>
      <c r="Q123" s="50" t="e">
        <f>(O123*8)/P123</f>
        <v>#DIV/0!</v>
      </c>
    </row>
    <row r="124" spans="1:19">
      <c r="A124" s="30" t="s">
        <v>118</v>
      </c>
      <c r="B124" s="19"/>
      <c r="C124" s="31"/>
      <c r="D124" s="67"/>
      <c r="E124" s="32"/>
      <c r="F124" s="33">
        <v>0.5</v>
      </c>
      <c r="G124" s="34">
        <f t="shared" ref="G124:G133" si="54">IFERROR(VLOOKUP($B124,$T$1:$AB$34,3,0),0)</f>
        <v>0</v>
      </c>
      <c r="H124" s="35" t="e">
        <f>(C124*24)/(SUM($C$124:$C$132)*24)</f>
        <v>#DIV/0!</v>
      </c>
      <c r="I124" s="20" t="e">
        <f t="shared" ref="I124:I133" si="55">G124*H124</f>
        <v>#DIV/0!</v>
      </c>
      <c r="J124" s="33">
        <v>0.25</v>
      </c>
      <c r="K124" s="37">
        <f t="shared" ref="K124:K133" si="56">IFERROR(VLOOKUP($B124,$T$1:$AB$34,7,0),0)</f>
        <v>0</v>
      </c>
      <c r="L124" s="36">
        <f t="shared" ref="L124:L133" si="57">IFERROR(D124/(C124*24),0)</f>
        <v>0</v>
      </c>
      <c r="M124" s="36"/>
      <c r="N124" s="33">
        <v>0.25</v>
      </c>
      <c r="O124" s="54">
        <v>3.5</v>
      </c>
      <c r="P124" s="39" t="e">
        <f>(SUM(E124:E133)/(SUM(C124:C132)*24))</f>
        <v>#DIV/0!</v>
      </c>
      <c r="Q124" s="54"/>
      <c r="R124" s="3" t="e">
        <f>(I134+M134)/2</f>
        <v>#DIV/0!</v>
      </c>
      <c r="S124" s="65" t="e">
        <f>F124*I134+J124*M134+N124*Q134</f>
        <v>#DIV/0!</v>
      </c>
    </row>
    <row r="125" spans="1:19">
      <c r="A125" s="41"/>
      <c r="B125" s="19"/>
      <c r="C125" s="31"/>
      <c r="D125" s="67"/>
      <c r="E125" s="32"/>
      <c r="F125" s="33"/>
      <c r="G125" s="34">
        <f t="shared" si="54"/>
        <v>0</v>
      </c>
      <c r="H125" s="35" t="e">
        <f t="shared" ref="H125:H133" si="58">(C125*24)/(SUM($C$124:$C$132)*24)</f>
        <v>#DIV/0!</v>
      </c>
      <c r="I125" s="20" t="e">
        <f t="shared" si="55"/>
        <v>#DIV/0!</v>
      </c>
      <c r="J125" s="33"/>
      <c r="K125" s="37">
        <f t="shared" si="56"/>
        <v>0</v>
      </c>
      <c r="L125" s="36">
        <f t="shared" si="57"/>
        <v>0</v>
      </c>
      <c r="M125" s="36"/>
      <c r="N125" s="33"/>
      <c r="O125" s="54"/>
      <c r="P125" s="39"/>
      <c r="Q125" s="54"/>
    </row>
    <row r="126" spans="1:19">
      <c r="A126" s="41"/>
      <c r="B126" s="19"/>
      <c r="C126" s="31"/>
      <c r="D126" s="67"/>
      <c r="E126" s="32"/>
      <c r="F126" s="33"/>
      <c r="G126" s="34">
        <f t="shared" si="54"/>
        <v>0</v>
      </c>
      <c r="H126" s="35" t="e">
        <f t="shared" si="58"/>
        <v>#DIV/0!</v>
      </c>
      <c r="I126" s="20" t="e">
        <f t="shared" si="55"/>
        <v>#DIV/0!</v>
      </c>
      <c r="J126" s="33"/>
      <c r="K126" s="37">
        <f t="shared" si="56"/>
        <v>0</v>
      </c>
      <c r="L126" s="36">
        <f t="shared" si="57"/>
        <v>0</v>
      </c>
      <c r="M126" s="36"/>
      <c r="N126" s="33"/>
      <c r="O126" s="54"/>
      <c r="P126" s="39"/>
      <c r="Q126" s="54"/>
    </row>
    <row r="127" spans="1:19">
      <c r="A127" s="41"/>
      <c r="B127" s="19"/>
      <c r="C127" s="31"/>
      <c r="D127" s="67"/>
      <c r="E127" s="32"/>
      <c r="F127" s="33"/>
      <c r="G127" s="34">
        <f t="shared" si="54"/>
        <v>0</v>
      </c>
      <c r="H127" s="35" t="e">
        <f t="shared" si="58"/>
        <v>#DIV/0!</v>
      </c>
      <c r="I127" s="20" t="e">
        <f t="shared" si="55"/>
        <v>#DIV/0!</v>
      </c>
      <c r="J127" s="33"/>
      <c r="K127" s="37">
        <f t="shared" si="56"/>
        <v>0</v>
      </c>
      <c r="L127" s="36">
        <f t="shared" si="57"/>
        <v>0</v>
      </c>
      <c r="M127" s="36"/>
      <c r="N127" s="33"/>
      <c r="O127" s="54"/>
      <c r="P127" s="39"/>
      <c r="Q127" s="54"/>
    </row>
    <row r="128" spans="1:19">
      <c r="A128" s="41"/>
      <c r="B128" s="19"/>
      <c r="C128" s="31"/>
      <c r="D128" s="67"/>
      <c r="E128" s="32"/>
      <c r="F128" s="33"/>
      <c r="G128" s="34">
        <f t="shared" si="54"/>
        <v>0</v>
      </c>
      <c r="H128" s="35" t="e">
        <f t="shared" si="58"/>
        <v>#DIV/0!</v>
      </c>
      <c r="I128" s="20" t="e">
        <f t="shared" si="55"/>
        <v>#DIV/0!</v>
      </c>
      <c r="J128" s="33"/>
      <c r="K128" s="37">
        <f t="shared" si="56"/>
        <v>0</v>
      </c>
      <c r="L128" s="36">
        <f t="shared" si="57"/>
        <v>0</v>
      </c>
      <c r="M128" s="36"/>
      <c r="N128" s="33"/>
      <c r="O128" s="54"/>
      <c r="P128" s="39"/>
      <c r="Q128" s="54"/>
    </row>
    <row r="129" spans="1:19">
      <c r="A129" s="41"/>
      <c r="B129" s="19"/>
      <c r="C129" s="31"/>
      <c r="D129" s="67"/>
      <c r="E129" s="32"/>
      <c r="F129" s="33"/>
      <c r="G129" s="34">
        <f t="shared" si="54"/>
        <v>0</v>
      </c>
      <c r="H129" s="35" t="e">
        <f t="shared" si="58"/>
        <v>#DIV/0!</v>
      </c>
      <c r="I129" s="20" t="e">
        <f t="shared" si="55"/>
        <v>#DIV/0!</v>
      </c>
      <c r="J129" s="33"/>
      <c r="K129" s="37">
        <f t="shared" si="56"/>
        <v>0</v>
      </c>
      <c r="L129" s="36">
        <f t="shared" si="57"/>
        <v>0</v>
      </c>
      <c r="M129" s="36"/>
      <c r="N129" s="33"/>
      <c r="O129" s="54"/>
      <c r="P129" s="39"/>
      <c r="Q129" s="54"/>
    </row>
    <row r="130" spans="1:19">
      <c r="A130" s="41"/>
      <c r="B130" s="19"/>
      <c r="C130" s="31"/>
      <c r="D130" s="67"/>
      <c r="E130" s="32"/>
      <c r="F130" s="33"/>
      <c r="G130" s="34">
        <f t="shared" si="54"/>
        <v>0</v>
      </c>
      <c r="H130" s="35" t="e">
        <f t="shared" si="58"/>
        <v>#DIV/0!</v>
      </c>
      <c r="I130" s="20" t="e">
        <f t="shared" si="55"/>
        <v>#DIV/0!</v>
      </c>
      <c r="J130" s="33"/>
      <c r="K130" s="37">
        <f t="shared" si="56"/>
        <v>0</v>
      </c>
      <c r="L130" s="36">
        <f t="shared" si="57"/>
        <v>0</v>
      </c>
      <c r="M130" s="36"/>
      <c r="N130" s="33"/>
      <c r="O130" s="54"/>
      <c r="P130" s="39"/>
      <c r="Q130" s="54"/>
    </row>
    <row r="131" spans="1:19">
      <c r="A131" s="41"/>
      <c r="B131" s="19"/>
      <c r="C131" s="31"/>
      <c r="D131" s="67"/>
      <c r="E131" s="32"/>
      <c r="F131" s="33"/>
      <c r="G131" s="34">
        <f t="shared" si="54"/>
        <v>0</v>
      </c>
      <c r="H131" s="35" t="e">
        <f t="shared" si="58"/>
        <v>#DIV/0!</v>
      </c>
      <c r="I131" s="20" t="e">
        <f t="shared" si="55"/>
        <v>#DIV/0!</v>
      </c>
      <c r="J131" s="33"/>
      <c r="K131" s="37">
        <f t="shared" si="56"/>
        <v>0</v>
      </c>
      <c r="L131" s="36">
        <f t="shared" si="57"/>
        <v>0</v>
      </c>
      <c r="M131" s="36"/>
      <c r="N131" s="33"/>
      <c r="O131" s="54"/>
      <c r="P131" s="39"/>
      <c r="Q131" s="54"/>
    </row>
    <row r="132" spans="1:19">
      <c r="A132" s="41"/>
      <c r="B132" s="19"/>
      <c r="C132" s="31"/>
      <c r="D132" s="67"/>
      <c r="E132" s="32"/>
      <c r="F132" s="33"/>
      <c r="G132" s="34">
        <f t="shared" si="54"/>
        <v>0</v>
      </c>
      <c r="H132" s="35" t="e">
        <f t="shared" si="58"/>
        <v>#DIV/0!</v>
      </c>
      <c r="I132" s="20" t="e">
        <f t="shared" si="55"/>
        <v>#DIV/0!</v>
      </c>
      <c r="J132" s="33"/>
      <c r="K132" s="37">
        <f t="shared" si="56"/>
        <v>0</v>
      </c>
      <c r="L132" s="36">
        <f t="shared" si="57"/>
        <v>0</v>
      </c>
      <c r="M132" s="36"/>
      <c r="N132" s="33"/>
      <c r="O132" s="54"/>
      <c r="P132" s="39"/>
      <c r="Q132" s="54"/>
    </row>
    <row r="133" spans="1:19">
      <c r="A133" s="41"/>
      <c r="B133" s="19" t="s">
        <v>89</v>
      </c>
      <c r="C133" s="31"/>
      <c r="D133" s="67"/>
      <c r="E133" s="32"/>
      <c r="F133" s="33"/>
      <c r="G133" s="34">
        <f t="shared" si="54"/>
        <v>-20</v>
      </c>
      <c r="H133" s="35" t="e">
        <f t="shared" si="58"/>
        <v>#DIV/0!</v>
      </c>
      <c r="I133" s="20" t="e">
        <f t="shared" si="55"/>
        <v>#DIV/0!</v>
      </c>
      <c r="J133" s="33"/>
      <c r="K133" s="37">
        <f t="shared" si="56"/>
        <v>0</v>
      </c>
      <c r="L133" s="36">
        <f t="shared" si="57"/>
        <v>0</v>
      </c>
      <c r="M133" s="36"/>
      <c r="N133" s="33"/>
      <c r="O133" s="54"/>
      <c r="P133" s="39"/>
      <c r="Q133" s="54"/>
    </row>
    <row r="134" spans="1:19">
      <c r="A134" s="43"/>
      <c r="B134" s="44"/>
      <c r="C134" s="45"/>
      <c r="D134" s="68"/>
      <c r="E134" s="46"/>
      <c r="F134" s="47"/>
      <c r="G134" s="48"/>
      <c r="H134" s="49"/>
      <c r="I134" s="50" t="e">
        <f>SUM(I124:I133)</f>
        <v>#DIV/0!</v>
      </c>
      <c r="J134" s="47"/>
      <c r="K134" s="47">
        <f>AVERAGE(K124:K133)</f>
        <v>0</v>
      </c>
      <c r="L134" s="47">
        <f>AVERAGE(L124:L133)</f>
        <v>0</v>
      </c>
      <c r="M134" s="50" t="e">
        <f>(L134*8)/K134</f>
        <v>#DIV/0!</v>
      </c>
      <c r="N134" s="47"/>
      <c r="O134" s="47">
        <f>AVERAGE(O124)</f>
        <v>3.5</v>
      </c>
      <c r="P134" s="47" t="e">
        <f>AVERAGE(P124)</f>
        <v>#DIV/0!</v>
      </c>
      <c r="Q134" s="50" t="e">
        <f>(O134*8)/P134</f>
        <v>#DIV/0!</v>
      </c>
    </row>
    <row r="135" spans="1:19">
      <c r="A135" s="30" t="s">
        <v>119</v>
      </c>
      <c r="B135" s="19"/>
      <c r="C135" s="31"/>
      <c r="D135" s="67"/>
      <c r="E135" s="54"/>
      <c r="F135" s="33">
        <v>0.5</v>
      </c>
      <c r="G135" s="34">
        <f t="shared" ref="G135:G144" si="59">IFERROR(VLOOKUP($B135,$T$1:$AB$34,3,0),0)</f>
        <v>0</v>
      </c>
      <c r="H135" s="35" t="e">
        <f>(C135*24)/(SUM($C$135:$C$143)*24)</f>
        <v>#DIV/0!</v>
      </c>
      <c r="I135" s="20" t="e">
        <f t="shared" ref="I135:I144" si="60">G135*H135</f>
        <v>#DIV/0!</v>
      </c>
      <c r="J135" s="33">
        <v>0.25</v>
      </c>
      <c r="K135" s="37">
        <f t="shared" ref="K135:K144" si="61">IFERROR(VLOOKUP($B135,$T$1:$AB$34,7,0),0)</f>
        <v>0</v>
      </c>
      <c r="L135" s="36">
        <f t="shared" ref="L135:L144" si="62">IFERROR(D135/(C135*24),0)</f>
        <v>0</v>
      </c>
      <c r="M135" s="36"/>
      <c r="N135" s="33">
        <v>0.25</v>
      </c>
      <c r="O135" s="54">
        <v>3.5</v>
      </c>
      <c r="P135" s="39" t="e">
        <f>(SUM(E135:E144)/(SUM(C135:C143)*24))</f>
        <v>#DIV/0!</v>
      </c>
      <c r="Q135" s="54"/>
      <c r="R135" s="3" t="e">
        <f>(I145+M145)/2</f>
        <v>#DIV/0!</v>
      </c>
      <c r="S135" s="65" t="e">
        <f>F135*I145+J135*M145+N135*Q145</f>
        <v>#DIV/0!</v>
      </c>
    </row>
    <row r="136" spans="1:19">
      <c r="A136" s="41"/>
      <c r="B136" s="19"/>
      <c r="C136" s="31"/>
      <c r="D136" s="67"/>
      <c r="E136" s="32"/>
      <c r="F136" s="33"/>
      <c r="G136" s="34">
        <f t="shared" si="59"/>
        <v>0</v>
      </c>
      <c r="H136" s="35" t="e">
        <f t="shared" ref="H136:H144" si="63">(C136*24)/(SUM($C$135:$C$143)*24)</f>
        <v>#DIV/0!</v>
      </c>
      <c r="I136" s="20" t="e">
        <f t="shared" si="60"/>
        <v>#DIV/0!</v>
      </c>
      <c r="J136" s="33"/>
      <c r="K136" s="37">
        <f t="shared" si="61"/>
        <v>0</v>
      </c>
      <c r="L136" s="36">
        <f t="shared" si="62"/>
        <v>0</v>
      </c>
      <c r="M136" s="36"/>
      <c r="N136" s="33"/>
      <c r="O136" s="54"/>
      <c r="P136" s="39"/>
      <c r="Q136" s="54"/>
    </row>
    <row r="137" spans="1:19">
      <c r="A137" s="41"/>
      <c r="B137" s="19"/>
      <c r="C137" s="31"/>
      <c r="D137" s="67"/>
      <c r="E137" s="32"/>
      <c r="F137" s="33"/>
      <c r="G137" s="34">
        <f t="shared" si="59"/>
        <v>0</v>
      </c>
      <c r="H137" s="35" t="e">
        <f t="shared" si="63"/>
        <v>#DIV/0!</v>
      </c>
      <c r="I137" s="20" t="e">
        <f t="shared" si="60"/>
        <v>#DIV/0!</v>
      </c>
      <c r="J137" s="33"/>
      <c r="K137" s="37">
        <f t="shared" si="61"/>
        <v>0</v>
      </c>
      <c r="L137" s="36">
        <f t="shared" si="62"/>
        <v>0</v>
      </c>
      <c r="M137" s="36"/>
      <c r="N137" s="33"/>
      <c r="O137" s="54"/>
      <c r="P137" s="39"/>
      <c r="Q137" s="54"/>
    </row>
    <row r="138" spans="1:19">
      <c r="A138" s="41"/>
      <c r="B138" s="19"/>
      <c r="C138" s="31"/>
      <c r="D138" s="67"/>
      <c r="E138" s="32"/>
      <c r="F138" s="33"/>
      <c r="G138" s="34">
        <f t="shared" si="59"/>
        <v>0</v>
      </c>
      <c r="H138" s="35" t="e">
        <f t="shared" si="63"/>
        <v>#DIV/0!</v>
      </c>
      <c r="I138" s="20" t="e">
        <f t="shared" si="60"/>
        <v>#DIV/0!</v>
      </c>
      <c r="J138" s="33"/>
      <c r="K138" s="37">
        <f t="shared" si="61"/>
        <v>0</v>
      </c>
      <c r="L138" s="36">
        <f t="shared" si="62"/>
        <v>0</v>
      </c>
      <c r="M138" s="36"/>
      <c r="N138" s="33"/>
      <c r="O138" s="54"/>
      <c r="P138" s="39"/>
      <c r="Q138" s="54"/>
    </row>
    <row r="139" spans="1:19">
      <c r="A139" s="41"/>
      <c r="B139" s="19"/>
      <c r="C139" s="31"/>
      <c r="D139" s="67"/>
      <c r="E139" s="32"/>
      <c r="F139" s="33"/>
      <c r="G139" s="34">
        <f t="shared" si="59"/>
        <v>0</v>
      </c>
      <c r="H139" s="35" t="e">
        <f t="shared" si="63"/>
        <v>#DIV/0!</v>
      </c>
      <c r="I139" s="20" t="e">
        <f t="shared" si="60"/>
        <v>#DIV/0!</v>
      </c>
      <c r="J139" s="33"/>
      <c r="K139" s="37">
        <f t="shared" si="61"/>
        <v>0</v>
      </c>
      <c r="L139" s="36">
        <f t="shared" si="62"/>
        <v>0</v>
      </c>
      <c r="M139" s="36"/>
      <c r="N139" s="33"/>
      <c r="O139" s="54"/>
      <c r="P139" s="39"/>
      <c r="Q139" s="54"/>
    </row>
    <row r="140" spans="1:19">
      <c r="A140" s="41"/>
      <c r="B140" s="19"/>
      <c r="C140" s="31"/>
      <c r="D140" s="67"/>
      <c r="E140" s="32"/>
      <c r="F140" s="33"/>
      <c r="G140" s="34">
        <f t="shared" si="59"/>
        <v>0</v>
      </c>
      <c r="H140" s="35" t="e">
        <f t="shared" si="63"/>
        <v>#DIV/0!</v>
      </c>
      <c r="I140" s="20" t="e">
        <f t="shared" si="60"/>
        <v>#DIV/0!</v>
      </c>
      <c r="J140" s="33"/>
      <c r="K140" s="37">
        <f t="shared" si="61"/>
        <v>0</v>
      </c>
      <c r="L140" s="36">
        <f t="shared" si="62"/>
        <v>0</v>
      </c>
      <c r="M140" s="36"/>
      <c r="N140" s="33"/>
      <c r="O140" s="54"/>
      <c r="P140" s="39"/>
      <c r="Q140" s="54"/>
    </row>
    <row r="141" spans="1:19">
      <c r="A141" s="41"/>
      <c r="B141" s="19"/>
      <c r="C141" s="31"/>
      <c r="D141" s="67"/>
      <c r="E141" s="32"/>
      <c r="F141" s="33"/>
      <c r="G141" s="34">
        <f t="shared" si="59"/>
        <v>0</v>
      </c>
      <c r="H141" s="35" t="e">
        <f t="shared" si="63"/>
        <v>#DIV/0!</v>
      </c>
      <c r="I141" s="20" t="e">
        <f t="shared" si="60"/>
        <v>#DIV/0!</v>
      </c>
      <c r="J141" s="33"/>
      <c r="K141" s="37">
        <f t="shared" si="61"/>
        <v>0</v>
      </c>
      <c r="L141" s="36">
        <f t="shared" si="62"/>
        <v>0</v>
      </c>
      <c r="M141" s="36"/>
      <c r="N141" s="33"/>
      <c r="O141" s="54"/>
      <c r="P141" s="39"/>
      <c r="Q141" s="54"/>
    </row>
    <row r="142" spans="1:19">
      <c r="A142" s="41"/>
      <c r="B142" s="19"/>
      <c r="C142" s="31"/>
      <c r="D142" s="67"/>
      <c r="E142" s="32"/>
      <c r="F142" s="33"/>
      <c r="G142" s="34">
        <f t="shared" si="59"/>
        <v>0</v>
      </c>
      <c r="H142" s="35" t="e">
        <f t="shared" si="63"/>
        <v>#DIV/0!</v>
      </c>
      <c r="I142" s="20" t="e">
        <f t="shared" si="60"/>
        <v>#DIV/0!</v>
      </c>
      <c r="J142" s="33"/>
      <c r="K142" s="37">
        <f t="shared" si="61"/>
        <v>0</v>
      </c>
      <c r="L142" s="36">
        <f t="shared" si="62"/>
        <v>0</v>
      </c>
      <c r="M142" s="36"/>
      <c r="N142" s="33"/>
      <c r="O142" s="54"/>
      <c r="P142" s="39"/>
      <c r="Q142" s="54"/>
    </row>
    <row r="143" spans="1:19">
      <c r="A143" s="41"/>
      <c r="B143" s="19"/>
      <c r="C143" s="31"/>
      <c r="D143" s="67"/>
      <c r="E143" s="32"/>
      <c r="F143" s="33"/>
      <c r="G143" s="34">
        <f t="shared" si="59"/>
        <v>0</v>
      </c>
      <c r="H143" s="35" t="e">
        <f t="shared" si="63"/>
        <v>#DIV/0!</v>
      </c>
      <c r="I143" s="20" t="e">
        <f t="shared" si="60"/>
        <v>#DIV/0!</v>
      </c>
      <c r="J143" s="33"/>
      <c r="K143" s="37">
        <f t="shared" si="61"/>
        <v>0</v>
      </c>
      <c r="L143" s="36">
        <f t="shared" si="62"/>
        <v>0</v>
      </c>
      <c r="M143" s="36"/>
      <c r="N143" s="33"/>
      <c r="O143" s="54"/>
      <c r="P143" s="39"/>
      <c r="Q143" s="54"/>
    </row>
    <row r="144" spans="1:19">
      <c r="A144" s="41"/>
      <c r="B144" s="19" t="s">
        <v>89</v>
      </c>
      <c r="C144" s="31"/>
      <c r="D144" s="67"/>
      <c r="E144" s="32"/>
      <c r="F144" s="33"/>
      <c r="G144" s="34">
        <f t="shared" si="59"/>
        <v>-20</v>
      </c>
      <c r="H144" s="35" t="e">
        <f t="shared" si="63"/>
        <v>#DIV/0!</v>
      </c>
      <c r="I144" s="20" t="e">
        <f t="shared" si="60"/>
        <v>#DIV/0!</v>
      </c>
      <c r="J144" s="33"/>
      <c r="K144" s="37">
        <f t="shared" si="61"/>
        <v>0</v>
      </c>
      <c r="L144" s="36">
        <f t="shared" si="62"/>
        <v>0</v>
      </c>
      <c r="M144" s="36"/>
      <c r="N144" s="33"/>
      <c r="O144" s="54"/>
      <c r="P144" s="39"/>
      <c r="Q144" s="54"/>
    </row>
    <row r="145" spans="1:19">
      <c r="A145" s="43"/>
      <c r="B145" s="44"/>
      <c r="C145" s="45"/>
      <c r="D145" s="68"/>
      <c r="E145" s="46"/>
      <c r="F145" s="47"/>
      <c r="G145" s="48"/>
      <c r="H145" s="49"/>
      <c r="I145" s="50" t="e">
        <f>SUM(I135:I144)</f>
        <v>#DIV/0!</v>
      </c>
      <c r="J145" s="47"/>
      <c r="K145" s="47">
        <f>AVERAGE(K135:K144)</f>
        <v>0</v>
      </c>
      <c r="L145" s="47">
        <f>AVERAGE(L135:L144)</f>
        <v>0</v>
      </c>
      <c r="M145" s="50" t="e">
        <f>(L145*8)/K145</f>
        <v>#DIV/0!</v>
      </c>
      <c r="N145" s="47"/>
      <c r="O145" s="47">
        <f>AVERAGE(O135)</f>
        <v>3.5</v>
      </c>
      <c r="P145" s="47" t="e">
        <f>AVERAGE(P135)</f>
        <v>#DIV/0!</v>
      </c>
      <c r="Q145" s="50" t="e">
        <f>(O145*8)/P145</f>
        <v>#DIV/0!</v>
      </c>
    </row>
    <row r="146" spans="1:19">
      <c r="A146" s="30" t="s">
        <v>64</v>
      </c>
      <c r="B146" s="19"/>
      <c r="C146" s="31"/>
      <c r="D146" s="67"/>
      <c r="E146" s="32"/>
      <c r="F146" s="33">
        <v>0.5</v>
      </c>
      <c r="G146" s="34">
        <f t="shared" ref="G146:G156" si="64">IFERROR(VLOOKUP($B146,$T$1:$AB$34,3,0),0)</f>
        <v>0</v>
      </c>
      <c r="H146" s="35" t="e">
        <f>(C146*24)/(SUM($C$146:$C$155)*24)</f>
        <v>#DIV/0!</v>
      </c>
      <c r="I146" s="20" t="e">
        <f t="shared" ref="I146:I156" si="65">G146*H146</f>
        <v>#DIV/0!</v>
      </c>
      <c r="J146" s="33">
        <v>0.25</v>
      </c>
      <c r="K146" s="37">
        <f t="shared" ref="K146:K156" si="66">IFERROR(VLOOKUP($B146,$T$1:$AB$34,7,0),0)</f>
        <v>0</v>
      </c>
      <c r="L146" s="36">
        <f t="shared" ref="L146:L156" si="67">IFERROR(D146/(C146*24),0)</f>
        <v>0</v>
      </c>
      <c r="M146" s="36"/>
      <c r="N146" s="33">
        <v>0.25</v>
      </c>
      <c r="O146" s="54">
        <v>3.5</v>
      </c>
      <c r="P146" s="54" t="e">
        <f>(SUM(E146:E156)/(SUM(C146:C155)*24))</f>
        <v>#DIV/0!</v>
      </c>
      <c r="Q146" s="54"/>
      <c r="R146" s="3" t="e">
        <f>(I157+M157)/2</f>
        <v>#DIV/0!</v>
      </c>
      <c r="S146" s="65" t="e">
        <f>F146*I157+J146*M157+N146*Q157</f>
        <v>#DIV/0!</v>
      </c>
    </row>
    <row r="147" spans="1:19">
      <c r="A147" s="41"/>
      <c r="B147" s="19"/>
      <c r="C147" s="31"/>
      <c r="D147" s="67"/>
      <c r="E147" s="32"/>
      <c r="F147" s="33"/>
      <c r="G147" s="34">
        <f t="shared" si="64"/>
        <v>0</v>
      </c>
      <c r="H147" s="35" t="e">
        <f t="shared" ref="H147:H156" si="68">(C147*24)/(SUM($C$146:$C$155)*24)</f>
        <v>#DIV/0!</v>
      </c>
      <c r="I147" s="20" t="e">
        <f t="shared" si="65"/>
        <v>#DIV/0!</v>
      </c>
      <c r="J147" s="33"/>
      <c r="K147" s="37">
        <f t="shared" si="66"/>
        <v>0</v>
      </c>
      <c r="L147" s="36">
        <f t="shared" si="67"/>
        <v>0</v>
      </c>
      <c r="M147" s="36"/>
      <c r="N147" s="33"/>
      <c r="O147" s="54"/>
      <c r="P147" s="54"/>
      <c r="Q147" s="54"/>
    </row>
    <row r="148" spans="1:19">
      <c r="A148" s="41"/>
      <c r="B148" s="19"/>
      <c r="C148" s="31"/>
      <c r="D148" s="67"/>
      <c r="E148" s="32"/>
      <c r="F148" s="33"/>
      <c r="G148" s="34">
        <f t="shared" si="64"/>
        <v>0</v>
      </c>
      <c r="H148" s="35" t="e">
        <f t="shared" si="68"/>
        <v>#DIV/0!</v>
      </c>
      <c r="I148" s="20" t="e">
        <f t="shared" si="65"/>
        <v>#DIV/0!</v>
      </c>
      <c r="J148" s="33"/>
      <c r="K148" s="37">
        <f t="shared" si="66"/>
        <v>0</v>
      </c>
      <c r="L148" s="36">
        <f t="shared" si="67"/>
        <v>0</v>
      </c>
      <c r="M148" s="36"/>
      <c r="N148" s="33"/>
      <c r="O148" s="54"/>
      <c r="P148" s="54"/>
      <c r="Q148" s="54"/>
    </row>
    <row r="149" spans="1:19">
      <c r="A149" s="41"/>
      <c r="B149" s="19"/>
      <c r="C149" s="31"/>
      <c r="D149" s="67"/>
      <c r="E149" s="32"/>
      <c r="F149" s="33"/>
      <c r="G149" s="34">
        <f t="shared" si="64"/>
        <v>0</v>
      </c>
      <c r="H149" s="35" t="e">
        <f t="shared" si="68"/>
        <v>#DIV/0!</v>
      </c>
      <c r="I149" s="20" t="e">
        <f t="shared" si="65"/>
        <v>#DIV/0!</v>
      </c>
      <c r="J149" s="33"/>
      <c r="K149" s="37">
        <f t="shared" si="66"/>
        <v>0</v>
      </c>
      <c r="L149" s="36">
        <f t="shared" si="67"/>
        <v>0</v>
      </c>
      <c r="M149" s="36"/>
      <c r="N149" s="33"/>
      <c r="O149" s="54"/>
      <c r="P149" s="54"/>
      <c r="Q149" s="54"/>
    </row>
    <row r="150" spans="1:19">
      <c r="A150" s="41"/>
      <c r="B150" s="19"/>
      <c r="C150" s="31"/>
      <c r="D150" s="67"/>
      <c r="E150" s="32"/>
      <c r="F150" s="33"/>
      <c r="G150" s="34">
        <f t="shared" si="64"/>
        <v>0</v>
      </c>
      <c r="H150" s="35" t="e">
        <f t="shared" si="68"/>
        <v>#DIV/0!</v>
      </c>
      <c r="I150" s="20" t="e">
        <f t="shared" si="65"/>
        <v>#DIV/0!</v>
      </c>
      <c r="J150" s="33"/>
      <c r="K150" s="37">
        <f t="shared" si="66"/>
        <v>0</v>
      </c>
      <c r="L150" s="36">
        <f t="shared" si="67"/>
        <v>0</v>
      </c>
      <c r="M150" s="36"/>
      <c r="N150" s="33"/>
      <c r="O150" s="54"/>
      <c r="P150" s="54"/>
      <c r="Q150" s="54"/>
    </row>
    <row r="151" spans="1:19">
      <c r="A151" s="41"/>
      <c r="B151" s="19"/>
      <c r="C151" s="31"/>
      <c r="D151" s="67"/>
      <c r="E151" s="32"/>
      <c r="F151" s="33"/>
      <c r="G151" s="34">
        <f t="shared" si="64"/>
        <v>0</v>
      </c>
      <c r="H151" s="35" t="e">
        <f t="shared" si="68"/>
        <v>#DIV/0!</v>
      </c>
      <c r="I151" s="20" t="e">
        <f t="shared" si="65"/>
        <v>#DIV/0!</v>
      </c>
      <c r="J151" s="33"/>
      <c r="K151" s="37">
        <f t="shared" si="66"/>
        <v>0</v>
      </c>
      <c r="L151" s="36">
        <f t="shared" si="67"/>
        <v>0</v>
      </c>
      <c r="M151" s="36"/>
      <c r="N151" s="33"/>
      <c r="O151" s="54"/>
      <c r="P151" s="54"/>
      <c r="Q151" s="54"/>
    </row>
    <row r="152" spans="1:19">
      <c r="A152" s="41"/>
      <c r="B152" s="19"/>
      <c r="C152" s="31"/>
      <c r="D152" s="67"/>
      <c r="E152" s="32"/>
      <c r="F152" s="33"/>
      <c r="G152" s="34">
        <f t="shared" si="64"/>
        <v>0</v>
      </c>
      <c r="H152" s="35" t="e">
        <f t="shared" si="68"/>
        <v>#DIV/0!</v>
      </c>
      <c r="I152" s="20" t="e">
        <f t="shared" si="65"/>
        <v>#DIV/0!</v>
      </c>
      <c r="J152" s="33"/>
      <c r="K152" s="37">
        <f t="shared" si="66"/>
        <v>0</v>
      </c>
      <c r="L152" s="36">
        <f t="shared" si="67"/>
        <v>0</v>
      </c>
      <c r="M152" s="36"/>
      <c r="N152" s="33"/>
      <c r="O152" s="54"/>
      <c r="P152" s="54"/>
      <c r="Q152" s="54"/>
    </row>
    <row r="153" spans="1:19">
      <c r="A153" s="41"/>
      <c r="B153" s="19"/>
      <c r="C153" s="31"/>
      <c r="D153" s="67"/>
      <c r="E153" s="32"/>
      <c r="F153" s="33"/>
      <c r="G153" s="34">
        <f t="shared" si="64"/>
        <v>0</v>
      </c>
      <c r="H153" s="35" t="e">
        <f t="shared" si="68"/>
        <v>#DIV/0!</v>
      </c>
      <c r="I153" s="20" t="e">
        <f t="shared" si="65"/>
        <v>#DIV/0!</v>
      </c>
      <c r="J153" s="33"/>
      <c r="K153" s="37">
        <f t="shared" si="66"/>
        <v>0</v>
      </c>
      <c r="L153" s="36">
        <f t="shared" si="67"/>
        <v>0</v>
      </c>
      <c r="M153" s="36"/>
      <c r="N153" s="33"/>
      <c r="O153" s="54"/>
      <c r="P153" s="54"/>
      <c r="Q153" s="54"/>
    </row>
    <row r="154" spans="1:19">
      <c r="A154" s="41"/>
      <c r="B154" s="19"/>
      <c r="C154" s="31"/>
      <c r="D154" s="67"/>
      <c r="E154" s="32"/>
      <c r="F154" s="33"/>
      <c r="G154" s="34">
        <f t="shared" si="64"/>
        <v>0</v>
      </c>
      <c r="H154" s="35" t="e">
        <f t="shared" si="68"/>
        <v>#DIV/0!</v>
      </c>
      <c r="I154" s="20" t="e">
        <f t="shared" si="65"/>
        <v>#DIV/0!</v>
      </c>
      <c r="J154" s="33"/>
      <c r="K154" s="37">
        <f t="shared" si="66"/>
        <v>0</v>
      </c>
      <c r="L154" s="36">
        <f t="shared" si="67"/>
        <v>0</v>
      </c>
      <c r="M154" s="36"/>
      <c r="N154" s="33"/>
      <c r="O154" s="54"/>
      <c r="P154" s="54"/>
      <c r="Q154" s="54"/>
    </row>
    <row r="155" spans="1:19">
      <c r="A155" s="41"/>
      <c r="B155" s="19"/>
      <c r="C155" s="31"/>
      <c r="D155" s="67"/>
      <c r="E155" s="32"/>
      <c r="F155" s="33"/>
      <c r="G155" s="34">
        <f t="shared" si="64"/>
        <v>0</v>
      </c>
      <c r="H155" s="35" t="e">
        <f t="shared" si="68"/>
        <v>#DIV/0!</v>
      </c>
      <c r="I155" s="20" t="e">
        <f t="shared" si="65"/>
        <v>#DIV/0!</v>
      </c>
      <c r="J155" s="33"/>
      <c r="K155" s="37">
        <f t="shared" si="66"/>
        <v>0</v>
      </c>
      <c r="L155" s="36">
        <f t="shared" si="67"/>
        <v>0</v>
      </c>
      <c r="M155" s="36"/>
      <c r="N155" s="33"/>
      <c r="O155" s="54"/>
      <c r="P155" s="54"/>
      <c r="Q155" s="54"/>
    </row>
    <row r="156" spans="1:19">
      <c r="A156" s="41"/>
      <c r="B156" s="19" t="s">
        <v>89</v>
      </c>
      <c r="C156" s="31"/>
      <c r="D156" s="67"/>
      <c r="E156" s="32"/>
      <c r="F156" s="33"/>
      <c r="G156" s="34">
        <f t="shared" si="64"/>
        <v>-20</v>
      </c>
      <c r="H156" s="35" t="e">
        <f t="shared" si="68"/>
        <v>#DIV/0!</v>
      </c>
      <c r="I156" s="20" t="e">
        <f t="shared" si="65"/>
        <v>#DIV/0!</v>
      </c>
      <c r="J156" s="33"/>
      <c r="K156" s="37">
        <f t="shared" si="66"/>
        <v>0</v>
      </c>
      <c r="L156" s="36">
        <f t="shared" si="67"/>
        <v>0</v>
      </c>
      <c r="M156" s="36"/>
      <c r="N156" s="33"/>
      <c r="O156" s="54"/>
      <c r="P156" s="54"/>
      <c r="Q156" s="54"/>
    </row>
    <row r="157" spans="1:19">
      <c r="A157" s="43"/>
      <c r="B157" s="44"/>
      <c r="C157" s="45"/>
      <c r="D157" s="68"/>
      <c r="E157" s="46"/>
      <c r="F157" s="47"/>
      <c r="G157" s="48"/>
      <c r="H157" s="49"/>
      <c r="I157" s="50" t="e">
        <f>SUM(I146:I156)</f>
        <v>#DIV/0!</v>
      </c>
      <c r="J157" s="47"/>
      <c r="K157" s="47">
        <f>AVERAGE(K146:K156)</f>
        <v>0</v>
      </c>
      <c r="L157" s="47">
        <f>AVERAGE(L146:L156)</f>
        <v>0</v>
      </c>
      <c r="M157" s="50" t="e">
        <f>(L157*8)/K157</f>
        <v>#DIV/0!</v>
      </c>
      <c r="N157" s="47"/>
      <c r="O157" s="47">
        <f>AVERAGE(O146)</f>
        <v>3.5</v>
      </c>
      <c r="P157" s="47" t="e">
        <f>AVERAGE(P146)</f>
        <v>#DIV/0!</v>
      </c>
      <c r="Q157" s="50" t="e">
        <f>(O157*8)/P157</f>
        <v>#DIV/0!</v>
      </c>
    </row>
    <row r="158" spans="1:19">
      <c r="A158" s="30" t="s">
        <v>120</v>
      </c>
      <c r="B158" s="19"/>
      <c r="C158" s="31"/>
      <c r="D158" s="67"/>
      <c r="E158" s="32"/>
      <c r="F158" s="33">
        <v>0.5</v>
      </c>
      <c r="G158" s="34">
        <f t="shared" ref="G158:G167" si="69">IFERROR(VLOOKUP($B158,$T$1:$AB$34,3,0),0)</f>
        <v>0</v>
      </c>
      <c r="H158" s="35" t="e">
        <f>(C158*24)/(SUM($C$158:$C$166)*24)</f>
        <v>#DIV/0!</v>
      </c>
      <c r="I158" s="20" t="e">
        <f t="shared" ref="I158:I167" si="70">G158*H158</f>
        <v>#DIV/0!</v>
      </c>
      <c r="J158" s="33">
        <v>0.25</v>
      </c>
      <c r="K158" s="37">
        <f t="shared" ref="K158:K167" si="71">IFERROR(VLOOKUP($B158,$T$1:$AB$34,7,0),0)</f>
        <v>0</v>
      </c>
      <c r="L158" s="36">
        <f t="shared" ref="L158:L167" si="72">IFERROR(D158/(C158*24),0)</f>
        <v>0</v>
      </c>
      <c r="M158" s="36"/>
      <c r="N158" s="33">
        <v>0.25</v>
      </c>
      <c r="O158" s="54">
        <v>3.5</v>
      </c>
      <c r="P158" s="54" t="e">
        <f>(SUM(E158:E167)/(SUM(C158:C166)*24))</f>
        <v>#DIV/0!</v>
      </c>
      <c r="Q158" s="54"/>
      <c r="R158" s="3" t="e">
        <f>(I168+M168)/2</f>
        <v>#DIV/0!</v>
      </c>
      <c r="S158" s="65" t="e">
        <f>F158*I168+J158*M168+N158*Q168</f>
        <v>#DIV/0!</v>
      </c>
    </row>
    <row r="159" spans="1:19">
      <c r="A159" s="41"/>
      <c r="B159" s="19"/>
      <c r="C159" s="31"/>
      <c r="D159" s="67"/>
      <c r="E159" s="32"/>
      <c r="F159" s="33"/>
      <c r="G159" s="34">
        <f t="shared" si="69"/>
        <v>0</v>
      </c>
      <c r="H159" s="35" t="e">
        <f t="shared" ref="H159:H167" si="73">(C159*24)/(SUM($C$158:$C$166)*24)</f>
        <v>#DIV/0!</v>
      </c>
      <c r="I159" s="20" t="e">
        <f t="shared" si="70"/>
        <v>#DIV/0!</v>
      </c>
      <c r="J159" s="33"/>
      <c r="K159" s="37">
        <f t="shared" si="71"/>
        <v>0</v>
      </c>
      <c r="L159" s="36">
        <f t="shared" si="72"/>
        <v>0</v>
      </c>
      <c r="M159" s="36"/>
      <c r="N159" s="33"/>
      <c r="O159" s="54"/>
      <c r="P159" s="54"/>
      <c r="Q159" s="54"/>
    </row>
    <row r="160" spans="1:19">
      <c r="A160" s="41"/>
      <c r="B160" s="19"/>
      <c r="C160" s="31"/>
      <c r="D160" s="67"/>
      <c r="E160" s="32"/>
      <c r="F160" s="33"/>
      <c r="G160" s="34">
        <f t="shared" si="69"/>
        <v>0</v>
      </c>
      <c r="H160" s="35" t="e">
        <f t="shared" si="73"/>
        <v>#DIV/0!</v>
      </c>
      <c r="I160" s="20" t="e">
        <f t="shared" si="70"/>
        <v>#DIV/0!</v>
      </c>
      <c r="J160" s="33"/>
      <c r="K160" s="37">
        <f t="shared" si="71"/>
        <v>0</v>
      </c>
      <c r="L160" s="36">
        <f t="shared" si="72"/>
        <v>0</v>
      </c>
      <c r="M160" s="36"/>
      <c r="N160" s="33"/>
      <c r="O160" s="54"/>
      <c r="P160" s="54"/>
      <c r="Q160" s="54"/>
    </row>
    <row r="161" spans="1:19">
      <c r="A161" s="41"/>
      <c r="B161" s="19"/>
      <c r="C161" s="31"/>
      <c r="D161" s="67"/>
      <c r="E161" s="32"/>
      <c r="F161" s="33"/>
      <c r="G161" s="34">
        <f t="shared" si="69"/>
        <v>0</v>
      </c>
      <c r="H161" s="35" t="e">
        <f t="shared" si="73"/>
        <v>#DIV/0!</v>
      </c>
      <c r="I161" s="20" t="e">
        <f t="shared" si="70"/>
        <v>#DIV/0!</v>
      </c>
      <c r="J161" s="33"/>
      <c r="K161" s="37">
        <f t="shared" si="71"/>
        <v>0</v>
      </c>
      <c r="L161" s="36">
        <f t="shared" si="72"/>
        <v>0</v>
      </c>
      <c r="M161" s="36"/>
      <c r="N161" s="33"/>
      <c r="O161" s="54"/>
      <c r="P161" s="54"/>
      <c r="Q161" s="54"/>
    </row>
    <row r="162" spans="1:19">
      <c r="A162" s="41"/>
      <c r="B162" s="19"/>
      <c r="C162" s="31"/>
      <c r="D162" s="67"/>
      <c r="E162" s="32"/>
      <c r="F162" s="33"/>
      <c r="G162" s="34">
        <f t="shared" si="69"/>
        <v>0</v>
      </c>
      <c r="H162" s="35" t="e">
        <f t="shared" si="73"/>
        <v>#DIV/0!</v>
      </c>
      <c r="I162" s="20" t="e">
        <f t="shared" si="70"/>
        <v>#DIV/0!</v>
      </c>
      <c r="J162" s="33"/>
      <c r="K162" s="37">
        <f t="shared" si="71"/>
        <v>0</v>
      </c>
      <c r="L162" s="36">
        <f t="shared" si="72"/>
        <v>0</v>
      </c>
      <c r="M162" s="36"/>
      <c r="N162" s="33"/>
      <c r="O162" s="54"/>
      <c r="P162" s="54"/>
      <c r="Q162" s="54"/>
    </row>
    <row r="163" spans="1:19">
      <c r="A163" s="41"/>
      <c r="B163" s="19"/>
      <c r="C163" s="31"/>
      <c r="D163" s="67"/>
      <c r="E163" s="32"/>
      <c r="F163" s="33"/>
      <c r="G163" s="34">
        <f t="shared" si="69"/>
        <v>0</v>
      </c>
      <c r="H163" s="35" t="e">
        <f t="shared" si="73"/>
        <v>#DIV/0!</v>
      </c>
      <c r="I163" s="20" t="e">
        <f t="shared" si="70"/>
        <v>#DIV/0!</v>
      </c>
      <c r="J163" s="33"/>
      <c r="K163" s="37">
        <f t="shared" si="71"/>
        <v>0</v>
      </c>
      <c r="L163" s="36">
        <f t="shared" si="72"/>
        <v>0</v>
      </c>
      <c r="M163" s="36"/>
      <c r="N163" s="33"/>
      <c r="O163" s="54"/>
      <c r="P163" s="54"/>
      <c r="Q163" s="54"/>
    </row>
    <row r="164" spans="1:19">
      <c r="A164" s="41"/>
      <c r="B164" s="19"/>
      <c r="C164" s="31"/>
      <c r="D164" s="67"/>
      <c r="E164" s="32"/>
      <c r="F164" s="33"/>
      <c r="G164" s="34">
        <f t="shared" si="69"/>
        <v>0</v>
      </c>
      <c r="H164" s="35" t="e">
        <f t="shared" si="73"/>
        <v>#DIV/0!</v>
      </c>
      <c r="I164" s="20" t="e">
        <f t="shared" si="70"/>
        <v>#DIV/0!</v>
      </c>
      <c r="J164" s="33"/>
      <c r="K164" s="37">
        <f t="shared" si="71"/>
        <v>0</v>
      </c>
      <c r="L164" s="36">
        <f t="shared" si="72"/>
        <v>0</v>
      </c>
      <c r="M164" s="36"/>
      <c r="N164" s="33"/>
      <c r="O164" s="54"/>
      <c r="P164" s="54"/>
      <c r="Q164" s="54"/>
    </row>
    <row r="165" spans="1:19">
      <c r="A165" s="41"/>
      <c r="B165" s="19"/>
      <c r="C165" s="31"/>
      <c r="D165" s="67"/>
      <c r="E165" s="32"/>
      <c r="F165" s="33"/>
      <c r="G165" s="34">
        <f t="shared" si="69"/>
        <v>0</v>
      </c>
      <c r="H165" s="35" t="e">
        <f t="shared" si="73"/>
        <v>#DIV/0!</v>
      </c>
      <c r="I165" s="20" t="e">
        <f t="shared" si="70"/>
        <v>#DIV/0!</v>
      </c>
      <c r="J165" s="33"/>
      <c r="K165" s="37">
        <f t="shared" si="71"/>
        <v>0</v>
      </c>
      <c r="L165" s="36">
        <f t="shared" si="72"/>
        <v>0</v>
      </c>
      <c r="M165" s="36"/>
      <c r="N165" s="33"/>
      <c r="O165" s="54"/>
      <c r="P165" s="54"/>
      <c r="Q165" s="54"/>
    </row>
    <row r="166" spans="1:19">
      <c r="A166" s="41"/>
      <c r="B166" s="19"/>
      <c r="C166" s="31"/>
      <c r="D166" s="67"/>
      <c r="E166" s="32"/>
      <c r="F166" s="33"/>
      <c r="G166" s="34">
        <f t="shared" si="69"/>
        <v>0</v>
      </c>
      <c r="H166" s="35" t="e">
        <f t="shared" si="73"/>
        <v>#DIV/0!</v>
      </c>
      <c r="I166" s="20" t="e">
        <f t="shared" si="70"/>
        <v>#DIV/0!</v>
      </c>
      <c r="J166" s="33"/>
      <c r="K166" s="37">
        <f t="shared" si="71"/>
        <v>0</v>
      </c>
      <c r="L166" s="36">
        <f t="shared" si="72"/>
        <v>0</v>
      </c>
      <c r="M166" s="36"/>
      <c r="N166" s="33"/>
      <c r="O166" s="54"/>
      <c r="P166" s="54"/>
      <c r="Q166" s="54"/>
    </row>
    <row r="167" spans="1:19">
      <c r="A167" s="41"/>
      <c r="B167" s="19" t="s">
        <v>89</v>
      </c>
      <c r="C167" s="31"/>
      <c r="D167" s="67"/>
      <c r="E167" s="32"/>
      <c r="F167" s="33"/>
      <c r="G167" s="34">
        <f t="shared" si="69"/>
        <v>-20</v>
      </c>
      <c r="H167" s="35" t="e">
        <f t="shared" si="73"/>
        <v>#DIV/0!</v>
      </c>
      <c r="I167" s="20" t="e">
        <f t="shared" si="70"/>
        <v>#DIV/0!</v>
      </c>
      <c r="J167" s="33"/>
      <c r="K167" s="37">
        <f t="shared" si="71"/>
        <v>0</v>
      </c>
      <c r="L167" s="36">
        <f t="shared" si="72"/>
        <v>0</v>
      </c>
      <c r="M167" s="36"/>
      <c r="N167" s="33"/>
      <c r="O167" s="54"/>
      <c r="P167" s="54"/>
      <c r="Q167" s="54"/>
    </row>
    <row r="168" spans="1:19">
      <c r="A168" s="43"/>
      <c r="B168" s="44"/>
      <c r="C168" s="45"/>
      <c r="D168" s="68"/>
      <c r="E168" s="46"/>
      <c r="F168" s="47"/>
      <c r="G168" s="48"/>
      <c r="H168" s="49"/>
      <c r="I168" s="50" t="e">
        <f>SUM(I158:I167)</f>
        <v>#DIV/0!</v>
      </c>
      <c r="J168" s="47"/>
      <c r="K168" s="47">
        <f>AVERAGE(K158:K167)</f>
        <v>0</v>
      </c>
      <c r="L168" s="47">
        <f>AVERAGE(L158:L167)</f>
        <v>0</v>
      </c>
      <c r="M168" s="50" t="e">
        <f>(L168*8)/K168</f>
        <v>#DIV/0!</v>
      </c>
      <c r="N168" s="47"/>
      <c r="O168" s="47">
        <f>AVERAGE(O158)</f>
        <v>3.5</v>
      </c>
      <c r="P168" s="47" t="e">
        <f>AVERAGE(P158)</f>
        <v>#DIV/0!</v>
      </c>
      <c r="Q168" s="50" t="e">
        <f>(O168*8)/P168</f>
        <v>#DIV/0!</v>
      </c>
    </row>
    <row r="169" spans="1:19">
      <c r="A169" s="30" t="s">
        <v>121</v>
      </c>
      <c r="B169" s="19"/>
      <c r="C169" s="31"/>
      <c r="D169" s="67"/>
      <c r="E169" s="32"/>
      <c r="F169" s="33">
        <v>0.5</v>
      </c>
      <c r="G169" s="34">
        <f t="shared" ref="G169:G178" si="74">IFERROR(VLOOKUP($B169,$T$1:$AB$34,3,0),0)</f>
        <v>0</v>
      </c>
      <c r="H169" s="35" t="e">
        <f t="shared" ref="H169:H178" si="75">(C169*24)/(SUM($C$169:$C$178)*24)</f>
        <v>#DIV/0!</v>
      </c>
      <c r="I169" s="20" t="e">
        <f t="shared" ref="I169:I178" si="76">G169*H169</f>
        <v>#DIV/0!</v>
      </c>
      <c r="J169" s="33">
        <v>0.25</v>
      </c>
      <c r="K169" s="37">
        <f t="shared" ref="K169:K178" si="77">IFERROR(VLOOKUP($B169,$T$1:$AB$34,7,0),0)</f>
        <v>0</v>
      </c>
      <c r="L169" s="36">
        <f t="shared" ref="L169:L178" si="78">IFERROR(D169/(C169*24),0)</f>
        <v>0</v>
      </c>
      <c r="M169" s="36"/>
      <c r="N169" s="33">
        <v>0.25</v>
      </c>
      <c r="O169" s="54">
        <v>3.5</v>
      </c>
      <c r="P169" s="54" t="e">
        <f>(SUM(E169:E178)/(SUM(C169:C177)*24))</f>
        <v>#DIV/0!</v>
      </c>
      <c r="Q169" s="54"/>
      <c r="R169" s="3" t="e">
        <f>(I179+M179)/2</f>
        <v>#DIV/0!</v>
      </c>
      <c r="S169" s="65" t="e">
        <f>F169*I179+J169*M179+N169*Q179</f>
        <v>#DIV/0!</v>
      </c>
    </row>
    <row r="170" spans="1:19">
      <c r="A170" s="41"/>
      <c r="B170" s="19"/>
      <c r="C170" s="31"/>
      <c r="D170" s="67"/>
      <c r="E170" s="32"/>
      <c r="F170" s="33"/>
      <c r="G170" s="34">
        <f t="shared" si="74"/>
        <v>0</v>
      </c>
      <c r="H170" s="35" t="e">
        <f t="shared" si="75"/>
        <v>#DIV/0!</v>
      </c>
      <c r="I170" s="20" t="e">
        <f t="shared" si="76"/>
        <v>#DIV/0!</v>
      </c>
      <c r="J170" s="33"/>
      <c r="K170" s="37">
        <f t="shared" si="77"/>
        <v>0</v>
      </c>
      <c r="L170" s="36">
        <f t="shared" si="78"/>
        <v>0</v>
      </c>
      <c r="M170" s="36"/>
      <c r="N170" s="33"/>
      <c r="O170" s="54"/>
      <c r="P170" s="54"/>
      <c r="Q170" s="54"/>
    </row>
    <row r="171" spans="1:19">
      <c r="A171" s="41"/>
      <c r="B171" s="19"/>
      <c r="C171" s="31"/>
      <c r="D171" s="67"/>
      <c r="E171" s="32"/>
      <c r="F171" s="33"/>
      <c r="G171" s="34">
        <f t="shared" si="74"/>
        <v>0</v>
      </c>
      <c r="H171" s="35" t="e">
        <f t="shared" si="75"/>
        <v>#DIV/0!</v>
      </c>
      <c r="I171" s="20" t="e">
        <f t="shared" si="76"/>
        <v>#DIV/0!</v>
      </c>
      <c r="J171" s="33"/>
      <c r="K171" s="37">
        <f t="shared" si="77"/>
        <v>0</v>
      </c>
      <c r="L171" s="36">
        <f t="shared" si="78"/>
        <v>0</v>
      </c>
      <c r="M171" s="36"/>
      <c r="N171" s="33"/>
      <c r="O171" s="54"/>
      <c r="P171" s="54"/>
      <c r="Q171" s="54"/>
    </row>
    <row r="172" spans="1:19">
      <c r="A172" s="41"/>
      <c r="B172" s="19"/>
      <c r="C172" s="31"/>
      <c r="D172" s="67"/>
      <c r="E172" s="32"/>
      <c r="F172" s="33"/>
      <c r="G172" s="34">
        <f t="shared" si="74"/>
        <v>0</v>
      </c>
      <c r="H172" s="35" t="e">
        <f t="shared" si="75"/>
        <v>#DIV/0!</v>
      </c>
      <c r="I172" s="20" t="e">
        <f t="shared" si="76"/>
        <v>#DIV/0!</v>
      </c>
      <c r="J172" s="33"/>
      <c r="K172" s="37">
        <f t="shared" si="77"/>
        <v>0</v>
      </c>
      <c r="L172" s="36">
        <f t="shared" si="78"/>
        <v>0</v>
      </c>
      <c r="M172" s="36"/>
      <c r="N172" s="33"/>
      <c r="O172" s="54"/>
      <c r="P172" s="54"/>
      <c r="Q172" s="54"/>
    </row>
    <row r="173" spans="1:19">
      <c r="A173" s="41"/>
      <c r="B173" s="19"/>
      <c r="C173" s="31"/>
      <c r="D173" s="67"/>
      <c r="E173" s="32"/>
      <c r="F173" s="33"/>
      <c r="G173" s="34">
        <f t="shared" si="74"/>
        <v>0</v>
      </c>
      <c r="H173" s="35" t="e">
        <f t="shared" si="75"/>
        <v>#DIV/0!</v>
      </c>
      <c r="I173" s="20" t="e">
        <f t="shared" si="76"/>
        <v>#DIV/0!</v>
      </c>
      <c r="J173" s="33"/>
      <c r="K173" s="37">
        <f t="shared" si="77"/>
        <v>0</v>
      </c>
      <c r="L173" s="36">
        <f t="shared" si="78"/>
        <v>0</v>
      </c>
      <c r="M173" s="36"/>
      <c r="N173" s="33"/>
      <c r="O173" s="54"/>
      <c r="P173" s="54"/>
      <c r="Q173" s="54"/>
    </row>
    <row r="174" spans="1:19">
      <c r="A174" s="41"/>
      <c r="B174" s="19"/>
      <c r="C174" s="31"/>
      <c r="D174" s="67"/>
      <c r="E174" s="32"/>
      <c r="F174" s="33"/>
      <c r="G174" s="34">
        <f t="shared" si="74"/>
        <v>0</v>
      </c>
      <c r="H174" s="35" t="e">
        <f t="shared" si="75"/>
        <v>#DIV/0!</v>
      </c>
      <c r="I174" s="20" t="e">
        <f t="shared" si="76"/>
        <v>#DIV/0!</v>
      </c>
      <c r="J174" s="33"/>
      <c r="K174" s="37">
        <f t="shared" si="77"/>
        <v>0</v>
      </c>
      <c r="L174" s="36">
        <f t="shared" si="78"/>
        <v>0</v>
      </c>
      <c r="M174" s="36"/>
      <c r="N174" s="33"/>
      <c r="O174" s="54"/>
      <c r="P174" s="54"/>
      <c r="Q174" s="54"/>
    </row>
    <row r="175" spans="1:19">
      <c r="A175" s="41"/>
      <c r="B175" s="19"/>
      <c r="C175" s="31"/>
      <c r="D175" s="67"/>
      <c r="E175" s="32"/>
      <c r="F175" s="33"/>
      <c r="G175" s="34">
        <f t="shared" si="74"/>
        <v>0</v>
      </c>
      <c r="H175" s="35" t="e">
        <f t="shared" si="75"/>
        <v>#DIV/0!</v>
      </c>
      <c r="I175" s="20" t="e">
        <f t="shared" si="76"/>
        <v>#DIV/0!</v>
      </c>
      <c r="J175" s="33"/>
      <c r="K175" s="37">
        <f t="shared" si="77"/>
        <v>0</v>
      </c>
      <c r="L175" s="36">
        <f t="shared" si="78"/>
        <v>0</v>
      </c>
      <c r="M175" s="36"/>
      <c r="N175" s="33"/>
      <c r="O175" s="54"/>
      <c r="P175" s="54"/>
      <c r="Q175" s="54"/>
    </row>
    <row r="176" spans="1:19">
      <c r="A176" s="41"/>
      <c r="B176" s="19"/>
      <c r="C176" s="31"/>
      <c r="D176" s="67"/>
      <c r="E176" s="32"/>
      <c r="F176" s="33"/>
      <c r="G176" s="34">
        <f t="shared" si="74"/>
        <v>0</v>
      </c>
      <c r="H176" s="35" t="e">
        <f t="shared" si="75"/>
        <v>#DIV/0!</v>
      </c>
      <c r="I176" s="20" t="e">
        <f t="shared" si="76"/>
        <v>#DIV/0!</v>
      </c>
      <c r="J176" s="33"/>
      <c r="K176" s="37">
        <f t="shared" si="77"/>
        <v>0</v>
      </c>
      <c r="L176" s="36">
        <f t="shared" si="78"/>
        <v>0</v>
      </c>
      <c r="M176" s="36"/>
      <c r="N176" s="33"/>
      <c r="O176" s="54"/>
      <c r="P176" s="54"/>
      <c r="Q176" s="54"/>
    </row>
    <row r="177" spans="1:19">
      <c r="A177" s="41"/>
      <c r="B177" s="19"/>
      <c r="C177" s="31"/>
      <c r="D177" s="67"/>
      <c r="E177" s="32"/>
      <c r="F177" s="33"/>
      <c r="G177" s="34">
        <f t="shared" si="74"/>
        <v>0</v>
      </c>
      <c r="H177" s="35" t="e">
        <f t="shared" si="75"/>
        <v>#DIV/0!</v>
      </c>
      <c r="I177" s="20" t="e">
        <f t="shared" si="76"/>
        <v>#DIV/0!</v>
      </c>
      <c r="J177" s="33"/>
      <c r="K177" s="37">
        <f t="shared" si="77"/>
        <v>0</v>
      </c>
      <c r="L177" s="36">
        <f t="shared" si="78"/>
        <v>0</v>
      </c>
      <c r="M177" s="36"/>
      <c r="N177" s="33"/>
      <c r="O177" s="54"/>
      <c r="P177" s="54"/>
      <c r="Q177" s="54"/>
    </row>
    <row r="178" spans="1:19">
      <c r="A178" s="41"/>
      <c r="B178" s="19" t="s">
        <v>89</v>
      </c>
      <c r="C178" s="31"/>
      <c r="D178" s="67"/>
      <c r="E178" s="32"/>
      <c r="F178" s="33"/>
      <c r="G178" s="34">
        <f t="shared" si="74"/>
        <v>-20</v>
      </c>
      <c r="H178" s="35" t="e">
        <f t="shared" si="75"/>
        <v>#DIV/0!</v>
      </c>
      <c r="I178" s="20" t="e">
        <f t="shared" si="76"/>
        <v>#DIV/0!</v>
      </c>
      <c r="J178" s="33"/>
      <c r="K178" s="37">
        <f t="shared" si="77"/>
        <v>0</v>
      </c>
      <c r="L178" s="36">
        <f t="shared" si="78"/>
        <v>0</v>
      </c>
      <c r="M178" s="36"/>
      <c r="N178" s="33"/>
      <c r="O178" s="54"/>
      <c r="P178" s="54"/>
      <c r="Q178" s="54"/>
    </row>
    <row r="179" spans="1:19">
      <c r="A179" s="43"/>
      <c r="B179" s="44"/>
      <c r="C179" s="45"/>
      <c r="D179" s="68"/>
      <c r="E179" s="46"/>
      <c r="F179" s="47"/>
      <c r="G179" s="48"/>
      <c r="H179" s="49"/>
      <c r="I179" s="50" t="e">
        <f>SUM(I169:I178)</f>
        <v>#DIV/0!</v>
      </c>
      <c r="J179" s="47"/>
      <c r="K179" s="47">
        <f>AVERAGE(K169:K178)</f>
        <v>0</v>
      </c>
      <c r="L179" s="47">
        <f>AVERAGE(L169:L178)</f>
        <v>0</v>
      </c>
      <c r="M179" s="50" t="e">
        <f>(L179*8)/K179</f>
        <v>#DIV/0!</v>
      </c>
      <c r="N179" s="47"/>
      <c r="O179" s="47">
        <f>AVERAGE(O169:O178)</f>
        <v>3.5</v>
      </c>
      <c r="P179" s="47" t="e">
        <f>AVERAGE(P169:P178)</f>
        <v>#DIV/0!</v>
      </c>
      <c r="Q179" s="50" t="e">
        <f>(O179*8)/P179</f>
        <v>#DIV/0!</v>
      </c>
    </row>
    <row r="180" spans="1:19">
      <c r="A180" s="30" t="s">
        <v>124</v>
      </c>
      <c r="B180" s="19" t="s">
        <v>79</v>
      </c>
      <c r="C180" s="31">
        <v>0.3125</v>
      </c>
      <c r="D180" s="67">
        <v>33</v>
      </c>
      <c r="E180" s="32"/>
      <c r="F180" s="33">
        <v>0.5</v>
      </c>
      <c r="G180" s="34">
        <f t="shared" ref="G180:G189" si="79">IFERROR(VLOOKUP($B180,$T$1:$AB$34,3,0),0)</f>
        <v>7</v>
      </c>
      <c r="H180" s="35">
        <f>(C180*24)/(SUM($C$180:$C$189)*24)</f>
        <v>0.9375</v>
      </c>
      <c r="I180" s="20">
        <f t="shared" ref="I180:I189" si="80">G180*H180</f>
        <v>6.5625</v>
      </c>
      <c r="J180" s="33">
        <v>0.25</v>
      </c>
      <c r="K180" s="37">
        <f t="shared" ref="K180:K189" si="81">IFERROR(VLOOKUP($B180,$T$1:$AB$34,7,0),0)</f>
        <v>8</v>
      </c>
      <c r="L180" s="36">
        <f t="shared" ref="L180:L189" si="82">IFERROR(D180/(C180*24),0)</f>
        <v>4.4000000000000004</v>
      </c>
      <c r="M180" s="36"/>
      <c r="N180" s="33">
        <v>0.25</v>
      </c>
      <c r="O180" s="54">
        <v>3.5</v>
      </c>
      <c r="P180" s="54">
        <f>(SUM(E180:E189)/(SUM(C180:C188)*24))</f>
        <v>0</v>
      </c>
      <c r="Q180" s="54"/>
      <c r="R180" s="3">
        <f>(I190+M190)/2</f>
        <v>6.9309278350515466</v>
      </c>
      <c r="S180" s="66" t="e">
        <f>F180*I190+J180*M190+N180*Q190</f>
        <v>#DIV/0!</v>
      </c>
    </row>
    <row r="181" spans="1:19">
      <c r="A181" s="41"/>
      <c r="B181" s="19" t="s">
        <v>63</v>
      </c>
      <c r="C181" s="31">
        <v>2.0833333333333332E-2</v>
      </c>
      <c r="D181" s="67">
        <v>3</v>
      </c>
      <c r="E181" s="32"/>
      <c r="F181" s="33"/>
      <c r="G181" s="34">
        <f t="shared" si="79"/>
        <v>7</v>
      </c>
      <c r="H181" s="35">
        <f t="shared" ref="H181:H189" si="83">(C181*24)/(SUM($C$180:$C$189)*24)</f>
        <v>6.25E-2</v>
      </c>
      <c r="I181" s="20">
        <f t="shared" si="80"/>
        <v>0.4375</v>
      </c>
      <c r="J181" s="33"/>
      <c r="K181" s="37">
        <f t="shared" si="81"/>
        <v>4.125</v>
      </c>
      <c r="L181" s="36">
        <f t="shared" si="82"/>
        <v>6</v>
      </c>
      <c r="M181" s="36"/>
      <c r="N181" s="33"/>
      <c r="O181" s="54"/>
      <c r="P181" s="54"/>
      <c r="Q181" s="54"/>
    </row>
    <row r="182" spans="1:19">
      <c r="A182" s="41"/>
      <c r="B182" s="19"/>
      <c r="C182" s="31"/>
      <c r="D182" s="67"/>
      <c r="E182" s="32"/>
      <c r="F182" s="33"/>
      <c r="G182" s="34">
        <f t="shared" si="79"/>
        <v>0</v>
      </c>
      <c r="H182" s="35">
        <f t="shared" si="83"/>
        <v>0</v>
      </c>
      <c r="I182" s="20">
        <f t="shared" si="80"/>
        <v>0</v>
      </c>
      <c r="J182" s="33"/>
      <c r="K182" s="37">
        <f t="shared" si="81"/>
        <v>0</v>
      </c>
      <c r="L182" s="36">
        <f t="shared" si="82"/>
        <v>0</v>
      </c>
      <c r="M182" s="36"/>
      <c r="N182" s="33"/>
      <c r="O182" s="54"/>
      <c r="P182" s="54"/>
      <c r="Q182" s="54"/>
    </row>
    <row r="183" spans="1:19">
      <c r="A183" s="41"/>
      <c r="B183" s="19"/>
      <c r="C183" s="31"/>
      <c r="D183" s="67"/>
      <c r="E183" s="32"/>
      <c r="F183" s="33"/>
      <c r="G183" s="34">
        <f t="shared" si="79"/>
        <v>0</v>
      </c>
      <c r="H183" s="35">
        <f t="shared" si="83"/>
        <v>0</v>
      </c>
      <c r="I183" s="20">
        <f t="shared" si="80"/>
        <v>0</v>
      </c>
      <c r="J183" s="33"/>
      <c r="K183" s="37">
        <f t="shared" si="81"/>
        <v>0</v>
      </c>
      <c r="L183" s="36">
        <f t="shared" si="82"/>
        <v>0</v>
      </c>
      <c r="M183" s="36"/>
      <c r="N183" s="33"/>
      <c r="O183" s="54"/>
      <c r="P183" s="54"/>
      <c r="Q183" s="54"/>
    </row>
    <row r="184" spans="1:19">
      <c r="A184" s="41"/>
      <c r="B184" s="19"/>
      <c r="C184" s="31"/>
      <c r="D184" s="67"/>
      <c r="E184" s="32"/>
      <c r="F184" s="33"/>
      <c r="G184" s="34">
        <f t="shared" si="79"/>
        <v>0</v>
      </c>
      <c r="H184" s="35">
        <f t="shared" si="83"/>
        <v>0</v>
      </c>
      <c r="I184" s="20">
        <f t="shared" si="80"/>
        <v>0</v>
      </c>
      <c r="J184" s="33"/>
      <c r="K184" s="37">
        <f t="shared" si="81"/>
        <v>0</v>
      </c>
      <c r="L184" s="36">
        <f t="shared" si="82"/>
        <v>0</v>
      </c>
      <c r="M184" s="36"/>
      <c r="N184" s="33"/>
      <c r="O184" s="54"/>
      <c r="P184" s="54"/>
      <c r="Q184" s="54"/>
    </row>
    <row r="185" spans="1:19">
      <c r="A185" s="41"/>
      <c r="B185" s="19"/>
      <c r="C185" s="31"/>
      <c r="D185" s="67"/>
      <c r="E185" s="32"/>
      <c r="F185" s="33"/>
      <c r="G185" s="34">
        <f t="shared" si="79"/>
        <v>0</v>
      </c>
      <c r="H185" s="35">
        <f t="shared" si="83"/>
        <v>0</v>
      </c>
      <c r="I185" s="20">
        <f t="shared" si="80"/>
        <v>0</v>
      </c>
      <c r="J185" s="33"/>
      <c r="K185" s="37">
        <f t="shared" si="81"/>
        <v>0</v>
      </c>
      <c r="L185" s="36">
        <f t="shared" si="82"/>
        <v>0</v>
      </c>
      <c r="M185" s="36"/>
      <c r="N185" s="33"/>
      <c r="O185" s="54"/>
      <c r="P185" s="54"/>
      <c r="Q185" s="54"/>
    </row>
    <row r="186" spans="1:19">
      <c r="A186" s="41"/>
      <c r="B186" s="19"/>
      <c r="C186" s="31"/>
      <c r="D186" s="67"/>
      <c r="E186" s="32"/>
      <c r="F186" s="33"/>
      <c r="G186" s="34">
        <f t="shared" si="79"/>
        <v>0</v>
      </c>
      <c r="H186" s="35">
        <f t="shared" si="83"/>
        <v>0</v>
      </c>
      <c r="I186" s="20">
        <f t="shared" si="80"/>
        <v>0</v>
      </c>
      <c r="J186" s="33"/>
      <c r="K186" s="37">
        <f t="shared" si="81"/>
        <v>0</v>
      </c>
      <c r="L186" s="36">
        <f t="shared" si="82"/>
        <v>0</v>
      </c>
      <c r="M186" s="36"/>
      <c r="N186" s="33"/>
      <c r="O186" s="54"/>
      <c r="P186" s="54"/>
      <c r="Q186" s="54"/>
    </row>
    <row r="187" spans="1:19">
      <c r="A187" s="41"/>
      <c r="B187" s="19"/>
      <c r="C187" s="31"/>
      <c r="D187" s="67"/>
      <c r="E187" s="32"/>
      <c r="F187" s="33"/>
      <c r="G187" s="34">
        <f t="shared" si="79"/>
        <v>0</v>
      </c>
      <c r="H187" s="35">
        <f t="shared" si="83"/>
        <v>0</v>
      </c>
      <c r="I187" s="20">
        <f t="shared" si="80"/>
        <v>0</v>
      </c>
      <c r="J187" s="33"/>
      <c r="K187" s="37">
        <f t="shared" si="81"/>
        <v>0</v>
      </c>
      <c r="L187" s="36">
        <f t="shared" si="82"/>
        <v>0</v>
      </c>
      <c r="M187" s="36"/>
      <c r="N187" s="33"/>
      <c r="O187" s="54"/>
      <c r="P187" s="54"/>
      <c r="Q187" s="54"/>
    </row>
    <row r="188" spans="1:19">
      <c r="A188" s="41"/>
      <c r="B188" s="19"/>
      <c r="C188" s="31"/>
      <c r="D188" s="67"/>
      <c r="E188" s="32"/>
      <c r="F188" s="33"/>
      <c r="G188" s="34">
        <f t="shared" si="79"/>
        <v>0</v>
      </c>
      <c r="H188" s="35">
        <f t="shared" si="83"/>
        <v>0</v>
      </c>
      <c r="I188" s="20">
        <f t="shared" si="80"/>
        <v>0</v>
      </c>
      <c r="J188" s="33"/>
      <c r="K188" s="37">
        <f t="shared" si="81"/>
        <v>0</v>
      </c>
      <c r="L188" s="36">
        <f t="shared" si="82"/>
        <v>0</v>
      </c>
      <c r="M188" s="36"/>
      <c r="N188" s="33"/>
      <c r="O188" s="54"/>
      <c r="P188" s="54"/>
      <c r="Q188" s="54"/>
    </row>
    <row r="189" spans="1:19">
      <c r="A189" s="41"/>
      <c r="B189" s="19" t="s">
        <v>89</v>
      </c>
      <c r="C189" s="31"/>
      <c r="D189" s="67"/>
      <c r="E189" s="32"/>
      <c r="F189" s="33"/>
      <c r="G189" s="34">
        <f t="shared" si="79"/>
        <v>-20</v>
      </c>
      <c r="H189" s="35">
        <f t="shared" si="83"/>
        <v>0</v>
      </c>
      <c r="I189" s="20">
        <f t="shared" si="80"/>
        <v>0</v>
      </c>
      <c r="J189" s="33"/>
      <c r="K189" s="37">
        <f t="shared" si="81"/>
        <v>0</v>
      </c>
      <c r="L189" s="36">
        <f t="shared" si="82"/>
        <v>0</v>
      </c>
      <c r="M189" s="36"/>
      <c r="N189" s="33"/>
      <c r="O189" s="54"/>
      <c r="P189" s="54"/>
      <c r="Q189" s="54"/>
    </row>
    <row r="190" spans="1:19">
      <c r="A190" s="43"/>
      <c r="B190" s="44"/>
      <c r="C190" s="45"/>
      <c r="D190" s="68"/>
      <c r="E190" s="46"/>
      <c r="F190" s="47"/>
      <c r="G190" s="48"/>
      <c r="H190" s="49"/>
      <c r="I190" s="50">
        <f>SUM(I180:I189)</f>
        <v>7</v>
      </c>
      <c r="J190" s="47"/>
      <c r="K190" s="47">
        <f>AVERAGE(K180:K189)</f>
        <v>1.2124999999999999</v>
      </c>
      <c r="L190" s="47">
        <f>AVERAGE(L180:L189)</f>
        <v>1.04</v>
      </c>
      <c r="M190" s="50">
        <f>(L190*8)/K190</f>
        <v>6.8618556701030933</v>
      </c>
      <c r="N190" s="47"/>
      <c r="O190" s="47">
        <f>AVERAGE(O180:O189)</f>
        <v>3.5</v>
      </c>
      <c r="P190" s="47">
        <f>AVERAGE(P180:P189)</f>
        <v>0</v>
      </c>
      <c r="Q190" s="63" t="e">
        <f>(O190*8)/P190</f>
        <v>#DIV/0!</v>
      </c>
    </row>
    <row r="191" spans="1:19">
      <c r="A191" s="30" t="s">
        <v>125</v>
      </c>
      <c r="B191" s="19" t="s">
        <v>78</v>
      </c>
      <c r="C191" s="31">
        <v>0.41666666666666663</v>
      </c>
      <c r="D191" s="67">
        <v>260</v>
      </c>
      <c r="E191" s="32"/>
      <c r="F191" s="33">
        <v>0.5</v>
      </c>
      <c r="G191" s="34">
        <f t="shared" ref="G191:G200" si="84">IFERROR(VLOOKUP($B191,$T$1:$AB$34,2,0),0)</f>
        <v>7</v>
      </c>
      <c r="H191" s="35">
        <f>(C191*24)/(SUM($C$191:$C$199)*24)</f>
        <v>0.83333333333333348</v>
      </c>
      <c r="I191" s="20">
        <f t="shared" ref="I191:I199" si="85">G191*H191</f>
        <v>5.8333333333333339</v>
      </c>
      <c r="J191" s="33">
        <v>0.25</v>
      </c>
      <c r="K191" s="37">
        <f t="shared" ref="K191:K200" si="86">IFERROR(VLOOKUP($B191,$T$1:$AB$34,6,0),0)/2</f>
        <v>20</v>
      </c>
      <c r="L191" s="36">
        <f t="shared" ref="L191:L200" si="87">IFERROR(D191/(C191*24),0)</f>
        <v>26</v>
      </c>
      <c r="M191" s="36"/>
      <c r="N191" s="33">
        <v>0.25</v>
      </c>
      <c r="O191" s="54">
        <v>2.4950191570881226</v>
      </c>
      <c r="P191" s="54">
        <f>(SUM(E191:E200)/(SUM(C191:C199)*24))</f>
        <v>0</v>
      </c>
      <c r="Q191" s="54"/>
      <c r="R191" s="3">
        <f>(I201+M201)/2</f>
        <v>8.4164677804295955</v>
      </c>
      <c r="S191" s="65" t="e">
        <f>F191*I201+J191*M201+N191*Q201</f>
        <v>#DIV/0!</v>
      </c>
    </row>
    <row r="192" spans="1:19">
      <c r="A192" s="41"/>
      <c r="B192" s="19" t="s">
        <v>9</v>
      </c>
      <c r="C192" s="31">
        <v>8.3333333333333329E-2</v>
      </c>
      <c r="D192" s="67">
        <f>C192*24*K192</f>
        <v>12.375</v>
      </c>
      <c r="E192" s="32"/>
      <c r="F192" s="33"/>
      <c r="G192" s="34">
        <f t="shared" si="84"/>
        <v>7</v>
      </c>
      <c r="H192" s="35">
        <f t="shared" ref="H192:H199" si="88">(C192*24)/(SUM($C$191:$C$199)*24)</f>
        <v>0.16666666666666669</v>
      </c>
      <c r="I192" s="20">
        <f t="shared" si="85"/>
        <v>1.1666666666666667</v>
      </c>
      <c r="J192" s="33"/>
      <c r="K192" s="37">
        <f t="shared" si="86"/>
        <v>6.1875</v>
      </c>
      <c r="L192" s="36">
        <f t="shared" si="87"/>
        <v>6.1875</v>
      </c>
      <c r="M192" s="36"/>
      <c r="N192" s="33"/>
      <c r="O192" s="54"/>
      <c r="P192" s="54"/>
      <c r="Q192" s="54"/>
    </row>
    <row r="193" spans="1:19">
      <c r="A193" s="41"/>
      <c r="B193" s="19"/>
      <c r="C193" s="31"/>
      <c r="D193" s="67"/>
      <c r="E193" s="32"/>
      <c r="F193" s="33"/>
      <c r="G193" s="34">
        <f t="shared" si="84"/>
        <v>0</v>
      </c>
      <c r="H193" s="35">
        <f t="shared" si="88"/>
        <v>0</v>
      </c>
      <c r="I193" s="20">
        <f t="shared" si="85"/>
        <v>0</v>
      </c>
      <c r="J193" s="33"/>
      <c r="K193" s="37">
        <f t="shared" si="86"/>
        <v>0</v>
      </c>
      <c r="L193" s="36">
        <f t="shared" si="87"/>
        <v>0</v>
      </c>
      <c r="M193" s="36"/>
      <c r="N193" s="33"/>
      <c r="O193" s="54"/>
      <c r="P193" s="54"/>
      <c r="Q193" s="54"/>
    </row>
    <row r="194" spans="1:19">
      <c r="A194" s="41"/>
      <c r="B194" s="19"/>
      <c r="C194" s="31"/>
      <c r="D194" s="67"/>
      <c r="E194" s="32"/>
      <c r="F194" s="33"/>
      <c r="G194" s="34">
        <f t="shared" si="84"/>
        <v>0</v>
      </c>
      <c r="H194" s="35">
        <f t="shared" si="88"/>
        <v>0</v>
      </c>
      <c r="I194" s="20">
        <f t="shared" si="85"/>
        <v>0</v>
      </c>
      <c r="J194" s="33"/>
      <c r="K194" s="37">
        <f t="shared" si="86"/>
        <v>0</v>
      </c>
      <c r="L194" s="36">
        <f t="shared" si="87"/>
        <v>0</v>
      </c>
      <c r="M194" s="36"/>
      <c r="N194" s="33"/>
      <c r="O194" s="54"/>
      <c r="P194" s="54"/>
      <c r="Q194" s="54"/>
    </row>
    <row r="195" spans="1:19">
      <c r="A195" s="41"/>
      <c r="B195" s="19"/>
      <c r="C195" s="31"/>
      <c r="D195" s="67"/>
      <c r="E195" s="32"/>
      <c r="F195" s="33"/>
      <c r="G195" s="34">
        <f t="shared" si="84"/>
        <v>0</v>
      </c>
      <c r="H195" s="35">
        <f t="shared" si="88"/>
        <v>0</v>
      </c>
      <c r="I195" s="20">
        <f t="shared" si="85"/>
        <v>0</v>
      </c>
      <c r="J195" s="33"/>
      <c r="K195" s="37">
        <f t="shared" si="86"/>
        <v>0</v>
      </c>
      <c r="L195" s="36">
        <f t="shared" si="87"/>
        <v>0</v>
      </c>
      <c r="M195" s="36"/>
      <c r="N195" s="33"/>
      <c r="O195" s="54"/>
      <c r="P195" s="54"/>
      <c r="Q195" s="54"/>
    </row>
    <row r="196" spans="1:19">
      <c r="A196" s="41"/>
      <c r="B196" s="19"/>
      <c r="C196" s="31"/>
      <c r="D196" s="67"/>
      <c r="E196" s="32"/>
      <c r="F196" s="33"/>
      <c r="G196" s="34">
        <f t="shared" si="84"/>
        <v>0</v>
      </c>
      <c r="H196" s="35">
        <f t="shared" si="88"/>
        <v>0</v>
      </c>
      <c r="I196" s="20">
        <f t="shared" si="85"/>
        <v>0</v>
      </c>
      <c r="J196" s="33"/>
      <c r="K196" s="37">
        <f t="shared" si="86"/>
        <v>0</v>
      </c>
      <c r="L196" s="36">
        <f t="shared" si="87"/>
        <v>0</v>
      </c>
      <c r="M196" s="36"/>
      <c r="N196" s="33"/>
      <c r="O196" s="54"/>
      <c r="P196" s="54"/>
      <c r="Q196" s="54"/>
    </row>
    <row r="197" spans="1:19">
      <c r="A197" s="41"/>
      <c r="B197" s="19"/>
      <c r="C197" s="31"/>
      <c r="D197" s="67"/>
      <c r="E197" s="32"/>
      <c r="F197" s="33"/>
      <c r="G197" s="34">
        <f t="shared" si="84"/>
        <v>0</v>
      </c>
      <c r="H197" s="35">
        <f t="shared" si="88"/>
        <v>0</v>
      </c>
      <c r="I197" s="20">
        <f t="shared" si="85"/>
        <v>0</v>
      </c>
      <c r="J197" s="33"/>
      <c r="K197" s="37">
        <f t="shared" si="86"/>
        <v>0</v>
      </c>
      <c r="L197" s="36">
        <f t="shared" si="87"/>
        <v>0</v>
      </c>
      <c r="M197" s="36"/>
      <c r="N197" s="33"/>
      <c r="O197" s="54"/>
      <c r="P197" s="54"/>
      <c r="Q197" s="54"/>
    </row>
    <row r="198" spans="1:19">
      <c r="A198" s="41"/>
      <c r="B198" s="19"/>
      <c r="C198" s="31"/>
      <c r="D198" s="69"/>
      <c r="E198" s="32"/>
      <c r="F198" s="33"/>
      <c r="G198" s="34">
        <f t="shared" si="84"/>
        <v>0</v>
      </c>
      <c r="H198" s="35">
        <f t="shared" si="88"/>
        <v>0</v>
      </c>
      <c r="I198" s="20">
        <f t="shared" si="85"/>
        <v>0</v>
      </c>
      <c r="J198" s="33"/>
      <c r="K198" s="37">
        <f t="shared" si="86"/>
        <v>0</v>
      </c>
      <c r="L198" s="36">
        <f t="shared" si="87"/>
        <v>0</v>
      </c>
      <c r="M198" s="36"/>
      <c r="N198" s="33"/>
      <c r="O198" s="54"/>
      <c r="P198" s="54"/>
      <c r="Q198" s="54"/>
    </row>
    <row r="199" spans="1:19">
      <c r="A199" s="41"/>
      <c r="B199" s="19"/>
      <c r="C199" s="31"/>
      <c r="D199" s="69"/>
      <c r="E199" s="32"/>
      <c r="F199" s="33"/>
      <c r="G199" s="34">
        <f t="shared" si="84"/>
        <v>0</v>
      </c>
      <c r="H199" s="35">
        <f t="shared" si="88"/>
        <v>0</v>
      </c>
      <c r="I199" s="20">
        <f t="shared" si="85"/>
        <v>0</v>
      </c>
      <c r="J199" s="33"/>
      <c r="K199" s="37">
        <f t="shared" si="86"/>
        <v>0</v>
      </c>
      <c r="L199" s="36">
        <f t="shared" si="87"/>
        <v>0</v>
      </c>
      <c r="M199" s="36"/>
      <c r="N199" s="33"/>
      <c r="O199" s="54"/>
      <c r="P199" s="54"/>
      <c r="Q199" s="54"/>
    </row>
    <row r="200" spans="1:19">
      <c r="A200" s="41"/>
      <c r="B200" s="19" t="s">
        <v>89</v>
      </c>
      <c r="C200" s="17"/>
      <c r="D200" s="69"/>
      <c r="E200" s="32"/>
      <c r="F200" s="33"/>
      <c r="G200" s="34">
        <f t="shared" si="84"/>
        <v>-20</v>
      </c>
      <c r="H200" s="35">
        <f>(C200*24)/(SUM($C$191:$C$199)*24)</f>
        <v>0</v>
      </c>
      <c r="I200" s="20">
        <f>G200*H200</f>
        <v>0</v>
      </c>
      <c r="J200" s="33"/>
      <c r="K200" s="37">
        <f t="shared" si="86"/>
        <v>0</v>
      </c>
      <c r="L200" s="36">
        <f t="shared" si="87"/>
        <v>0</v>
      </c>
      <c r="M200" s="36"/>
      <c r="N200" s="33"/>
      <c r="O200" s="54"/>
      <c r="P200" s="54"/>
      <c r="Q200" s="54"/>
    </row>
    <row r="201" spans="1:19">
      <c r="A201" s="43"/>
      <c r="B201" s="44"/>
      <c r="C201" s="45"/>
      <c r="D201" s="68"/>
      <c r="E201" s="46"/>
      <c r="F201" s="47"/>
      <c r="G201" s="48"/>
      <c r="H201" s="49"/>
      <c r="I201" s="50">
        <f>SUM(I191:I200)</f>
        <v>7.0000000000000009</v>
      </c>
      <c r="J201" s="47"/>
      <c r="K201" s="47">
        <f>AVERAGE(K191:K200)</f>
        <v>2.6187499999999999</v>
      </c>
      <c r="L201" s="47">
        <f>AVERAGE(L191:L200)</f>
        <v>3.21875</v>
      </c>
      <c r="M201" s="50">
        <f>(L201*8)/K201</f>
        <v>9.8329355608591893</v>
      </c>
      <c r="N201" s="47"/>
      <c r="O201" s="47">
        <f>AVERAGE(O191)</f>
        <v>2.4950191570881226</v>
      </c>
      <c r="P201" s="47">
        <f>AVERAGE(P191)</f>
        <v>0</v>
      </c>
      <c r="Q201" s="50" t="e">
        <f>(O201*8)/P201</f>
        <v>#DIV/0!</v>
      </c>
    </row>
    <row r="202" spans="1:19">
      <c r="A202" s="30" t="s">
        <v>56</v>
      </c>
      <c r="B202" s="19" t="s">
        <v>80</v>
      </c>
      <c r="C202" s="31">
        <v>0.33333333333333331</v>
      </c>
      <c r="D202" s="67">
        <f>C202*24*K202</f>
        <v>180</v>
      </c>
      <c r="E202" s="32"/>
      <c r="F202" s="33">
        <v>0.5</v>
      </c>
      <c r="G202" s="34">
        <f t="shared" ref="G202:G211" si="89">IFERROR(VLOOKUP($B202,$T$1:$AB$34,2,0),0)</f>
        <v>8</v>
      </c>
      <c r="H202" s="35">
        <f t="shared" ref="H202:H211" si="90">(C202*24)/(SUM($C$202:$C$211)*24)</f>
        <v>1</v>
      </c>
      <c r="I202" s="20">
        <f t="shared" ref="I202:I211" si="91">G202*H202</f>
        <v>8</v>
      </c>
      <c r="J202" s="33">
        <v>0.25</v>
      </c>
      <c r="K202" s="37">
        <f t="shared" ref="K202:K211" si="92">IFERROR(VLOOKUP($B202,$T$1:$AB$34,6,0),0)</f>
        <v>22.5</v>
      </c>
      <c r="L202" s="36">
        <f>IFERROR(D202/(C202*24),0)</f>
        <v>22.5</v>
      </c>
      <c r="M202" s="36"/>
      <c r="N202" s="33">
        <v>0.25</v>
      </c>
      <c r="O202" s="54">
        <v>2.48</v>
      </c>
      <c r="P202" s="54">
        <f>(SUM(E202:E211)/(SUM(C202:C210)*24))</f>
        <v>0</v>
      </c>
      <c r="Q202" s="54"/>
      <c r="R202" s="3">
        <f>(I212+M212)/2</f>
        <v>8</v>
      </c>
      <c r="S202" s="65" t="e">
        <f>F202*I212+J202*M212+N202*Q212</f>
        <v>#DIV/0!</v>
      </c>
    </row>
    <row r="203" spans="1:19">
      <c r="A203" s="41"/>
      <c r="B203" s="19"/>
      <c r="C203" s="31"/>
      <c r="D203" s="67"/>
      <c r="E203" s="32"/>
      <c r="F203" s="33"/>
      <c r="G203" s="34">
        <f t="shared" si="89"/>
        <v>0</v>
      </c>
      <c r="H203" s="35">
        <f t="shared" si="90"/>
        <v>0</v>
      </c>
      <c r="I203" s="20">
        <f t="shared" si="91"/>
        <v>0</v>
      </c>
      <c r="J203" s="33"/>
      <c r="K203" s="37">
        <f t="shared" si="92"/>
        <v>0</v>
      </c>
      <c r="L203" s="36">
        <f t="shared" ref="L203:L211" si="93">IFERROR(D203/(C203*24),0)</f>
        <v>0</v>
      </c>
      <c r="M203" s="36"/>
      <c r="N203" s="33"/>
      <c r="O203" s="54"/>
      <c r="P203" s="54"/>
      <c r="Q203" s="54"/>
    </row>
    <row r="204" spans="1:19">
      <c r="A204" s="41"/>
      <c r="B204" s="19"/>
      <c r="C204" s="31"/>
      <c r="D204" s="67"/>
      <c r="E204" s="32"/>
      <c r="F204" s="33"/>
      <c r="G204" s="34">
        <f t="shared" si="89"/>
        <v>0</v>
      </c>
      <c r="H204" s="35">
        <f t="shared" si="90"/>
        <v>0</v>
      </c>
      <c r="I204" s="20">
        <f t="shared" si="91"/>
        <v>0</v>
      </c>
      <c r="J204" s="33"/>
      <c r="K204" s="37">
        <f t="shared" si="92"/>
        <v>0</v>
      </c>
      <c r="L204" s="36">
        <f t="shared" si="93"/>
        <v>0</v>
      </c>
      <c r="M204" s="36"/>
      <c r="N204" s="33"/>
      <c r="O204" s="54"/>
      <c r="P204" s="54"/>
      <c r="Q204" s="54"/>
    </row>
    <row r="205" spans="1:19">
      <c r="A205" s="41"/>
      <c r="B205" s="19"/>
      <c r="C205" s="31"/>
      <c r="D205" s="67"/>
      <c r="E205" s="32"/>
      <c r="F205" s="33"/>
      <c r="G205" s="34">
        <f t="shared" si="89"/>
        <v>0</v>
      </c>
      <c r="H205" s="35">
        <f t="shared" si="90"/>
        <v>0</v>
      </c>
      <c r="I205" s="20">
        <f t="shared" si="91"/>
        <v>0</v>
      </c>
      <c r="J205" s="33"/>
      <c r="K205" s="37">
        <f t="shared" si="92"/>
        <v>0</v>
      </c>
      <c r="L205" s="36">
        <f t="shared" si="93"/>
        <v>0</v>
      </c>
      <c r="M205" s="36"/>
      <c r="N205" s="33"/>
      <c r="O205" s="54"/>
      <c r="P205" s="54"/>
      <c r="Q205" s="54"/>
    </row>
    <row r="206" spans="1:19">
      <c r="A206" s="41"/>
      <c r="B206" s="19"/>
      <c r="C206" s="31"/>
      <c r="D206" s="67"/>
      <c r="E206" s="32"/>
      <c r="F206" s="33"/>
      <c r="G206" s="34">
        <f t="shared" si="89"/>
        <v>0</v>
      </c>
      <c r="H206" s="35">
        <f t="shared" si="90"/>
        <v>0</v>
      </c>
      <c r="I206" s="20">
        <f t="shared" si="91"/>
        <v>0</v>
      </c>
      <c r="J206" s="33"/>
      <c r="K206" s="37">
        <f t="shared" si="92"/>
        <v>0</v>
      </c>
      <c r="L206" s="36">
        <f t="shared" si="93"/>
        <v>0</v>
      </c>
      <c r="M206" s="36"/>
      <c r="N206" s="33"/>
      <c r="O206" s="54"/>
      <c r="P206" s="54"/>
      <c r="Q206" s="54"/>
    </row>
    <row r="207" spans="1:19">
      <c r="A207" s="41"/>
      <c r="B207" s="19"/>
      <c r="C207" s="31"/>
      <c r="D207" s="67"/>
      <c r="E207" s="32"/>
      <c r="F207" s="33"/>
      <c r="G207" s="34">
        <f t="shared" si="89"/>
        <v>0</v>
      </c>
      <c r="H207" s="35">
        <f t="shared" si="90"/>
        <v>0</v>
      </c>
      <c r="I207" s="20">
        <f t="shared" si="91"/>
        <v>0</v>
      </c>
      <c r="J207" s="33"/>
      <c r="K207" s="37">
        <f t="shared" si="92"/>
        <v>0</v>
      </c>
      <c r="L207" s="36">
        <f t="shared" si="93"/>
        <v>0</v>
      </c>
      <c r="M207" s="36"/>
      <c r="N207" s="33"/>
      <c r="O207" s="54"/>
      <c r="P207" s="54"/>
      <c r="Q207" s="54"/>
    </row>
    <row r="208" spans="1:19">
      <c r="A208" s="41"/>
      <c r="B208" s="19"/>
      <c r="C208" s="31"/>
      <c r="D208" s="67"/>
      <c r="E208" s="32"/>
      <c r="F208" s="33"/>
      <c r="G208" s="34">
        <f t="shared" si="89"/>
        <v>0</v>
      </c>
      <c r="H208" s="35">
        <f t="shared" si="90"/>
        <v>0</v>
      </c>
      <c r="I208" s="20">
        <f t="shared" si="91"/>
        <v>0</v>
      </c>
      <c r="J208" s="33"/>
      <c r="K208" s="37">
        <f t="shared" si="92"/>
        <v>0</v>
      </c>
      <c r="L208" s="36">
        <f t="shared" si="93"/>
        <v>0</v>
      </c>
      <c r="M208" s="36"/>
      <c r="N208" s="33"/>
      <c r="O208" s="54"/>
      <c r="P208" s="54"/>
      <c r="Q208" s="54"/>
    </row>
    <row r="209" spans="1:19">
      <c r="A209" s="41"/>
      <c r="B209" s="19"/>
      <c r="C209" s="31"/>
      <c r="D209" s="67"/>
      <c r="E209" s="32"/>
      <c r="F209" s="33"/>
      <c r="G209" s="34">
        <f t="shared" si="89"/>
        <v>0</v>
      </c>
      <c r="H209" s="35">
        <f t="shared" si="90"/>
        <v>0</v>
      </c>
      <c r="I209" s="20">
        <f t="shared" si="91"/>
        <v>0</v>
      </c>
      <c r="J209" s="33"/>
      <c r="K209" s="37">
        <f t="shared" si="92"/>
        <v>0</v>
      </c>
      <c r="L209" s="36">
        <f t="shared" si="93"/>
        <v>0</v>
      </c>
      <c r="M209" s="36"/>
      <c r="N209" s="33"/>
      <c r="O209" s="54"/>
      <c r="P209" s="54"/>
      <c r="Q209" s="54"/>
    </row>
    <row r="210" spans="1:19">
      <c r="A210" s="41"/>
      <c r="B210" s="19"/>
      <c r="C210" s="31"/>
      <c r="D210" s="67"/>
      <c r="E210" s="32"/>
      <c r="F210" s="33"/>
      <c r="G210" s="34">
        <f t="shared" si="89"/>
        <v>0</v>
      </c>
      <c r="H210" s="35">
        <f t="shared" si="90"/>
        <v>0</v>
      </c>
      <c r="I210" s="20">
        <f t="shared" si="91"/>
        <v>0</v>
      </c>
      <c r="J210" s="33"/>
      <c r="K210" s="37">
        <f t="shared" si="92"/>
        <v>0</v>
      </c>
      <c r="L210" s="36">
        <f t="shared" si="93"/>
        <v>0</v>
      </c>
      <c r="M210" s="36"/>
      <c r="N210" s="33"/>
      <c r="O210" s="54"/>
      <c r="P210" s="54"/>
      <c r="Q210" s="54"/>
    </row>
    <row r="211" spans="1:19">
      <c r="A211" s="41"/>
      <c r="B211" s="19" t="s">
        <v>89</v>
      </c>
      <c r="C211" s="31"/>
      <c r="D211" s="67"/>
      <c r="E211" s="32"/>
      <c r="F211" s="33"/>
      <c r="G211" s="34">
        <f t="shared" si="89"/>
        <v>-20</v>
      </c>
      <c r="H211" s="35">
        <f t="shared" si="90"/>
        <v>0</v>
      </c>
      <c r="I211" s="20">
        <f t="shared" si="91"/>
        <v>0</v>
      </c>
      <c r="J211" s="33"/>
      <c r="K211" s="37">
        <f t="shared" si="92"/>
        <v>0</v>
      </c>
      <c r="L211" s="36">
        <f t="shared" si="93"/>
        <v>0</v>
      </c>
      <c r="M211" s="36"/>
      <c r="N211" s="33"/>
      <c r="O211" s="54"/>
      <c r="P211" s="54"/>
      <c r="Q211" s="54"/>
    </row>
    <row r="212" spans="1:19">
      <c r="A212" s="43"/>
      <c r="B212" s="44"/>
      <c r="C212" s="45"/>
      <c r="D212" s="68"/>
      <c r="E212" s="46"/>
      <c r="F212" s="47"/>
      <c r="G212" s="48"/>
      <c r="H212" s="49"/>
      <c r="I212" s="50">
        <f>SUM(I202:I211)</f>
        <v>8</v>
      </c>
      <c r="J212" s="47"/>
      <c r="K212" s="47">
        <f>AVERAGE(K202:K211)</f>
        <v>2.25</v>
      </c>
      <c r="L212" s="47">
        <f>AVERAGE(L202:L211)</f>
        <v>2.25</v>
      </c>
      <c r="M212" s="50">
        <f>(L212*8)/K212</f>
        <v>8</v>
      </c>
      <c r="N212" s="47"/>
      <c r="O212" s="47">
        <f>AVERAGE(O202)</f>
        <v>2.48</v>
      </c>
      <c r="P212" s="47">
        <f>AVERAGE(P202)</f>
        <v>0</v>
      </c>
      <c r="Q212" s="50" t="e">
        <f>(O212*9)/P212</f>
        <v>#DIV/0!</v>
      </c>
    </row>
    <row r="213" spans="1:19">
      <c r="A213" s="30" t="s">
        <v>57</v>
      </c>
      <c r="B213" s="19" t="s">
        <v>9</v>
      </c>
      <c r="C213" s="31">
        <v>0.33333333333333331</v>
      </c>
      <c r="D213" s="67">
        <f>+C213*24*K213</f>
        <v>99</v>
      </c>
      <c r="E213" s="32"/>
      <c r="F213" s="33">
        <v>0.5</v>
      </c>
      <c r="G213" s="34">
        <f t="shared" ref="G213:G222" si="94">IFERROR(VLOOKUP($B213,$T$1:$AB$34,2,0),0)</f>
        <v>7</v>
      </c>
      <c r="H213" s="35">
        <f t="shared" ref="H213:H222" si="95">(C213*24)/(SUM($C$213:$C$222)*24)</f>
        <v>1</v>
      </c>
      <c r="I213" s="20">
        <f t="shared" ref="I213:I222" si="96">G213*H213</f>
        <v>7</v>
      </c>
      <c r="J213" s="33">
        <v>0.25</v>
      </c>
      <c r="K213" s="37">
        <f t="shared" ref="K213:K222" si="97">IFERROR(VLOOKUP($B213,$T$1:$AB$34,6,0),0)</f>
        <v>12.375</v>
      </c>
      <c r="L213" s="36">
        <f>IFERROR(D213/(C213*24),0)</f>
        <v>12.375</v>
      </c>
      <c r="M213" s="36"/>
      <c r="N213" s="33">
        <v>0.25</v>
      </c>
      <c r="O213" s="54">
        <v>2.48</v>
      </c>
      <c r="P213" s="54">
        <f>(SUM(E213:E222)/(SUM(C213:C221)*24))</f>
        <v>0</v>
      </c>
      <c r="Q213" s="54"/>
      <c r="R213" s="3">
        <f>(I223+M223)/2</f>
        <v>7.5</v>
      </c>
      <c r="S213" s="65" t="e">
        <f>F213*I223+J213*M223+N213*Q223</f>
        <v>#DIV/0!</v>
      </c>
    </row>
    <row r="214" spans="1:19">
      <c r="A214" s="41"/>
      <c r="B214" s="19"/>
      <c r="C214" s="31"/>
      <c r="D214" s="67"/>
      <c r="E214" s="32"/>
      <c r="F214" s="33"/>
      <c r="G214" s="34">
        <f t="shared" si="94"/>
        <v>0</v>
      </c>
      <c r="H214" s="35">
        <f t="shared" si="95"/>
        <v>0</v>
      </c>
      <c r="I214" s="20">
        <f t="shared" si="96"/>
        <v>0</v>
      </c>
      <c r="J214" s="33"/>
      <c r="K214" s="37">
        <f t="shared" si="97"/>
        <v>0</v>
      </c>
      <c r="L214" s="36">
        <f t="shared" ref="L214:L222" si="98">IFERROR(D214/(C214*24),0)</f>
        <v>0</v>
      </c>
      <c r="M214" s="36"/>
      <c r="N214" s="33"/>
      <c r="O214" s="54"/>
      <c r="P214" s="54"/>
      <c r="Q214" s="54"/>
    </row>
    <row r="215" spans="1:19">
      <c r="A215" s="41"/>
      <c r="B215" s="19"/>
      <c r="C215" s="31"/>
      <c r="D215" s="67"/>
      <c r="E215" s="32"/>
      <c r="F215" s="33"/>
      <c r="G215" s="34">
        <f t="shared" si="94"/>
        <v>0</v>
      </c>
      <c r="H215" s="35">
        <f t="shared" si="95"/>
        <v>0</v>
      </c>
      <c r="I215" s="20">
        <f t="shared" si="96"/>
        <v>0</v>
      </c>
      <c r="J215" s="33"/>
      <c r="K215" s="37">
        <f t="shared" si="97"/>
        <v>0</v>
      </c>
      <c r="L215" s="36">
        <f t="shared" si="98"/>
        <v>0</v>
      </c>
      <c r="M215" s="36"/>
      <c r="N215" s="33"/>
      <c r="O215" s="54"/>
      <c r="P215" s="54"/>
      <c r="Q215" s="54"/>
    </row>
    <row r="216" spans="1:19">
      <c r="A216" s="41"/>
      <c r="B216" s="19"/>
      <c r="C216" s="31"/>
      <c r="D216" s="67"/>
      <c r="E216" s="32"/>
      <c r="F216" s="33"/>
      <c r="G216" s="34">
        <f t="shared" si="94"/>
        <v>0</v>
      </c>
      <c r="H216" s="35">
        <f t="shared" si="95"/>
        <v>0</v>
      </c>
      <c r="I216" s="20">
        <f t="shared" si="96"/>
        <v>0</v>
      </c>
      <c r="J216" s="33"/>
      <c r="K216" s="37">
        <f t="shared" si="97"/>
        <v>0</v>
      </c>
      <c r="L216" s="36">
        <f t="shared" si="98"/>
        <v>0</v>
      </c>
      <c r="M216" s="36"/>
      <c r="N216" s="33"/>
      <c r="O216" s="54"/>
      <c r="P216" s="54"/>
      <c r="Q216" s="54"/>
    </row>
    <row r="217" spans="1:19">
      <c r="A217" s="41"/>
      <c r="B217" s="19"/>
      <c r="C217" s="31"/>
      <c r="D217" s="67"/>
      <c r="E217" s="32"/>
      <c r="F217" s="33"/>
      <c r="G217" s="34">
        <f t="shared" si="94"/>
        <v>0</v>
      </c>
      <c r="H217" s="35">
        <f t="shared" si="95"/>
        <v>0</v>
      </c>
      <c r="I217" s="20">
        <f t="shared" si="96"/>
        <v>0</v>
      </c>
      <c r="J217" s="33"/>
      <c r="K217" s="37">
        <f t="shared" si="97"/>
        <v>0</v>
      </c>
      <c r="L217" s="36">
        <f t="shared" si="98"/>
        <v>0</v>
      </c>
      <c r="M217" s="36"/>
      <c r="N217" s="33"/>
      <c r="O217" s="54"/>
      <c r="P217" s="54"/>
      <c r="Q217" s="54"/>
    </row>
    <row r="218" spans="1:19">
      <c r="A218" s="41"/>
      <c r="B218" s="19"/>
      <c r="C218" s="31"/>
      <c r="D218" s="67"/>
      <c r="E218" s="32"/>
      <c r="F218" s="33"/>
      <c r="G218" s="34">
        <f t="shared" si="94"/>
        <v>0</v>
      </c>
      <c r="H218" s="35">
        <f t="shared" si="95"/>
        <v>0</v>
      </c>
      <c r="I218" s="20">
        <f t="shared" si="96"/>
        <v>0</v>
      </c>
      <c r="J218" s="33"/>
      <c r="K218" s="37">
        <f t="shared" si="97"/>
        <v>0</v>
      </c>
      <c r="L218" s="36">
        <f t="shared" si="98"/>
        <v>0</v>
      </c>
      <c r="M218" s="36"/>
      <c r="N218" s="33"/>
      <c r="O218" s="54"/>
      <c r="P218" s="54"/>
      <c r="Q218" s="54"/>
    </row>
    <row r="219" spans="1:19">
      <c r="A219" s="41"/>
      <c r="B219" s="19"/>
      <c r="C219" s="31"/>
      <c r="D219" s="67"/>
      <c r="E219" s="32"/>
      <c r="F219" s="33"/>
      <c r="G219" s="34">
        <f t="shared" si="94"/>
        <v>0</v>
      </c>
      <c r="H219" s="35">
        <f t="shared" si="95"/>
        <v>0</v>
      </c>
      <c r="I219" s="20">
        <f t="shared" si="96"/>
        <v>0</v>
      </c>
      <c r="J219" s="33"/>
      <c r="K219" s="37">
        <f t="shared" si="97"/>
        <v>0</v>
      </c>
      <c r="L219" s="36">
        <f t="shared" si="98"/>
        <v>0</v>
      </c>
      <c r="M219" s="36"/>
      <c r="N219" s="33"/>
      <c r="O219" s="54"/>
      <c r="P219" s="54"/>
      <c r="Q219" s="54"/>
    </row>
    <row r="220" spans="1:19">
      <c r="A220" s="41"/>
      <c r="B220" s="19"/>
      <c r="C220" s="31"/>
      <c r="D220" s="67"/>
      <c r="E220" s="32"/>
      <c r="F220" s="33"/>
      <c r="G220" s="34">
        <f t="shared" si="94"/>
        <v>0</v>
      </c>
      <c r="H220" s="35">
        <f t="shared" si="95"/>
        <v>0</v>
      </c>
      <c r="I220" s="20">
        <f t="shared" si="96"/>
        <v>0</v>
      </c>
      <c r="J220" s="33"/>
      <c r="K220" s="37">
        <f t="shared" si="97"/>
        <v>0</v>
      </c>
      <c r="L220" s="36">
        <f t="shared" si="98"/>
        <v>0</v>
      </c>
      <c r="M220" s="36"/>
      <c r="N220" s="33"/>
      <c r="O220" s="54"/>
      <c r="P220" s="54"/>
      <c r="Q220" s="54"/>
    </row>
    <row r="221" spans="1:19">
      <c r="A221" s="41"/>
      <c r="B221" s="19"/>
      <c r="C221" s="31"/>
      <c r="D221" s="67"/>
      <c r="E221" s="32"/>
      <c r="F221" s="33"/>
      <c r="G221" s="34">
        <f t="shared" si="94"/>
        <v>0</v>
      </c>
      <c r="H221" s="35">
        <f t="shared" si="95"/>
        <v>0</v>
      </c>
      <c r="I221" s="20">
        <f t="shared" si="96"/>
        <v>0</v>
      </c>
      <c r="J221" s="33"/>
      <c r="K221" s="37">
        <f t="shared" si="97"/>
        <v>0</v>
      </c>
      <c r="L221" s="36">
        <f t="shared" si="98"/>
        <v>0</v>
      </c>
      <c r="M221" s="36"/>
      <c r="N221" s="33"/>
      <c r="O221" s="54"/>
      <c r="P221" s="54"/>
      <c r="Q221" s="54"/>
    </row>
    <row r="222" spans="1:19">
      <c r="A222" s="41"/>
      <c r="B222" s="19" t="s">
        <v>89</v>
      </c>
      <c r="C222" s="31"/>
      <c r="D222" s="67"/>
      <c r="E222" s="32"/>
      <c r="F222" s="33"/>
      <c r="G222" s="34">
        <f t="shared" si="94"/>
        <v>-20</v>
      </c>
      <c r="H222" s="35">
        <f t="shared" si="95"/>
        <v>0</v>
      </c>
      <c r="I222" s="20">
        <f t="shared" si="96"/>
        <v>0</v>
      </c>
      <c r="J222" s="33"/>
      <c r="K222" s="37">
        <f t="shared" si="97"/>
        <v>0</v>
      </c>
      <c r="L222" s="36">
        <f t="shared" si="98"/>
        <v>0</v>
      </c>
      <c r="M222" s="36"/>
      <c r="N222" s="33"/>
      <c r="O222" s="54"/>
      <c r="P222" s="54"/>
      <c r="Q222" s="54"/>
    </row>
    <row r="223" spans="1:19">
      <c r="A223" s="43"/>
      <c r="B223" s="44"/>
      <c r="C223" s="45"/>
      <c r="D223" s="68"/>
      <c r="E223" s="46"/>
      <c r="F223" s="47"/>
      <c r="G223" s="48"/>
      <c r="H223" s="49"/>
      <c r="I223" s="50">
        <f>SUM(I213:I222)</f>
        <v>7</v>
      </c>
      <c r="J223" s="47"/>
      <c r="K223" s="47">
        <f>AVERAGE(K213:K222)</f>
        <v>1.2375</v>
      </c>
      <c r="L223" s="47">
        <f>AVERAGE(L213:L222)</f>
        <v>1.2375</v>
      </c>
      <c r="M223" s="50">
        <f>(L223*8)/K223</f>
        <v>8</v>
      </c>
      <c r="N223" s="47"/>
      <c r="O223" s="47">
        <f>AVERAGE(O213)</f>
        <v>2.48</v>
      </c>
      <c r="P223" s="47">
        <f>AVERAGE(P213)</f>
        <v>0</v>
      </c>
      <c r="Q223" s="50" t="e">
        <f>(O223*8)/P223</f>
        <v>#DIV/0!</v>
      </c>
    </row>
    <row r="224" spans="1:19">
      <c r="A224" s="30" t="s">
        <v>58</v>
      </c>
      <c r="B224" s="19"/>
      <c r="C224" s="31"/>
      <c r="D224" s="67"/>
      <c r="E224" s="32"/>
      <c r="F224" s="33">
        <v>0.5</v>
      </c>
      <c r="G224" s="34">
        <f t="shared" ref="G224:G233" si="99">IFERROR(VLOOKUP($B224,$T$1:$AB$34,2,0),0)</f>
        <v>0</v>
      </c>
      <c r="H224" s="35" t="e">
        <f>(C224*24)/(SUM($C$224:$C$232)*24)</f>
        <v>#DIV/0!</v>
      </c>
      <c r="I224" s="20" t="e">
        <f t="shared" ref="I224:I233" si="100">G224*H224</f>
        <v>#DIV/0!</v>
      </c>
      <c r="J224" s="33">
        <v>0.25</v>
      </c>
      <c r="K224" s="37">
        <f t="shared" ref="K224:K233" si="101">IFERROR(VLOOKUP($B224,$T$1:$AB$34,6,0),0)</f>
        <v>0</v>
      </c>
      <c r="L224" s="36">
        <f>IFERROR(D224/(C224*24),0)</f>
        <v>0</v>
      </c>
      <c r="M224" s="36"/>
      <c r="N224" s="33">
        <v>0.25</v>
      </c>
      <c r="O224" s="54">
        <v>2.48</v>
      </c>
      <c r="P224" s="54" t="e">
        <f>(SUM(E224:E233)/(SUM(C224:C232)*24))</f>
        <v>#DIV/0!</v>
      </c>
      <c r="Q224" s="54"/>
      <c r="R224" s="3" t="e">
        <f>(I234+M234)/2</f>
        <v>#DIV/0!</v>
      </c>
      <c r="S224" s="65" t="e">
        <f>F224*I234+J224*M234+N224*Q234</f>
        <v>#DIV/0!</v>
      </c>
    </row>
    <row r="225" spans="1:19">
      <c r="A225" s="41"/>
      <c r="B225" s="19"/>
      <c r="C225" s="31"/>
      <c r="D225" s="67"/>
      <c r="E225" s="32"/>
      <c r="F225" s="33"/>
      <c r="G225" s="34">
        <f t="shared" si="99"/>
        <v>0</v>
      </c>
      <c r="H225" s="35" t="e">
        <f t="shared" ref="H225:H233" si="102">(C225*24)/(SUM($C$224:$C$232)*24)</f>
        <v>#DIV/0!</v>
      </c>
      <c r="I225" s="20" t="e">
        <f t="shared" si="100"/>
        <v>#DIV/0!</v>
      </c>
      <c r="J225" s="33"/>
      <c r="K225" s="37">
        <f t="shared" si="101"/>
        <v>0</v>
      </c>
      <c r="L225" s="36">
        <f t="shared" ref="L225:L233" si="103">IFERROR(D225/(C225*24),0)</f>
        <v>0</v>
      </c>
      <c r="M225" s="36"/>
      <c r="N225" s="33"/>
      <c r="O225" s="54"/>
      <c r="P225" s="54"/>
      <c r="Q225" s="54"/>
    </row>
    <row r="226" spans="1:19">
      <c r="A226" s="41"/>
      <c r="B226" s="19"/>
      <c r="C226" s="31"/>
      <c r="D226" s="67"/>
      <c r="E226" s="32"/>
      <c r="F226" s="33"/>
      <c r="G226" s="34">
        <f t="shared" si="99"/>
        <v>0</v>
      </c>
      <c r="H226" s="35" t="e">
        <f t="shared" si="102"/>
        <v>#DIV/0!</v>
      </c>
      <c r="I226" s="20" t="e">
        <f t="shared" si="100"/>
        <v>#DIV/0!</v>
      </c>
      <c r="J226" s="33"/>
      <c r="K226" s="37">
        <f t="shared" si="101"/>
        <v>0</v>
      </c>
      <c r="L226" s="36">
        <f t="shared" si="103"/>
        <v>0</v>
      </c>
      <c r="M226" s="36"/>
      <c r="N226" s="33"/>
      <c r="O226" s="54"/>
      <c r="P226" s="54"/>
      <c r="Q226" s="54"/>
    </row>
    <row r="227" spans="1:19">
      <c r="A227" s="41"/>
      <c r="B227" s="19"/>
      <c r="C227" s="31"/>
      <c r="D227" s="67"/>
      <c r="E227" s="32"/>
      <c r="F227" s="33"/>
      <c r="G227" s="34">
        <f t="shared" si="99"/>
        <v>0</v>
      </c>
      <c r="H227" s="35" t="e">
        <f t="shared" si="102"/>
        <v>#DIV/0!</v>
      </c>
      <c r="I227" s="20" t="e">
        <f t="shared" si="100"/>
        <v>#DIV/0!</v>
      </c>
      <c r="J227" s="33"/>
      <c r="K227" s="37">
        <f t="shared" si="101"/>
        <v>0</v>
      </c>
      <c r="L227" s="36">
        <f t="shared" si="103"/>
        <v>0</v>
      </c>
      <c r="M227" s="36"/>
      <c r="N227" s="33"/>
      <c r="O227" s="54"/>
      <c r="P227" s="54"/>
      <c r="Q227" s="54"/>
    </row>
    <row r="228" spans="1:19">
      <c r="A228" s="41"/>
      <c r="B228" s="19"/>
      <c r="C228" s="31"/>
      <c r="D228" s="67"/>
      <c r="E228" s="32"/>
      <c r="F228" s="33"/>
      <c r="G228" s="34">
        <f t="shared" si="99"/>
        <v>0</v>
      </c>
      <c r="H228" s="35" t="e">
        <f t="shared" si="102"/>
        <v>#DIV/0!</v>
      </c>
      <c r="I228" s="20" t="e">
        <f t="shared" si="100"/>
        <v>#DIV/0!</v>
      </c>
      <c r="J228" s="33"/>
      <c r="K228" s="37">
        <f t="shared" si="101"/>
        <v>0</v>
      </c>
      <c r="L228" s="36">
        <f t="shared" si="103"/>
        <v>0</v>
      </c>
      <c r="M228" s="36"/>
      <c r="N228" s="33"/>
      <c r="O228" s="54"/>
      <c r="P228" s="54"/>
      <c r="Q228" s="54"/>
    </row>
    <row r="229" spans="1:19">
      <c r="A229" s="41"/>
      <c r="B229" s="19"/>
      <c r="C229" s="31"/>
      <c r="D229" s="67"/>
      <c r="E229" s="32"/>
      <c r="F229" s="33"/>
      <c r="G229" s="34">
        <f t="shared" si="99"/>
        <v>0</v>
      </c>
      <c r="H229" s="35" t="e">
        <f t="shared" si="102"/>
        <v>#DIV/0!</v>
      </c>
      <c r="I229" s="20" t="e">
        <f t="shared" si="100"/>
        <v>#DIV/0!</v>
      </c>
      <c r="J229" s="33"/>
      <c r="K229" s="37">
        <f t="shared" si="101"/>
        <v>0</v>
      </c>
      <c r="L229" s="36">
        <f t="shared" si="103"/>
        <v>0</v>
      </c>
      <c r="M229" s="36"/>
      <c r="N229" s="33"/>
      <c r="O229" s="54"/>
      <c r="P229" s="54"/>
      <c r="Q229" s="54"/>
    </row>
    <row r="230" spans="1:19">
      <c r="A230" s="41"/>
      <c r="B230" s="19"/>
      <c r="C230" s="31"/>
      <c r="D230" s="67"/>
      <c r="E230" s="32"/>
      <c r="F230" s="33"/>
      <c r="G230" s="34">
        <f t="shared" si="99"/>
        <v>0</v>
      </c>
      <c r="H230" s="35" t="e">
        <f t="shared" si="102"/>
        <v>#DIV/0!</v>
      </c>
      <c r="I230" s="20" t="e">
        <f t="shared" si="100"/>
        <v>#DIV/0!</v>
      </c>
      <c r="J230" s="33"/>
      <c r="K230" s="37">
        <f t="shared" si="101"/>
        <v>0</v>
      </c>
      <c r="L230" s="36">
        <f t="shared" si="103"/>
        <v>0</v>
      </c>
      <c r="M230" s="36"/>
      <c r="N230" s="33"/>
      <c r="O230" s="54"/>
      <c r="P230" s="54"/>
      <c r="Q230" s="54"/>
    </row>
    <row r="231" spans="1:19">
      <c r="A231" s="41"/>
      <c r="B231" s="19"/>
      <c r="C231" s="31"/>
      <c r="D231" s="67"/>
      <c r="E231" s="32"/>
      <c r="F231" s="33"/>
      <c r="G231" s="34">
        <f t="shared" si="99"/>
        <v>0</v>
      </c>
      <c r="H231" s="35" t="e">
        <f t="shared" si="102"/>
        <v>#DIV/0!</v>
      </c>
      <c r="I231" s="20" t="e">
        <f t="shared" si="100"/>
        <v>#DIV/0!</v>
      </c>
      <c r="J231" s="33"/>
      <c r="K231" s="37">
        <f t="shared" si="101"/>
        <v>0</v>
      </c>
      <c r="L231" s="36">
        <f t="shared" si="103"/>
        <v>0</v>
      </c>
      <c r="M231" s="36"/>
      <c r="N231" s="33"/>
      <c r="O231" s="54"/>
      <c r="P231" s="54"/>
      <c r="Q231" s="54"/>
    </row>
    <row r="232" spans="1:19">
      <c r="A232" s="41"/>
      <c r="B232" s="19"/>
      <c r="C232" s="31"/>
      <c r="D232" s="67"/>
      <c r="E232" s="32"/>
      <c r="F232" s="33"/>
      <c r="G232" s="34">
        <f t="shared" si="99"/>
        <v>0</v>
      </c>
      <c r="H232" s="35" t="e">
        <f t="shared" si="102"/>
        <v>#DIV/0!</v>
      </c>
      <c r="I232" s="20" t="e">
        <f t="shared" si="100"/>
        <v>#DIV/0!</v>
      </c>
      <c r="J232" s="33"/>
      <c r="K232" s="37">
        <f t="shared" si="101"/>
        <v>0</v>
      </c>
      <c r="L232" s="36">
        <f t="shared" si="103"/>
        <v>0</v>
      </c>
      <c r="M232" s="36"/>
      <c r="N232" s="33"/>
      <c r="O232" s="54"/>
      <c r="P232" s="54"/>
      <c r="Q232" s="54"/>
    </row>
    <row r="233" spans="1:19">
      <c r="A233" s="41"/>
      <c r="B233" s="19" t="s">
        <v>89</v>
      </c>
      <c r="C233" s="31"/>
      <c r="D233" s="67"/>
      <c r="E233" s="32"/>
      <c r="F233" s="33"/>
      <c r="G233" s="34">
        <f t="shared" si="99"/>
        <v>-20</v>
      </c>
      <c r="H233" s="35" t="e">
        <f t="shared" si="102"/>
        <v>#DIV/0!</v>
      </c>
      <c r="I233" s="20" t="e">
        <f t="shared" si="100"/>
        <v>#DIV/0!</v>
      </c>
      <c r="J233" s="33"/>
      <c r="K233" s="37">
        <f t="shared" si="101"/>
        <v>0</v>
      </c>
      <c r="L233" s="36">
        <f t="shared" si="103"/>
        <v>0</v>
      </c>
      <c r="M233" s="36"/>
      <c r="N233" s="33"/>
      <c r="O233" s="54"/>
      <c r="P233" s="54"/>
      <c r="Q233" s="54"/>
    </row>
    <row r="234" spans="1:19">
      <c r="A234" s="43"/>
      <c r="B234" s="44"/>
      <c r="C234" s="45"/>
      <c r="D234" s="68"/>
      <c r="E234" s="46"/>
      <c r="F234" s="47"/>
      <c r="G234" s="48"/>
      <c r="H234" s="49"/>
      <c r="I234" s="50" t="e">
        <f>SUM(I224:I233)</f>
        <v>#DIV/0!</v>
      </c>
      <c r="J234" s="47"/>
      <c r="K234" s="47">
        <f>AVERAGE(K224:K233)</f>
        <v>0</v>
      </c>
      <c r="L234" s="47">
        <f>AVERAGE(L224:L233)</f>
        <v>0</v>
      </c>
      <c r="M234" s="50" t="e">
        <f>(L234*8)/K234</f>
        <v>#DIV/0!</v>
      </c>
      <c r="N234" s="47"/>
      <c r="O234" s="47">
        <f>AVERAGE(O224)</f>
        <v>2.48</v>
      </c>
      <c r="P234" s="47" t="e">
        <f>AVERAGE(P224)</f>
        <v>#DIV/0!</v>
      </c>
      <c r="Q234" s="50" t="e">
        <f>(O234*8)/P234</f>
        <v>#DIV/0!</v>
      </c>
    </row>
    <row r="235" spans="1:19">
      <c r="A235" s="30" t="s">
        <v>62</v>
      </c>
      <c r="B235" s="19" t="s">
        <v>9</v>
      </c>
      <c r="C235" s="31">
        <v>0.45833333333333331</v>
      </c>
      <c r="D235" s="67">
        <f>+C235*24*K235</f>
        <v>136.125</v>
      </c>
      <c r="E235" s="32"/>
      <c r="F235" s="33">
        <v>0.5</v>
      </c>
      <c r="G235" s="34">
        <f t="shared" ref="G235:G244" si="104">IFERROR(VLOOKUP($B235,$T$1:$AB$34,2,0),0)</f>
        <v>7</v>
      </c>
      <c r="H235" s="35">
        <f>(C235*24)/(SUM($C$235:$C$243)*24)</f>
        <v>1</v>
      </c>
      <c r="I235" s="20">
        <f t="shared" ref="I235:I244" si="105">G235*H235</f>
        <v>7</v>
      </c>
      <c r="J235" s="33">
        <v>0.25</v>
      </c>
      <c r="K235" s="37">
        <f t="shared" ref="K235:K244" si="106">IFERROR(VLOOKUP($B235,$T$1:$AB$34,6,0),0)</f>
        <v>12.375</v>
      </c>
      <c r="L235" s="36">
        <f>IFERROR(D235/(C235*24),0)</f>
        <v>12.375</v>
      </c>
      <c r="M235" s="36"/>
      <c r="N235" s="33">
        <v>0.25</v>
      </c>
      <c r="O235" s="54">
        <v>2.4767801857585141</v>
      </c>
      <c r="P235" s="54">
        <f>(SUM(E235:E244)/(SUM(C235:C243)*24))</f>
        <v>0</v>
      </c>
      <c r="Q235" s="54"/>
      <c r="R235" s="3">
        <f>(I245+M245)/2</f>
        <v>7.5</v>
      </c>
      <c r="S235" s="65" t="e">
        <f>F235*I245+J235*M245+N235*Q245</f>
        <v>#DIV/0!</v>
      </c>
    </row>
    <row r="236" spans="1:19">
      <c r="A236" s="41"/>
      <c r="B236" s="19"/>
      <c r="C236" s="31"/>
      <c r="D236" s="67"/>
      <c r="E236" s="32"/>
      <c r="F236" s="33"/>
      <c r="G236" s="34">
        <f t="shared" si="104"/>
        <v>0</v>
      </c>
      <c r="H236" s="35">
        <f t="shared" ref="H236:H244" si="107">(C236*24)/(SUM($C$235:$C$243)*24)</f>
        <v>0</v>
      </c>
      <c r="I236" s="20">
        <f t="shared" si="105"/>
        <v>0</v>
      </c>
      <c r="J236" s="33"/>
      <c r="K236" s="37">
        <f t="shared" si="106"/>
        <v>0</v>
      </c>
      <c r="L236" s="36">
        <f t="shared" ref="L236:L244" si="108">IFERROR(D236/(C236*24),0)</f>
        <v>0</v>
      </c>
      <c r="M236" s="36"/>
      <c r="N236" s="33"/>
      <c r="O236" s="54"/>
      <c r="P236" s="54"/>
      <c r="Q236" s="54"/>
    </row>
    <row r="237" spans="1:19">
      <c r="A237" s="41"/>
      <c r="B237" s="19"/>
      <c r="C237" s="31"/>
      <c r="D237" s="67"/>
      <c r="E237" s="32"/>
      <c r="F237" s="33"/>
      <c r="G237" s="34">
        <f t="shared" si="104"/>
        <v>0</v>
      </c>
      <c r="H237" s="35">
        <f t="shared" si="107"/>
        <v>0</v>
      </c>
      <c r="I237" s="20">
        <f t="shared" si="105"/>
        <v>0</v>
      </c>
      <c r="J237" s="33"/>
      <c r="K237" s="37">
        <f t="shared" si="106"/>
        <v>0</v>
      </c>
      <c r="L237" s="36">
        <f t="shared" si="108"/>
        <v>0</v>
      </c>
      <c r="M237" s="36"/>
      <c r="N237" s="33"/>
      <c r="O237" s="54"/>
      <c r="P237" s="54"/>
      <c r="Q237" s="54"/>
    </row>
    <row r="238" spans="1:19">
      <c r="A238" s="41"/>
      <c r="B238" s="19"/>
      <c r="C238" s="31"/>
      <c r="D238" s="67"/>
      <c r="E238" s="32"/>
      <c r="F238" s="33"/>
      <c r="G238" s="34">
        <f t="shared" si="104"/>
        <v>0</v>
      </c>
      <c r="H238" s="35">
        <f t="shared" si="107"/>
        <v>0</v>
      </c>
      <c r="I238" s="20">
        <f t="shared" si="105"/>
        <v>0</v>
      </c>
      <c r="J238" s="33"/>
      <c r="K238" s="37">
        <f t="shared" si="106"/>
        <v>0</v>
      </c>
      <c r="L238" s="36">
        <f t="shared" si="108"/>
        <v>0</v>
      </c>
      <c r="M238" s="36"/>
      <c r="N238" s="33"/>
      <c r="O238" s="54"/>
      <c r="P238" s="54"/>
      <c r="Q238" s="54"/>
    </row>
    <row r="239" spans="1:19">
      <c r="A239" s="41"/>
      <c r="B239" s="19"/>
      <c r="C239" s="31"/>
      <c r="D239" s="67"/>
      <c r="E239" s="32"/>
      <c r="F239" s="33"/>
      <c r="G239" s="34">
        <f t="shared" si="104"/>
        <v>0</v>
      </c>
      <c r="H239" s="35">
        <f t="shared" si="107"/>
        <v>0</v>
      </c>
      <c r="I239" s="20">
        <f t="shared" si="105"/>
        <v>0</v>
      </c>
      <c r="J239" s="33"/>
      <c r="K239" s="37">
        <f t="shared" si="106"/>
        <v>0</v>
      </c>
      <c r="L239" s="36">
        <f t="shared" si="108"/>
        <v>0</v>
      </c>
      <c r="M239" s="36"/>
      <c r="N239" s="33"/>
      <c r="O239" s="54"/>
      <c r="P239" s="54"/>
      <c r="Q239" s="54"/>
    </row>
    <row r="240" spans="1:19">
      <c r="A240" s="41"/>
      <c r="B240" s="19"/>
      <c r="C240" s="31"/>
      <c r="D240" s="67"/>
      <c r="E240" s="32"/>
      <c r="F240" s="33"/>
      <c r="G240" s="34">
        <f t="shared" si="104"/>
        <v>0</v>
      </c>
      <c r="H240" s="35">
        <f t="shared" si="107"/>
        <v>0</v>
      </c>
      <c r="I240" s="20">
        <f t="shared" si="105"/>
        <v>0</v>
      </c>
      <c r="J240" s="33"/>
      <c r="K240" s="37">
        <f t="shared" si="106"/>
        <v>0</v>
      </c>
      <c r="L240" s="36">
        <f t="shared" si="108"/>
        <v>0</v>
      </c>
      <c r="M240" s="36"/>
      <c r="N240" s="33"/>
      <c r="O240" s="54"/>
      <c r="P240" s="54"/>
      <c r="Q240" s="54"/>
    </row>
    <row r="241" spans="1:19">
      <c r="A241" s="41"/>
      <c r="B241" s="19"/>
      <c r="C241" s="31"/>
      <c r="D241" s="67"/>
      <c r="E241" s="32"/>
      <c r="F241" s="33"/>
      <c r="G241" s="34">
        <f t="shared" si="104"/>
        <v>0</v>
      </c>
      <c r="H241" s="35">
        <f t="shared" si="107"/>
        <v>0</v>
      </c>
      <c r="I241" s="20">
        <f t="shared" si="105"/>
        <v>0</v>
      </c>
      <c r="J241" s="33"/>
      <c r="K241" s="37">
        <f t="shared" si="106"/>
        <v>0</v>
      </c>
      <c r="L241" s="36">
        <f t="shared" si="108"/>
        <v>0</v>
      </c>
      <c r="M241" s="36"/>
      <c r="N241" s="33"/>
      <c r="O241" s="54"/>
      <c r="P241" s="54"/>
      <c r="Q241" s="54"/>
    </row>
    <row r="242" spans="1:19">
      <c r="A242" s="41"/>
      <c r="B242" s="19"/>
      <c r="C242" s="31"/>
      <c r="D242" s="67"/>
      <c r="E242" s="32"/>
      <c r="F242" s="33"/>
      <c r="G242" s="34">
        <f t="shared" si="104"/>
        <v>0</v>
      </c>
      <c r="H242" s="35">
        <f t="shared" si="107"/>
        <v>0</v>
      </c>
      <c r="I242" s="20">
        <f t="shared" si="105"/>
        <v>0</v>
      </c>
      <c r="J242" s="33"/>
      <c r="K242" s="37">
        <f t="shared" si="106"/>
        <v>0</v>
      </c>
      <c r="L242" s="36">
        <f t="shared" si="108"/>
        <v>0</v>
      </c>
      <c r="M242" s="36"/>
      <c r="N242" s="33"/>
      <c r="O242" s="54"/>
      <c r="P242" s="54"/>
      <c r="Q242" s="54"/>
    </row>
    <row r="243" spans="1:19">
      <c r="A243" s="41"/>
      <c r="B243" s="19"/>
      <c r="C243" s="31"/>
      <c r="D243" s="67"/>
      <c r="E243" s="32"/>
      <c r="F243" s="33"/>
      <c r="G243" s="34">
        <f t="shared" si="104"/>
        <v>0</v>
      </c>
      <c r="H243" s="35">
        <f t="shared" si="107"/>
        <v>0</v>
      </c>
      <c r="I243" s="20">
        <f t="shared" si="105"/>
        <v>0</v>
      </c>
      <c r="J243" s="33"/>
      <c r="K243" s="37">
        <f t="shared" si="106"/>
        <v>0</v>
      </c>
      <c r="L243" s="36">
        <f t="shared" si="108"/>
        <v>0</v>
      </c>
      <c r="M243" s="36"/>
      <c r="N243" s="33"/>
      <c r="O243" s="54"/>
      <c r="P243" s="54"/>
      <c r="Q243" s="54"/>
    </row>
    <row r="244" spans="1:19">
      <c r="A244" s="41"/>
      <c r="B244" s="19" t="s">
        <v>89</v>
      </c>
      <c r="C244" s="17"/>
      <c r="D244" s="67"/>
      <c r="E244" s="32"/>
      <c r="F244" s="33"/>
      <c r="G244" s="34">
        <f t="shared" si="104"/>
        <v>-20</v>
      </c>
      <c r="H244" s="35">
        <f t="shared" si="107"/>
        <v>0</v>
      </c>
      <c r="I244" s="20">
        <f t="shared" si="105"/>
        <v>0</v>
      </c>
      <c r="J244" s="33"/>
      <c r="K244" s="37">
        <f t="shared" si="106"/>
        <v>0</v>
      </c>
      <c r="L244" s="36">
        <f t="shared" si="108"/>
        <v>0</v>
      </c>
      <c r="M244" s="36"/>
      <c r="N244" s="33"/>
      <c r="O244" s="54"/>
      <c r="P244" s="54"/>
      <c r="Q244" s="54"/>
    </row>
    <row r="245" spans="1:19">
      <c r="A245" s="43"/>
      <c r="B245" s="44"/>
      <c r="C245" s="45"/>
      <c r="D245" s="68"/>
      <c r="E245" s="46"/>
      <c r="F245" s="47"/>
      <c r="G245" s="48"/>
      <c r="H245" s="49"/>
      <c r="I245" s="50">
        <f>SUM(I235:I244)</f>
        <v>7</v>
      </c>
      <c r="J245" s="47"/>
      <c r="K245" s="47">
        <f>AVERAGE(K235:K244)</f>
        <v>1.2375</v>
      </c>
      <c r="L245" s="47">
        <f>AVERAGE(L235:L244)</f>
        <v>1.2375</v>
      </c>
      <c r="M245" s="50">
        <f>(L245*8)/K245</f>
        <v>8</v>
      </c>
      <c r="N245" s="47"/>
      <c r="O245" s="47">
        <f>AVERAGE(O235)</f>
        <v>2.4767801857585141</v>
      </c>
      <c r="P245" s="47">
        <f>AVERAGE(P235)</f>
        <v>0</v>
      </c>
      <c r="Q245" s="50" t="e">
        <f>(O245*8)/P245</f>
        <v>#DIV/0!</v>
      </c>
    </row>
    <row r="246" spans="1:19">
      <c r="A246" s="30" t="s">
        <v>50</v>
      </c>
      <c r="B246" s="19" t="s">
        <v>145</v>
      </c>
      <c r="C246" s="31">
        <v>0.1111111111111111</v>
      </c>
      <c r="D246" s="67">
        <v>24</v>
      </c>
      <c r="E246" s="32"/>
      <c r="F246" s="33">
        <v>0.5</v>
      </c>
      <c r="G246" s="34">
        <f t="shared" ref="G246:G255" si="109">IFERROR(VLOOKUP($B246,$T$1:$AB$34,2,0),0)</f>
        <v>9</v>
      </c>
      <c r="H246" s="35">
        <f>(C246*24)/(SUM($C$246:$C$254)*24)</f>
        <v>0.25599999999999995</v>
      </c>
      <c r="I246" s="20">
        <f t="shared" ref="I246:I255" si="110">G246*H246</f>
        <v>2.3039999999999994</v>
      </c>
      <c r="J246" s="33">
        <v>0.25</v>
      </c>
      <c r="K246" s="37">
        <f t="shared" ref="K246:K255" si="111">IFERROR(VLOOKUP($B246,$T$1:$AB$34,6,0),0)</f>
        <v>9.75</v>
      </c>
      <c r="L246" s="36">
        <f>IFERROR(D246/(C246*24),0)</f>
        <v>9</v>
      </c>
      <c r="M246" s="36"/>
      <c r="N246" s="33">
        <v>0.25</v>
      </c>
      <c r="O246" s="54">
        <v>4.8499999999999996</v>
      </c>
      <c r="P246" s="54">
        <f>(SUM(E246:E255)/(SUM(C246:C254)*24))</f>
        <v>0</v>
      </c>
      <c r="Q246" s="54"/>
      <c r="R246" s="3">
        <f>(I256+M256)/2</f>
        <v>7.034613939693525</v>
      </c>
      <c r="S246" s="65" t="e">
        <f>F246*I256+J246*M256+N246*Q256</f>
        <v>#DIV/0!</v>
      </c>
    </row>
    <row r="247" spans="1:19">
      <c r="A247" s="41"/>
      <c r="B247" s="19" t="s">
        <v>71</v>
      </c>
      <c r="C247" s="31">
        <v>0.17708333333333331</v>
      </c>
      <c r="D247" s="67">
        <f>C247*24*K247</f>
        <v>531.25</v>
      </c>
      <c r="E247" s="32"/>
      <c r="F247" s="33"/>
      <c r="G247" s="34">
        <f t="shared" si="109"/>
        <v>8</v>
      </c>
      <c r="H247" s="35">
        <f t="shared" ref="H247:H255" si="112">(C247*24)/(SUM($C$246:$C$254)*24)</f>
        <v>0.40799999999999997</v>
      </c>
      <c r="I247" s="20">
        <f t="shared" si="110"/>
        <v>3.2639999999999998</v>
      </c>
      <c r="J247" s="33"/>
      <c r="K247" s="37">
        <f t="shared" si="111"/>
        <v>125</v>
      </c>
      <c r="L247" s="36">
        <f t="shared" ref="L247:L255" si="113">IFERROR(D247/(C247*24),0)</f>
        <v>125</v>
      </c>
      <c r="M247" s="36"/>
      <c r="N247" s="33"/>
      <c r="O247" s="54"/>
      <c r="P247" s="54"/>
      <c r="Q247" s="54"/>
    </row>
    <row r="248" spans="1:19">
      <c r="A248" s="41"/>
      <c r="B248" s="19" t="s">
        <v>7</v>
      </c>
      <c r="C248" s="31">
        <v>0.14583333333333334</v>
      </c>
      <c r="D248" s="67">
        <v>30</v>
      </c>
      <c r="E248" s="32"/>
      <c r="F248" s="33"/>
      <c r="G248" s="34">
        <f t="shared" si="109"/>
        <v>8</v>
      </c>
      <c r="H248" s="35">
        <f t="shared" si="112"/>
        <v>0.33599999999999997</v>
      </c>
      <c r="I248" s="20">
        <f t="shared" si="110"/>
        <v>2.6879999999999997</v>
      </c>
      <c r="J248" s="33"/>
      <c r="K248" s="37">
        <f t="shared" si="111"/>
        <v>9.75</v>
      </c>
      <c r="L248" s="36">
        <f t="shared" si="113"/>
        <v>8.5714285714285712</v>
      </c>
      <c r="M248" s="36"/>
      <c r="N248" s="33"/>
      <c r="O248" s="54"/>
      <c r="P248" s="54"/>
      <c r="Q248" s="54"/>
    </row>
    <row r="249" spans="1:19">
      <c r="A249" s="41"/>
      <c r="B249" s="19"/>
      <c r="C249" s="31"/>
      <c r="D249" s="67"/>
      <c r="E249" s="32"/>
      <c r="F249" s="33"/>
      <c r="G249" s="34">
        <f t="shared" si="109"/>
        <v>0</v>
      </c>
      <c r="H249" s="35">
        <f t="shared" si="112"/>
        <v>0</v>
      </c>
      <c r="I249" s="20">
        <f t="shared" si="110"/>
        <v>0</v>
      </c>
      <c r="J249" s="33"/>
      <c r="K249" s="37">
        <f t="shared" si="111"/>
        <v>0</v>
      </c>
      <c r="L249" s="36">
        <f t="shared" si="113"/>
        <v>0</v>
      </c>
      <c r="M249" s="36"/>
      <c r="N249" s="33"/>
      <c r="O249" s="54"/>
      <c r="P249" s="54"/>
      <c r="Q249" s="54"/>
    </row>
    <row r="250" spans="1:19">
      <c r="A250" s="41"/>
      <c r="B250" s="19"/>
      <c r="C250" s="31"/>
      <c r="D250" s="67"/>
      <c r="E250" s="32"/>
      <c r="F250" s="33"/>
      <c r="G250" s="34">
        <f t="shared" si="109"/>
        <v>0</v>
      </c>
      <c r="H250" s="35">
        <f t="shared" si="112"/>
        <v>0</v>
      </c>
      <c r="I250" s="20">
        <f t="shared" si="110"/>
        <v>0</v>
      </c>
      <c r="J250" s="33"/>
      <c r="K250" s="37">
        <f t="shared" si="111"/>
        <v>0</v>
      </c>
      <c r="L250" s="36">
        <f t="shared" si="113"/>
        <v>0</v>
      </c>
      <c r="M250" s="36"/>
      <c r="N250" s="33"/>
      <c r="O250" s="54"/>
      <c r="P250" s="54"/>
      <c r="Q250" s="54"/>
    </row>
    <row r="251" spans="1:19">
      <c r="A251" s="41"/>
      <c r="B251" s="19"/>
      <c r="C251" s="31"/>
      <c r="D251" s="67"/>
      <c r="E251" s="32"/>
      <c r="F251" s="33"/>
      <c r="G251" s="34">
        <f t="shared" si="109"/>
        <v>0</v>
      </c>
      <c r="H251" s="35">
        <f t="shared" si="112"/>
        <v>0</v>
      </c>
      <c r="I251" s="20">
        <f t="shared" si="110"/>
        <v>0</v>
      </c>
      <c r="J251" s="33"/>
      <c r="K251" s="37">
        <f t="shared" si="111"/>
        <v>0</v>
      </c>
      <c r="L251" s="36">
        <f t="shared" si="113"/>
        <v>0</v>
      </c>
      <c r="M251" s="36"/>
      <c r="N251" s="33"/>
      <c r="O251" s="54"/>
      <c r="P251" s="54"/>
      <c r="Q251" s="54"/>
    </row>
    <row r="252" spans="1:19">
      <c r="A252" s="41"/>
      <c r="B252" s="19"/>
      <c r="C252" s="31"/>
      <c r="D252" s="67"/>
      <c r="E252" s="32"/>
      <c r="F252" s="33"/>
      <c r="G252" s="34">
        <f t="shared" si="109"/>
        <v>0</v>
      </c>
      <c r="H252" s="35">
        <f t="shared" si="112"/>
        <v>0</v>
      </c>
      <c r="I252" s="20">
        <f t="shared" si="110"/>
        <v>0</v>
      </c>
      <c r="J252" s="33"/>
      <c r="K252" s="37">
        <f t="shared" si="111"/>
        <v>0</v>
      </c>
      <c r="L252" s="36">
        <f t="shared" si="113"/>
        <v>0</v>
      </c>
      <c r="M252" s="36"/>
      <c r="N252" s="33"/>
      <c r="O252" s="54"/>
      <c r="P252" s="54"/>
      <c r="Q252" s="54"/>
    </row>
    <row r="253" spans="1:19">
      <c r="A253" s="41"/>
      <c r="B253" s="19"/>
      <c r="C253" s="31"/>
      <c r="D253" s="67"/>
      <c r="E253" s="32"/>
      <c r="F253" s="33"/>
      <c r="G253" s="34">
        <f t="shared" si="109"/>
        <v>0</v>
      </c>
      <c r="H253" s="35">
        <f t="shared" si="112"/>
        <v>0</v>
      </c>
      <c r="I253" s="20">
        <f t="shared" si="110"/>
        <v>0</v>
      </c>
      <c r="J253" s="33"/>
      <c r="K253" s="37">
        <f t="shared" si="111"/>
        <v>0</v>
      </c>
      <c r="L253" s="36">
        <f t="shared" si="113"/>
        <v>0</v>
      </c>
      <c r="M253" s="36"/>
      <c r="N253" s="33"/>
      <c r="O253" s="54"/>
      <c r="P253" s="54"/>
      <c r="Q253" s="54"/>
    </row>
    <row r="254" spans="1:19">
      <c r="A254" s="41"/>
      <c r="B254" s="19"/>
      <c r="C254" s="31"/>
      <c r="D254" s="67"/>
      <c r="E254" s="32"/>
      <c r="F254" s="33"/>
      <c r="G254" s="34">
        <f t="shared" si="109"/>
        <v>0</v>
      </c>
      <c r="H254" s="35">
        <f t="shared" si="112"/>
        <v>0</v>
      </c>
      <c r="I254" s="20">
        <f t="shared" si="110"/>
        <v>0</v>
      </c>
      <c r="J254" s="33"/>
      <c r="K254" s="37">
        <f t="shared" si="111"/>
        <v>0</v>
      </c>
      <c r="L254" s="36">
        <f t="shared" si="113"/>
        <v>0</v>
      </c>
      <c r="M254" s="36"/>
      <c r="N254" s="33"/>
      <c r="O254" s="54"/>
      <c r="P254" s="54"/>
      <c r="Q254" s="54"/>
    </row>
    <row r="255" spans="1:19">
      <c r="A255" s="41"/>
      <c r="B255" s="19" t="s">
        <v>89</v>
      </c>
      <c r="C255" s="18">
        <v>4.5138888888888888E-2</v>
      </c>
      <c r="D255" s="67"/>
      <c r="E255" s="32"/>
      <c r="F255" s="33"/>
      <c r="G255" s="34">
        <f t="shared" si="109"/>
        <v>-20</v>
      </c>
      <c r="H255" s="35">
        <f t="shared" si="112"/>
        <v>0.10399999999999998</v>
      </c>
      <c r="I255" s="20">
        <f t="shared" si="110"/>
        <v>-2.0799999999999996</v>
      </c>
      <c r="J255" s="33"/>
      <c r="K255" s="37">
        <f t="shared" si="111"/>
        <v>0</v>
      </c>
      <c r="L255" s="36">
        <f t="shared" si="113"/>
        <v>0</v>
      </c>
      <c r="M255" s="36"/>
      <c r="N255" s="33"/>
      <c r="O255" s="54"/>
      <c r="P255" s="54"/>
      <c r="Q255" s="54"/>
    </row>
    <row r="256" spans="1:19">
      <c r="A256" s="43"/>
      <c r="B256" s="44"/>
      <c r="C256" s="45"/>
      <c r="D256" s="68"/>
      <c r="E256" s="46"/>
      <c r="F256" s="47"/>
      <c r="G256" s="48"/>
      <c r="H256" s="49"/>
      <c r="I256" s="50">
        <f>SUM(I246:I255)</f>
        <v>6.1760000000000002</v>
      </c>
      <c r="J256" s="47"/>
      <c r="K256" s="47">
        <f>AVERAGE(K246:K255)</f>
        <v>14.45</v>
      </c>
      <c r="L256" s="47">
        <f>AVERAGE(L246:L255)</f>
        <v>14.257142857142858</v>
      </c>
      <c r="M256" s="50">
        <f>(L256*8)/K256</f>
        <v>7.8932278793870498</v>
      </c>
      <c r="N256" s="47"/>
      <c r="O256" s="47">
        <f>AVERAGE(O246)</f>
        <v>4.8499999999999996</v>
      </c>
      <c r="P256" s="47">
        <f>AVERAGE(P246)</f>
        <v>0</v>
      </c>
      <c r="Q256" s="50" t="e">
        <f>(O256*8)/P256</f>
        <v>#DIV/0!</v>
      </c>
    </row>
    <row r="257" spans="1:19">
      <c r="A257" s="30" t="s">
        <v>51</v>
      </c>
      <c r="B257" s="19"/>
      <c r="C257" s="31"/>
      <c r="D257" s="67"/>
      <c r="E257" s="32"/>
      <c r="F257" s="33">
        <v>0.5</v>
      </c>
      <c r="G257" s="34">
        <f t="shared" ref="G257:G266" si="114">IFERROR(VLOOKUP($B257,$T$1:$AB$34,2,0),0)</f>
        <v>0</v>
      </c>
      <c r="H257" s="35" t="e">
        <f>(C257*24)/(SUM($C$257:$C$265)*24)</f>
        <v>#DIV/0!</v>
      </c>
      <c r="I257" s="20" t="e">
        <f>G257*H257</f>
        <v>#DIV/0!</v>
      </c>
      <c r="J257" s="33">
        <v>0.25</v>
      </c>
      <c r="K257" s="37">
        <f t="shared" ref="K257:K266" si="115">IFERROR(VLOOKUP($B257,$T$1:$AB$34,6,0),0)</f>
        <v>0</v>
      </c>
      <c r="L257" s="36">
        <f>IFERROR(D257/(C257*24),0)</f>
        <v>0</v>
      </c>
      <c r="M257" s="36"/>
      <c r="N257" s="33">
        <v>0.25</v>
      </c>
      <c r="O257" s="54">
        <v>4.8499999999999996</v>
      </c>
      <c r="P257" s="54" t="e">
        <f>(SUM(E257:E266)/(SUM(C257:C265)*24))</f>
        <v>#DIV/0!</v>
      </c>
      <c r="Q257" s="54"/>
      <c r="R257" s="3" t="e">
        <f>(I267+M267)/2</f>
        <v>#DIV/0!</v>
      </c>
      <c r="S257" s="65" t="e">
        <f>F257*I267+J257*M267+N257*Q267</f>
        <v>#DIV/0!</v>
      </c>
    </row>
    <row r="258" spans="1:19">
      <c r="A258" s="41"/>
      <c r="B258" s="19"/>
      <c r="C258" s="31"/>
      <c r="D258" s="67"/>
      <c r="E258" s="32"/>
      <c r="F258" s="33"/>
      <c r="G258" s="34">
        <f t="shared" si="114"/>
        <v>0</v>
      </c>
      <c r="H258" s="35" t="e">
        <f t="shared" ref="H258:H265" si="116">(C258*24)/(SUM($C$257:$C$265)*24)</f>
        <v>#DIV/0!</v>
      </c>
      <c r="I258" s="20" t="e">
        <f t="shared" ref="I258:I266" si="117">G258*H258</f>
        <v>#DIV/0!</v>
      </c>
      <c r="J258" s="33"/>
      <c r="K258" s="37">
        <f t="shared" si="115"/>
        <v>0</v>
      </c>
      <c r="L258" s="36">
        <f t="shared" ref="L258:L266" si="118">IFERROR(D258/(C258*24),0)</f>
        <v>0</v>
      </c>
      <c r="M258" s="36"/>
      <c r="N258" s="33"/>
      <c r="O258" s="54"/>
      <c r="P258" s="54"/>
      <c r="Q258" s="54"/>
    </row>
    <row r="259" spans="1:19">
      <c r="A259" s="41"/>
      <c r="B259" s="19"/>
      <c r="C259" s="31"/>
      <c r="D259" s="67"/>
      <c r="E259" s="32"/>
      <c r="F259" s="33"/>
      <c r="G259" s="34">
        <f t="shared" si="114"/>
        <v>0</v>
      </c>
      <c r="H259" s="35" t="e">
        <f t="shared" si="116"/>
        <v>#DIV/0!</v>
      </c>
      <c r="I259" s="20" t="e">
        <f t="shared" si="117"/>
        <v>#DIV/0!</v>
      </c>
      <c r="J259" s="33"/>
      <c r="K259" s="37">
        <f t="shared" si="115"/>
        <v>0</v>
      </c>
      <c r="L259" s="36">
        <f t="shared" si="118"/>
        <v>0</v>
      </c>
      <c r="M259" s="36"/>
      <c r="N259" s="33"/>
      <c r="O259" s="54"/>
      <c r="P259" s="54"/>
      <c r="Q259" s="54"/>
    </row>
    <row r="260" spans="1:19">
      <c r="A260" s="41"/>
      <c r="B260" s="19"/>
      <c r="C260" s="31"/>
      <c r="D260" s="67"/>
      <c r="E260" s="32"/>
      <c r="F260" s="33"/>
      <c r="G260" s="34">
        <f t="shared" si="114"/>
        <v>0</v>
      </c>
      <c r="H260" s="35" t="e">
        <f t="shared" si="116"/>
        <v>#DIV/0!</v>
      </c>
      <c r="I260" s="20" t="e">
        <f t="shared" si="117"/>
        <v>#DIV/0!</v>
      </c>
      <c r="J260" s="33"/>
      <c r="K260" s="37">
        <f t="shared" si="115"/>
        <v>0</v>
      </c>
      <c r="L260" s="36">
        <f t="shared" si="118"/>
        <v>0</v>
      </c>
      <c r="M260" s="36"/>
      <c r="N260" s="33"/>
      <c r="O260" s="54"/>
      <c r="P260" s="54"/>
      <c r="Q260" s="54"/>
    </row>
    <row r="261" spans="1:19">
      <c r="A261" s="41"/>
      <c r="B261" s="19"/>
      <c r="C261" s="31"/>
      <c r="D261" s="67"/>
      <c r="E261" s="32"/>
      <c r="F261" s="33"/>
      <c r="G261" s="34">
        <f t="shared" si="114"/>
        <v>0</v>
      </c>
      <c r="H261" s="35" t="e">
        <f t="shared" si="116"/>
        <v>#DIV/0!</v>
      </c>
      <c r="I261" s="20" t="e">
        <f t="shared" si="117"/>
        <v>#DIV/0!</v>
      </c>
      <c r="J261" s="33"/>
      <c r="K261" s="37">
        <f t="shared" si="115"/>
        <v>0</v>
      </c>
      <c r="L261" s="36">
        <f t="shared" si="118"/>
        <v>0</v>
      </c>
      <c r="M261" s="36"/>
      <c r="N261" s="33"/>
      <c r="O261" s="54"/>
      <c r="P261" s="54"/>
      <c r="Q261" s="54"/>
    </row>
    <row r="262" spans="1:19">
      <c r="A262" s="41"/>
      <c r="B262" s="19"/>
      <c r="C262" s="31"/>
      <c r="D262" s="67"/>
      <c r="E262" s="32"/>
      <c r="F262" s="33"/>
      <c r="G262" s="34">
        <f t="shared" si="114"/>
        <v>0</v>
      </c>
      <c r="H262" s="35" t="e">
        <f t="shared" si="116"/>
        <v>#DIV/0!</v>
      </c>
      <c r="I262" s="20" t="e">
        <f t="shared" si="117"/>
        <v>#DIV/0!</v>
      </c>
      <c r="J262" s="33"/>
      <c r="K262" s="37">
        <f t="shared" si="115"/>
        <v>0</v>
      </c>
      <c r="L262" s="36">
        <f t="shared" si="118"/>
        <v>0</v>
      </c>
      <c r="M262" s="36"/>
      <c r="N262" s="33"/>
      <c r="O262" s="54"/>
      <c r="P262" s="54"/>
      <c r="Q262" s="54"/>
    </row>
    <row r="263" spans="1:19">
      <c r="A263" s="41"/>
      <c r="B263" s="19"/>
      <c r="C263" s="31"/>
      <c r="D263" s="67"/>
      <c r="E263" s="32"/>
      <c r="F263" s="33"/>
      <c r="G263" s="34">
        <f t="shared" si="114"/>
        <v>0</v>
      </c>
      <c r="H263" s="35" t="e">
        <f t="shared" si="116"/>
        <v>#DIV/0!</v>
      </c>
      <c r="I263" s="20" t="e">
        <f t="shared" si="117"/>
        <v>#DIV/0!</v>
      </c>
      <c r="J263" s="33"/>
      <c r="K263" s="37">
        <f t="shared" si="115"/>
        <v>0</v>
      </c>
      <c r="L263" s="36">
        <f t="shared" si="118"/>
        <v>0</v>
      </c>
      <c r="M263" s="36"/>
      <c r="N263" s="33"/>
      <c r="O263" s="54"/>
      <c r="P263" s="54"/>
      <c r="Q263" s="54"/>
    </row>
    <row r="264" spans="1:19">
      <c r="A264" s="41"/>
      <c r="B264" s="19"/>
      <c r="C264" s="31"/>
      <c r="D264" s="67"/>
      <c r="E264" s="32"/>
      <c r="F264" s="33"/>
      <c r="G264" s="34">
        <f t="shared" si="114"/>
        <v>0</v>
      </c>
      <c r="H264" s="35" t="e">
        <f t="shared" si="116"/>
        <v>#DIV/0!</v>
      </c>
      <c r="I264" s="20" t="e">
        <f t="shared" si="117"/>
        <v>#DIV/0!</v>
      </c>
      <c r="J264" s="33"/>
      <c r="K264" s="37">
        <f t="shared" si="115"/>
        <v>0</v>
      </c>
      <c r="L264" s="36">
        <f t="shared" si="118"/>
        <v>0</v>
      </c>
      <c r="M264" s="36"/>
      <c r="N264" s="33"/>
      <c r="O264" s="54"/>
      <c r="P264" s="54"/>
      <c r="Q264" s="54"/>
    </row>
    <row r="265" spans="1:19">
      <c r="A265" s="41"/>
      <c r="B265" s="19"/>
      <c r="C265" s="31"/>
      <c r="D265" s="67"/>
      <c r="E265" s="32"/>
      <c r="F265" s="33"/>
      <c r="G265" s="34">
        <f t="shared" si="114"/>
        <v>0</v>
      </c>
      <c r="H265" s="35" t="e">
        <f t="shared" si="116"/>
        <v>#DIV/0!</v>
      </c>
      <c r="I265" s="20" t="e">
        <f t="shared" si="117"/>
        <v>#DIV/0!</v>
      </c>
      <c r="J265" s="33"/>
      <c r="K265" s="37">
        <f t="shared" si="115"/>
        <v>0</v>
      </c>
      <c r="L265" s="36">
        <f t="shared" si="118"/>
        <v>0</v>
      </c>
      <c r="M265" s="36"/>
      <c r="N265" s="33"/>
      <c r="O265" s="54"/>
      <c r="P265" s="54"/>
      <c r="Q265" s="54"/>
    </row>
    <row r="266" spans="1:19">
      <c r="A266" s="41"/>
      <c r="B266" s="19" t="s">
        <v>89</v>
      </c>
      <c r="C266" s="17">
        <v>0.29166666666666669</v>
      </c>
      <c r="D266" s="67"/>
      <c r="E266" s="32"/>
      <c r="F266" s="33"/>
      <c r="G266" s="34">
        <f t="shared" si="114"/>
        <v>-20</v>
      </c>
      <c r="H266" s="59" t="e">
        <f>(C266*24)/(SUM($C$257:$C$265)*24)</f>
        <v>#DIV/0!</v>
      </c>
      <c r="I266" s="20" t="e">
        <f t="shared" si="117"/>
        <v>#DIV/0!</v>
      </c>
      <c r="J266" s="33"/>
      <c r="K266" s="37">
        <f t="shared" si="115"/>
        <v>0</v>
      </c>
      <c r="L266" s="36">
        <f t="shared" si="118"/>
        <v>0</v>
      </c>
      <c r="M266" s="36"/>
      <c r="N266" s="33"/>
      <c r="O266" s="54"/>
      <c r="P266" s="54"/>
      <c r="Q266" s="54"/>
    </row>
    <row r="267" spans="1:19">
      <c r="A267" s="43"/>
      <c r="B267" s="44"/>
      <c r="C267" s="45"/>
      <c r="D267" s="68"/>
      <c r="E267" s="46"/>
      <c r="F267" s="47"/>
      <c r="G267" s="48"/>
      <c r="H267" s="49"/>
      <c r="I267" s="50" t="e">
        <f>SUM(I257:I266)</f>
        <v>#DIV/0!</v>
      </c>
      <c r="J267" s="47"/>
      <c r="K267" s="47">
        <f>AVERAGE(K257:K266)</f>
        <v>0</v>
      </c>
      <c r="L267" s="47">
        <f>AVERAGE(L257:L266)</f>
        <v>0</v>
      </c>
      <c r="M267" s="50" t="e">
        <f>(L267*8)/K267</f>
        <v>#DIV/0!</v>
      </c>
      <c r="N267" s="47"/>
      <c r="O267" s="47">
        <f>AVERAGE(O257)</f>
        <v>4.8499999999999996</v>
      </c>
      <c r="P267" s="47" t="e">
        <f>AVERAGE(P257)</f>
        <v>#DIV/0!</v>
      </c>
      <c r="Q267" s="50" t="e">
        <f>(O267*8)/P267</f>
        <v>#DIV/0!</v>
      </c>
    </row>
    <row r="268" spans="1:19">
      <c r="A268" s="30" t="s">
        <v>52</v>
      </c>
      <c r="B268" s="19" t="s">
        <v>145</v>
      </c>
      <c r="C268" s="31">
        <v>0.41666666666666669</v>
      </c>
      <c r="D268" s="67">
        <v>77</v>
      </c>
      <c r="E268" s="32"/>
      <c r="F268" s="33">
        <v>0.5</v>
      </c>
      <c r="G268" s="34">
        <f t="shared" ref="G268:G277" si="119">IFERROR(VLOOKUP($B268,$T$1:$AB$34,2,0),0)</f>
        <v>9</v>
      </c>
      <c r="H268" s="35">
        <f>(C268*24)/(SUM($C$268:$C$276)*24)</f>
        <v>0.81632653061224481</v>
      </c>
      <c r="I268" s="20">
        <f t="shared" ref="I268:I277" si="120">G268*H268</f>
        <v>7.3469387755102034</v>
      </c>
      <c r="J268" s="33">
        <v>0.25</v>
      </c>
      <c r="K268" s="37">
        <f t="shared" ref="K268:K277" si="121">IFERROR(VLOOKUP($B268,$T$1:$AB$34,6,0),0)</f>
        <v>9.75</v>
      </c>
      <c r="L268" s="36">
        <f>IFERROR(D268/(C268*24),0)</f>
        <v>7.7</v>
      </c>
      <c r="M268" s="36"/>
      <c r="N268" s="33">
        <v>0.25</v>
      </c>
      <c r="O268" s="54">
        <v>4.8499999999999996</v>
      </c>
      <c r="P268" s="54">
        <f>(SUM(E268:E277)/(SUM(C268:C276)*24))</f>
        <v>0</v>
      </c>
      <c r="Q268" s="54"/>
      <c r="R268" s="3">
        <f>(I278+M278)/2</f>
        <v>7.6163683935112498</v>
      </c>
      <c r="S268" s="65" t="e">
        <f>F268*I278+J268*M278+N268*Q278</f>
        <v>#DIV/0!</v>
      </c>
    </row>
    <row r="269" spans="1:19">
      <c r="A269" s="41"/>
      <c r="B269" s="19" t="s">
        <v>85</v>
      </c>
      <c r="C269" s="31">
        <v>9.375E-2</v>
      </c>
      <c r="D269" s="67">
        <v>12</v>
      </c>
      <c r="E269" s="32"/>
      <c r="F269" s="33"/>
      <c r="G269" s="34">
        <f t="shared" si="119"/>
        <v>8</v>
      </c>
      <c r="H269" s="35">
        <f t="shared" ref="H269:H277" si="122">(C269*24)/(SUM($C$268:$C$276)*24)</f>
        <v>0.18367346938775508</v>
      </c>
      <c r="I269" s="20">
        <f t="shared" si="120"/>
        <v>1.4693877551020407</v>
      </c>
      <c r="J269" s="33"/>
      <c r="K269" s="37">
        <f t="shared" si="121"/>
        <v>6.5</v>
      </c>
      <c r="L269" s="36">
        <f t="shared" ref="L269:L277" si="123">IFERROR(D269/(C269*24),0)</f>
        <v>5.333333333333333</v>
      </c>
      <c r="M269" s="36"/>
      <c r="N269" s="33"/>
      <c r="O269" s="54"/>
      <c r="P269" s="54"/>
      <c r="Q269" s="54"/>
    </row>
    <row r="270" spans="1:19">
      <c r="A270" s="41"/>
      <c r="B270" s="19"/>
      <c r="C270" s="31"/>
      <c r="D270" s="67"/>
      <c r="E270" s="32"/>
      <c r="F270" s="33"/>
      <c r="G270" s="34">
        <f t="shared" si="119"/>
        <v>0</v>
      </c>
      <c r="H270" s="35">
        <f t="shared" si="122"/>
        <v>0</v>
      </c>
      <c r="I270" s="20">
        <f t="shared" si="120"/>
        <v>0</v>
      </c>
      <c r="J270" s="33"/>
      <c r="K270" s="37">
        <f t="shared" si="121"/>
        <v>0</v>
      </c>
      <c r="L270" s="36">
        <f t="shared" si="123"/>
        <v>0</v>
      </c>
      <c r="M270" s="36"/>
      <c r="N270" s="33"/>
      <c r="O270" s="54"/>
      <c r="P270" s="54"/>
      <c r="Q270" s="54"/>
    </row>
    <row r="271" spans="1:19">
      <c r="A271" s="41"/>
      <c r="B271" s="19"/>
      <c r="C271" s="31"/>
      <c r="D271" s="67"/>
      <c r="E271" s="32"/>
      <c r="F271" s="33"/>
      <c r="G271" s="34">
        <f t="shared" si="119"/>
        <v>0</v>
      </c>
      <c r="H271" s="35">
        <f t="shared" si="122"/>
        <v>0</v>
      </c>
      <c r="I271" s="20">
        <f t="shared" si="120"/>
        <v>0</v>
      </c>
      <c r="J271" s="33"/>
      <c r="K271" s="37">
        <f t="shared" si="121"/>
        <v>0</v>
      </c>
      <c r="L271" s="36">
        <f t="shared" si="123"/>
        <v>0</v>
      </c>
      <c r="M271" s="36"/>
      <c r="N271" s="33"/>
      <c r="O271" s="54"/>
      <c r="P271" s="54"/>
      <c r="Q271" s="54"/>
    </row>
    <row r="272" spans="1:19">
      <c r="A272" s="41"/>
      <c r="B272" s="19"/>
      <c r="C272" s="31"/>
      <c r="D272" s="67"/>
      <c r="E272" s="32"/>
      <c r="F272" s="33"/>
      <c r="G272" s="34">
        <f t="shared" si="119"/>
        <v>0</v>
      </c>
      <c r="H272" s="35">
        <f t="shared" si="122"/>
        <v>0</v>
      </c>
      <c r="I272" s="20">
        <f t="shared" si="120"/>
        <v>0</v>
      </c>
      <c r="J272" s="33"/>
      <c r="K272" s="37">
        <f t="shared" si="121"/>
        <v>0</v>
      </c>
      <c r="L272" s="36">
        <f t="shared" si="123"/>
        <v>0</v>
      </c>
      <c r="M272" s="36"/>
      <c r="N272" s="33"/>
      <c r="O272" s="54"/>
      <c r="P272" s="54"/>
      <c r="Q272" s="54"/>
    </row>
    <row r="273" spans="1:19">
      <c r="A273" s="41"/>
      <c r="B273" s="19"/>
      <c r="C273" s="31"/>
      <c r="D273" s="67"/>
      <c r="E273" s="32"/>
      <c r="F273" s="33"/>
      <c r="G273" s="34">
        <f t="shared" si="119"/>
        <v>0</v>
      </c>
      <c r="H273" s="35">
        <f t="shared" si="122"/>
        <v>0</v>
      </c>
      <c r="I273" s="20">
        <f t="shared" si="120"/>
        <v>0</v>
      </c>
      <c r="J273" s="33"/>
      <c r="K273" s="37">
        <f t="shared" si="121"/>
        <v>0</v>
      </c>
      <c r="L273" s="36">
        <f t="shared" si="123"/>
        <v>0</v>
      </c>
      <c r="M273" s="36"/>
      <c r="N273" s="33"/>
      <c r="O273" s="54"/>
      <c r="P273" s="54"/>
      <c r="Q273" s="54"/>
    </row>
    <row r="274" spans="1:19">
      <c r="A274" s="41"/>
      <c r="B274" s="19"/>
      <c r="C274" s="31"/>
      <c r="D274" s="67"/>
      <c r="E274" s="32"/>
      <c r="F274" s="33"/>
      <c r="G274" s="34">
        <f t="shared" si="119"/>
        <v>0</v>
      </c>
      <c r="H274" s="35">
        <f t="shared" si="122"/>
        <v>0</v>
      </c>
      <c r="I274" s="20">
        <f t="shared" si="120"/>
        <v>0</v>
      </c>
      <c r="J274" s="33"/>
      <c r="K274" s="37">
        <f t="shared" si="121"/>
        <v>0</v>
      </c>
      <c r="L274" s="36">
        <f t="shared" si="123"/>
        <v>0</v>
      </c>
      <c r="M274" s="36"/>
      <c r="N274" s="33"/>
      <c r="O274" s="54"/>
      <c r="P274" s="54"/>
      <c r="Q274" s="54"/>
    </row>
    <row r="275" spans="1:19">
      <c r="A275" s="41"/>
      <c r="B275" s="19"/>
      <c r="C275" s="31"/>
      <c r="D275" s="67"/>
      <c r="E275" s="32"/>
      <c r="F275" s="33"/>
      <c r="G275" s="34">
        <f t="shared" si="119"/>
        <v>0</v>
      </c>
      <c r="H275" s="35">
        <f t="shared" si="122"/>
        <v>0</v>
      </c>
      <c r="I275" s="20">
        <f t="shared" si="120"/>
        <v>0</v>
      </c>
      <c r="J275" s="33"/>
      <c r="K275" s="37">
        <f t="shared" si="121"/>
        <v>0</v>
      </c>
      <c r="L275" s="36">
        <f t="shared" si="123"/>
        <v>0</v>
      </c>
      <c r="M275" s="36"/>
      <c r="N275" s="33"/>
      <c r="O275" s="54"/>
      <c r="P275" s="54"/>
      <c r="Q275" s="54"/>
    </row>
    <row r="276" spans="1:19">
      <c r="A276" s="41"/>
      <c r="B276" s="19"/>
      <c r="C276" s="31"/>
      <c r="D276" s="67"/>
      <c r="E276" s="32"/>
      <c r="F276" s="33"/>
      <c r="G276" s="34">
        <f t="shared" si="119"/>
        <v>0</v>
      </c>
      <c r="H276" s="35">
        <f t="shared" si="122"/>
        <v>0</v>
      </c>
      <c r="I276" s="20">
        <f t="shared" si="120"/>
        <v>0</v>
      </c>
      <c r="J276" s="33"/>
      <c r="K276" s="37">
        <f t="shared" si="121"/>
        <v>0</v>
      </c>
      <c r="L276" s="36">
        <f t="shared" si="123"/>
        <v>0</v>
      </c>
      <c r="M276" s="36"/>
      <c r="N276" s="33"/>
      <c r="O276" s="54"/>
      <c r="P276" s="54"/>
      <c r="Q276" s="54"/>
    </row>
    <row r="277" spans="1:19">
      <c r="A277" s="41"/>
      <c r="B277" s="19" t="s">
        <v>89</v>
      </c>
      <c r="C277" s="18"/>
      <c r="D277" s="67"/>
      <c r="E277" s="32"/>
      <c r="F277" s="33"/>
      <c r="G277" s="34">
        <f t="shared" si="119"/>
        <v>-20</v>
      </c>
      <c r="H277" s="35">
        <f t="shared" si="122"/>
        <v>0</v>
      </c>
      <c r="I277" s="20">
        <f t="shared" si="120"/>
        <v>0</v>
      </c>
      <c r="J277" s="33"/>
      <c r="K277" s="37">
        <f t="shared" si="121"/>
        <v>0</v>
      </c>
      <c r="L277" s="36">
        <f t="shared" si="123"/>
        <v>0</v>
      </c>
      <c r="M277" s="36"/>
      <c r="N277" s="33"/>
      <c r="O277" s="54"/>
      <c r="P277" s="54"/>
      <c r="Q277" s="54"/>
    </row>
    <row r="278" spans="1:19">
      <c r="A278" s="43"/>
      <c r="B278" s="44"/>
      <c r="C278" s="45"/>
      <c r="D278" s="68"/>
      <c r="E278" s="46"/>
      <c r="F278" s="47"/>
      <c r="G278" s="48"/>
      <c r="H278" s="49"/>
      <c r="I278" s="50">
        <f>SUM(I268:I277)</f>
        <v>8.816326530612244</v>
      </c>
      <c r="J278" s="47"/>
      <c r="K278" s="47">
        <f>AVERAGE(K268:K277)</f>
        <v>1.625</v>
      </c>
      <c r="L278" s="47">
        <f>AVERAGE(L268:L277)</f>
        <v>1.3033333333333332</v>
      </c>
      <c r="M278" s="50">
        <f>(L278*8)/K278</f>
        <v>6.4164102564102556</v>
      </c>
      <c r="N278" s="47"/>
      <c r="O278" s="47">
        <f>AVERAGE(O268)</f>
        <v>4.8499999999999996</v>
      </c>
      <c r="P278" s="47">
        <f>AVERAGE(P268)</f>
        <v>0</v>
      </c>
      <c r="Q278" s="50" t="e">
        <f>(O278*8)/P278</f>
        <v>#DIV/0!</v>
      </c>
    </row>
    <row r="279" spans="1:19">
      <c r="A279" s="30" t="s">
        <v>53</v>
      </c>
      <c r="B279" s="19" t="s">
        <v>9</v>
      </c>
      <c r="C279" s="31">
        <v>5.2083333333333329E-2</v>
      </c>
      <c r="D279" s="67">
        <f>C279*24*K279</f>
        <v>15.46875</v>
      </c>
      <c r="E279" s="32"/>
      <c r="F279" s="33">
        <v>0.5</v>
      </c>
      <c r="G279" s="34">
        <f t="shared" ref="G279:G288" si="124">IFERROR(VLOOKUP($B279,$T$1:$AB$34,2,0),0)</f>
        <v>7</v>
      </c>
      <c r="H279" s="35">
        <f>(C279*24)/(SUM($C$279:$C$287)*24)</f>
        <v>0.12931034482758619</v>
      </c>
      <c r="I279" s="20">
        <f t="shared" ref="I279:I288" si="125">G279*H279</f>
        <v>0.90517241379310331</v>
      </c>
      <c r="J279" s="33">
        <v>0.25</v>
      </c>
      <c r="K279" s="37">
        <f t="shared" ref="K279:K288" si="126">IFERROR(VLOOKUP($B279,$T$1:$AB$34,6,0),0)</f>
        <v>12.375</v>
      </c>
      <c r="L279" s="36">
        <f>IFERROR(D279/(C279*24),0)</f>
        <v>12.375</v>
      </c>
      <c r="M279" s="36"/>
      <c r="N279" s="33">
        <v>0.25</v>
      </c>
      <c r="O279" s="54">
        <v>4.8499999999999996</v>
      </c>
      <c r="P279" s="54">
        <f>(SUM(E279:E288)/(SUM(C279:C287)*24))</f>
        <v>0</v>
      </c>
      <c r="Q279" s="54"/>
      <c r="R279" s="3">
        <f>(I289+M289)/2</f>
        <v>7.7448518173345757</v>
      </c>
      <c r="S279" s="65" t="e">
        <f>F279*I289+J279*M289+N279*Q289</f>
        <v>#DIV/0!</v>
      </c>
    </row>
    <row r="280" spans="1:19">
      <c r="A280" s="41"/>
      <c r="B280" s="19" t="s">
        <v>77</v>
      </c>
      <c r="C280" s="31">
        <v>7.6388888888888895E-2</v>
      </c>
      <c r="D280" s="67">
        <f>C280*24*K280</f>
        <v>229.16666666666669</v>
      </c>
      <c r="E280" s="32"/>
      <c r="F280" s="33"/>
      <c r="G280" s="34">
        <f t="shared" si="124"/>
        <v>9</v>
      </c>
      <c r="H280" s="35">
        <f t="shared" ref="H280:H288" si="127">(C280*24)/(SUM($C$279:$C$287)*24)</f>
        <v>0.18965517241379309</v>
      </c>
      <c r="I280" s="20">
        <f t="shared" si="125"/>
        <v>1.7068965517241379</v>
      </c>
      <c r="J280" s="33"/>
      <c r="K280" s="37">
        <f t="shared" si="126"/>
        <v>125</v>
      </c>
      <c r="L280" s="36">
        <f t="shared" ref="L280:L288" si="128">IFERROR(D280/(C280*24),0)</f>
        <v>125</v>
      </c>
      <c r="M280" s="36"/>
      <c r="N280" s="33"/>
      <c r="O280" s="54"/>
      <c r="P280" s="54"/>
      <c r="Q280" s="54"/>
    </row>
    <row r="281" spans="1:19">
      <c r="A281" s="41"/>
      <c r="B281" s="19" t="s">
        <v>88</v>
      </c>
      <c r="C281" s="31">
        <v>0.12847222222222224</v>
      </c>
      <c r="D281" s="67">
        <v>23</v>
      </c>
      <c r="E281" s="32"/>
      <c r="F281" s="33"/>
      <c r="G281" s="34">
        <f t="shared" si="124"/>
        <v>7</v>
      </c>
      <c r="H281" s="35">
        <f t="shared" si="127"/>
        <v>0.31896551724137934</v>
      </c>
      <c r="I281" s="20">
        <f t="shared" si="125"/>
        <v>2.2327586206896552</v>
      </c>
      <c r="J281" s="33"/>
      <c r="K281" s="37">
        <f t="shared" si="126"/>
        <v>12.375</v>
      </c>
      <c r="L281" s="36">
        <f t="shared" si="128"/>
        <v>7.4594594594594579</v>
      </c>
      <c r="M281" s="36"/>
      <c r="N281" s="33"/>
      <c r="O281" s="54"/>
      <c r="P281" s="54"/>
      <c r="Q281" s="54"/>
    </row>
    <row r="282" spans="1:19">
      <c r="A282" s="41"/>
      <c r="B282" s="42" t="s">
        <v>85</v>
      </c>
      <c r="C282" s="31">
        <v>0.14583333333333334</v>
      </c>
      <c r="D282" s="67">
        <f>C282*24*K282</f>
        <v>22.75</v>
      </c>
      <c r="E282" s="32"/>
      <c r="F282" s="33"/>
      <c r="G282" s="34">
        <f t="shared" si="124"/>
        <v>8</v>
      </c>
      <c r="H282" s="35">
        <f t="shared" si="127"/>
        <v>0.36206896551724133</v>
      </c>
      <c r="I282" s="20">
        <f>G282*H282</f>
        <v>2.8965517241379306</v>
      </c>
      <c r="J282" s="33"/>
      <c r="K282" s="37">
        <f t="shared" si="126"/>
        <v>6.5</v>
      </c>
      <c r="L282" s="36">
        <f t="shared" si="128"/>
        <v>6.5</v>
      </c>
      <c r="M282" s="36"/>
      <c r="N282" s="33"/>
      <c r="O282" s="54"/>
      <c r="P282" s="54"/>
      <c r="Q282" s="54"/>
    </row>
    <row r="283" spans="1:19">
      <c r="A283" s="41"/>
      <c r="B283" s="19"/>
      <c r="C283" s="31"/>
      <c r="D283" s="67"/>
      <c r="E283" s="32"/>
      <c r="F283" s="33"/>
      <c r="G283" s="34">
        <f t="shared" si="124"/>
        <v>0</v>
      </c>
      <c r="H283" s="35">
        <f t="shared" si="127"/>
        <v>0</v>
      </c>
      <c r="I283" s="20">
        <f t="shared" si="125"/>
        <v>0</v>
      </c>
      <c r="J283" s="33"/>
      <c r="K283" s="37">
        <f t="shared" si="126"/>
        <v>0</v>
      </c>
      <c r="L283" s="36">
        <f t="shared" si="128"/>
        <v>0</v>
      </c>
      <c r="M283" s="36"/>
      <c r="N283" s="33"/>
      <c r="O283" s="54"/>
      <c r="P283" s="54"/>
      <c r="Q283" s="54"/>
    </row>
    <row r="284" spans="1:19">
      <c r="A284" s="41"/>
      <c r="B284" s="19"/>
      <c r="C284" s="31"/>
      <c r="D284" s="67"/>
      <c r="E284" s="32"/>
      <c r="F284" s="33"/>
      <c r="G284" s="34">
        <f t="shared" si="124"/>
        <v>0</v>
      </c>
      <c r="H284" s="35">
        <f t="shared" si="127"/>
        <v>0</v>
      </c>
      <c r="I284" s="20">
        <f t="shared" si="125"/>
        <v>0</v>
      </c>
      <c r="J284" s="33"/>
      <c r="K284" s="37">
        <f t="shared" si="126"/>
        <v>0</v>
      </c>
      <c r="L284" s="36">
        <f t="shared" si="128"/>
        <v>0</v>
      </c>
      <c r="M284" s="36"/>
      <c r="N284" s="33"/>
      <c r="O284" s="54"/>
      <c r="P284" s="54"/>
      <c r="Q284" s="54"/>
    </row>
    <row r="285" spans="1:19">
      <c r="A285" s="41"/>
      <c r="B285" s="19"/>
      <c r="C285" s="31"/>
      <c r="D285" s="67"/>
      <c r="E285" s="32"/>
      <c r="F285" s="33"/>
      <c r="G285" s="34">
        <f t="shared" si="124"/>
        <v>0</v>
      </c>
      <c r="H285" s="35">
        <f t="shared" si="127"/>
        <v>0</v>
      </c>
      <c r="I285" s="20">
        <f t="shared" si="125"/>
        <v>0</v>
      </c>
      <c r="J285" s="33"/>
      <c r="K285" s="37">
        <f t="shared" si="126"/>
        <v>0</v>
      </c>
      <c r="L285" s="36">
        <f t="shared" si="128"/>
        <v>0</v>
      </c>
      <c r="M285" s="36"/>
      <c r="N285" s="33"/>
      <c r="O285" s="54"/>
      <c r="P285" s="54"/>
      <c r="Q285" s="54"/>
    </row>
    <row r="286" spans="1:19">
      <c r="A286" s="41"/>
      <c r="B286" s="19"/>
      <c r="C286" s="31"/>
      <c r="D286" s="67"/>
      <c r="E286" s="32"/>
      <c r="F286" s="33"/>
      <c r="G286" s="34">
        <f t="shared" si="124"/>
        <v>0</v>
      </c>
      <c r="H286" s="35">
        <f t="shared" si="127"/>
        <v>0</v>
      </c>
      <c r="I286" s="20">
        <f t="shared" si="125"/>
        <v>0</v>
      </c>
      <c r="J286" s="33"/>
      <c r="K286" s="37">
        <f t="shared" si="126"/>
        <v>0</v>
      </c>
      <c r="L286" s="36">
        <f t="shared" si="128"/>
        <v>0</v>
      </c>
      <c r="M286" s="36"/>
      <c r="N286" s="33"/>
      <c r="O286" s="54"/>
      <c r="P286" s="54"/>
      <c r="Q286" s="54"/>
    </row>
    <row r="287" spans="1:19">
      <c r="A287" s="41"/>
      <c r="B287" s="19"/>
      <c r="C287" s="31"/>
      <c r="D287" s="67"/>
      <c r="E287" s="32"/>
      <c r="F287" s="33"/>
      <c r="G287" s="34">
        <f t="shared" si="124"/>
        <v>0</v>
      </c>
      <c r="H287" s="35">
        <f t="shared" si="127"/>
        <v>0</v>
      </c>
      <c r="I287" s="20">
        <f t="shared" si="125"/>
        <v>0</v>
      </c>
      <c r="J287" s="33"/>
      <c r="K287" s="37">
        <f t="shared" si="126"/>
        <v>0</v>
      </c>
      <c r="L287" s="36">
        <f t="shared" si="128"/>
        <v>0</v>
      </c>
      <c r="M287" s="36"/>
      <c r="N287" s="33"/>
      <c r="O287" s="54"/>
      <c r="P287" s="54"/>
      <c r="Q287" s="54"/>
    </row>
    <row r="288" spans="1:19">
      <c r="A288" s="41"/>
      <c r="B288" s="19" t="s">
        <v>89</v>
      </c>
      <c r="C288" s="31"/>
      <c r="D288" s="67"/>
      <c r="E288" s="32"/>
      <c r="F288" s="33"/>
      <c r="G288" s="34">
        <f t="shared" si="124"/>
        <v>-20</v>
      </c>
      <c r="H288" s="35">
        <f t="shared" si="127"/>
        <v>0</v>
      </c>
      <c r="I288" s="20">
        <f t="shared" si="125"/>
        <v>0</v>
      </c>
      <c r="J288" s="33"/>
      <c r="K288" s="37">
        <f t="shared" si="126"/>
        <v>0</v>
      </c>
      <c r="L288" s="36">
        <f t="shared" si="128"/>
        <v>0</v>
      </c>
      <c r="M288" s="36"/>
      <c r="N288" s="33"/>
      <c r="O288" s="54"/>
      <c r="P288" s="54"/>
      <c r="Q288" s="54"/>
    </row>
    <row r="289" spans="1:19">
      <c r="A289" s="43"/>
      <c r="B289" s="44"/>
      <c r="C289" s="45"/>
      <c r="D289" s="68"/>
      <c r="E289" s="46"/>
      <c r="F289" s="47"/>
      <c r="G289" s="48"/>
      <c r="H289" s="49"/>
      <c r="I289" s="50">
        <f>SUM(I279:I288)</f>
        <v>7.7413793103448274</v>
      </c>
      <c r="J289" s="47"/>
      <c r="K289" s="47">
        <f>AVERAGE(K279:K288)</f>
        <v>15.625</v>
      </c>
      <c r="L289" s="47">
        <f>AVERAGE(L279:L288)</f>
        <v>15.133445945945946</v>
      </c>
      <c r="M289" s="50">
        <f>(L289*8)/K289</f>
        <v>7.7483243243243241</v>
      </c>
      <c r="N289" s="47"/>
      <c r="O289" s="47">
        <f>AVERAGE(O279)</f>
        <v>4.8499999999999996</v>
      </c>
      <c r="P289" s="47">
        <f>AVERAGE(P279)</f>
        <v>0</v>
      </c>
      <c r="Q289" s="50" t="e">
        <f>(O289*8)/P289</f>
        <v>#DIV/0!</v>
      </c>
    </row>
    <row r="290" spans="1:19">
      <c r="A290" s="30" t="s">
        <v>32</v>
      </c>
      <c r="B290" s="19" t="s">
        <v>145</v>
      </c>
      <c r="C290" s="31">
        <v>0.22222222222222221</v>
      </c>
      <c r="D290" s="67">
        <v>38</v>
      </c>
      <c r="E290" s="32"/>
      <c r="F290" s="33">
        <v>0.5</v>
      </c>
      <c r="G290" s="34">
        <f t="shared" ref="G290:G299" si="129">IFERROR(VLOOKUP($B290,$T$1:$AB$34,2,0),0)</f>
        <v>9</v>
      </c>
      <c r="H290" s="35">
        <f>(C290*24)/(SUM($C$290:$C$298)*24)</f>
        <v>0.43835616438356162</v>
      </c>
      <c r="I290" s="20">
        <f t="shared" ref="I290:I299" si="130">G290*H290</f>
        <v>3.9452054794520546</v>
      </c>
      <c r="J290" s="33">
        <v>0.25</v>
      </c>
      <c r="K290" s="37">
        <f t="shared" ref="K290:K298" si="131">IFERROR(VLOOKUP($B290,$T$1:$AB$34,6,0),0)/2</f>
        <v>4.875</v>
      </c>
      <c r="L290" s="36">
        <f>IFERROR(D290/(C290*24),0)</f>
        <v>7.125</v>
      </c>
      <c r="M290" s="36"/>
      <c r="N290" s="33">
        <v>0.25</v>
      </c>
      <c r="O290" s="54">
        <v>4.8499286972569413</v>
      </c>
      <c r="P290" s="54">
        <f>(SUM(E290:E299)/(SUM(C290:C298)*24))</f>
        <v>0</v>
      </c>
      <c r="Q290" s="54"/>
      <c r="R290" s="3">
        <f>(I300+M300)/2</f>
        <v>9.4673340358271858</v>
      </c>
      <c r="S290" s="65" t="e">
        <f>F290*I300+J290*M300+N290*Q300</f>
        <v>#DIV/0!</v>
      </c>
    </row>
    <row r="291" spans="1:19">
      <c r="A291" s="41"/>
      <c r="B291" s="19" t="s">
        <v>68</v>
      </c>
      <c r="C291" s="31">
        <v>0.1736111111111111</v>
      </c>
      <c r="D291" s="67">
        <f>C291*24*K291</f>
        <v>20.312499999999996</v>
      </c>
      <c r="E291" s="32"/>
      <c r="F291" s="33"/>
      <c r="G291" s="34">
        <f t="shared" si="129"/>
        <v>9</v>
      </c>
      <c r="H291" s="35">
        <f t="shared" ref="H291:H298" si="132">(C291*24)/(SUM($C$290:$C$298)*24)</f>
        <v>0.34246575342465752</v>
      </c>
      <c r="I291" s="20">
        <f t="shared" si="130"/>
        <v>3.0821917808219177</v>
      </c>
      <c r="J291" s="33"/>
      <c r="K291" s="37">
        <f t="shared" si="131"/>
        <v>4.875</v>
      </c>
      <c r="L291" s="36">
        <f t="shared" ref="L291:L299" si="133">IFERROR(D291/(C291*24),0)</f>
        <v>4.875</v>
      </c>
      <c r="M291" s="36"/>
      <c r="N291" s="33"/>
      <c r="O291" s="54"/>
      <c r="P291" s="54"/>
      <c r="Q291" s="54"/>
    </row>
    <row r="292" spans="1:19">
      <c r="A292" s="41"/>
      <c r="B292" s="19" t="s">
        <v>85</v>
      </c>
      <c r="C292" s="31">
        <v>0.1111111111111111</v>
      </c>
      <c r="D292" s="67">
        <v>12</v>
      </c>
      <c r="E292" s="32"/>
      <c r="F292" s="33"/>
      <c r="G292" s="34">
        <f t="shared" si="129"/>
        <v>8</v>
      </c>
      <c r="H292" s="35">
        <f t="shared" si="132"/>
        <v>0.21917808219178081</v>
      </c>
      <c r="I292" s="20">
        <f t="shared" si="130"/>
        <v>1.7534246575342465</v>
      </c>
      <c r="J292" s="33"/>
      <c r="K292" s="37">
        <f t="shared" si="131"/>
        <v>3.25</v>
      </c>
      <c r="L292" s="36">
        <f t="shared" si="133"/>
        <v>4.5</v>
      </c>
      <c r="M292" s="36"/>
      <c r="N292" s="33"/>
      <c r="O292" s="54"/>
      <c r="P292" s="54"/>
      <c r="Q292" s="54"/>
    </row>
    <row r="293" spans="1:19">
      <c r="A293" s="41"/>
      <c r="B293" s="19"/>
      <c r="C293" s="31"/>
      <c r="D293" s="67"/>
      <c r="E293" s="32"/>
      <c r="F293" s="33"/>
      <c r="G293" s="34">
        <f t="shared" si="129"/>
        <v>0</v>
      </c>
      <c r="H293" s="35">
        <f t="shared" si="132"/>
        <v>0</v>
      </c>
      <c r="I293" s="20">
        <f t="shared" si="130"/>
        <v>0</v>
      </c>
      <c r="J293" s="33"/>
      <c r="K293" s="37">
        <f t="shared" si="131"/>
        <v>0</v>
      </c>
      <c r="L293" s="36">
        <f t="shared" si="133"/>
        <v>0</v>
      </c>
      <c r="M293" s="36"/>
      <c r="N293" s="33"/>
      <c r="O293" s="54"/>
      <c r="P293" s="54"/>
      <c r="Q293" s="54"/>
    </row>
    <row r="294" spans="1:19">
      <c r="A294" s="41"/>
      <c r="B294" s="19"/>
      <c r="C294" s="31"/>
      <c r="D294" s="67"/>
      <c r="E294" s="32"/>
      <c r="F294" s="33"/>
      <c r="G294" s="34">
        <f t="shared" si="129"/>
        <v>0</v>
      </c>
      <c r="H294" s="35">
        <f t="shared" si="132"/>
        <v>0</v>
      </c>
      <c r="I294" s="20">
        <f t="shared" si="130"/>
        <v>0</v>
      </c>
      <c r="J294" s="33"/>
      <c r="K294" s="37">
        <f t="shared" si="131"/>
        <v>0</v>
      </c>
      <c r="L294" s="36">
        <f t="shared" si="133"/>
        <v>0</v>
      </c>
      <c r="M294" s="36"/>
      <c r="N294" s="33"/>
      <c r="O294" s="54"/>
      <c r="P294" s="54"/>
      <c r="Q294" s="54"/>
    </row>
    <row r="295" spans="1:19">
      <c r="A295" s="41"/>
      <c r="B295" s="19"/>
      <c r="C295" s="31"/>
      <c r="D295" s="67"/>
      <c r="E295" s="32"/>
      <c r="F295" s="33"/>
      <c r="G295" s="34">
        <f t="shared" si="129"/>
        <v>0</v>
      </c>
      <c r="H295" s="35">
        <f t="shared" si="132"/>
        <v>0</v>
      </c>
      <c r="I295" s="20">
        <f t="shared" si="130"/>
        <v>0</v>
      </c>
      <c r="J295" s="33"/>
      <c r="K295" s="37">
        <f t="shared" si="131"/>
        <v>0</v>
      </c>
      <c r="L295" s="36">
        <f t="shared" si="133"/>
        <v>0</v>
      </c>
      <c r="M295" s="36"/>
      <c r="N295" s="33"/>
      <c r="O295" s="54"/>
      <c r="P295" s="54"/>
      <c r="Q295" s="54"/>
    </row>
    <row r="296" spans="1:19">
      <c r="A296" s="41"/>
      <c r="B296" s="19"/>
      <c r="C296" s="31"/>
      <c r="D296" s="67"/>
      <c r="E296" s="32"/>
      <c r="F296" s="33"/>
      <c r="G296" s="34">
        <f t="shared" si="129"/>
        <v>0</v>
      </c>
      <c r="H296" s="35">
        <f t="shared" si="132"/>
        <v>0</v>
      </c>
      <c r="I296" s="20">
        <f t="shared" si="130"/>
        <v>0</v>
      </c>
      <c r="J296" s="33"/>
      <c r="K296" s="37">
        <f t="shared" si="131"/>
        <v>0</v>
      </c>
      <c r="L296" s="36">
        <f t="shared" si="133"/>
        <v>0</v>
      </c>
      <c r="M296" s="36"/>
      <c r="N296" s="33"/>
      <c r="O296" s="54"/>
      <c r="P296" s="54"/>
      <c r="Q296" s="54"/>
    </row>
    <row r="297" spans="1:19">
      <c r="A297" s="41"/>
      <c r="B297" s="19"/>
      <c r="C297" s="31"/>
      <c r="D297" s="67"/>
      <c r="E297" s="32"/>
      <c r="F297" s="33"/>
      <c r="G297" s="34">
        <f t="shared" si="129"/>
        <v>0</v>
      </c>
      <c r="H297" s="35">
        <f t="shared" si="132"/>
        <v>0</v>
      </c>
      <c r="I297" s="20">
        <f t="shared" si="130"/>
        <v>0</v>
      </c>
      <c r="J297" s="33"/>
      <c r="K297" s="37">
        <f t="shared" si="131"/>
        <v>0</v>
      </c>
      <c r="L297" s="36">
        <f t="shared" si="133"/>
        <v>0</v>
      </c>
      <c r="M297" s="36"/>
      <c r="N297" s="33"/>
      <c r="O297" s="54"/>
      <c r="P297" s="54"/>
      <c r="Q297" s="54"/>
    </row>
    <row r="298" spans="1:19">
      <c r="A298" s="41"/>
      <c r="B298" s="19"/>
      <c r="C298" s="31"/>
      <c r="D298" s="67"/>
      <c r="E298" s="32"/>
      <c r="F298" s="33"/>
      <c r="G298" s="34">
        <f t="shared" si="129"/>
        <v>0</v>
      </c>
      <c r="H298" s="35">
        <f t="shared" si="132"/>
        <v>0</v>
      </c>
      <c r="I298" s="20">
        <f t="shared" si="130"/>
        <v>0</v>
      </c>
      <c r="J298" s="33"/>
      <c r="K298" s="37">
        <f t="shared" si="131"/>
        <v>0</v>
      </c>
      <c r="L298" s="36">
        <f t="shared" si="133"/>
        <v>0</v>
      </c>
      <c r="M298" s="36"/>
      <c r="N298" s="33"/>
      <c r="O298" s="54"/>
      <c r="P298" s="54"/>
      <c r="Q298" s="54"/>
    </row>
    <row r="299" spans="1:19">
      <c r="A299" s="41"/>
      <c r="B299" s="19" t="s">
        <v>89</v>
      </c>
      <c r="C299" s="17"/>
      <c r="D299" s="67"/>
      <c r="E299" s="32"/>
      <c r="F299" s="33"/>
      <c r="G299" s="34">
        <f t="shared" si="129"/>
        <v>-20</v>
      </c>
      <c r="H299" s="35">
        <f>(C299*24)/(SUM($C$290:$C$298)*24)</f>
        <v>0</v>
      </c>
      <c r="I299" s="20">
        <f t="shared" si="130"/>
        <v>0</v>
      </c>
      <c r="J299" s="33"/>
      <c r="K299" s="37">
        <f>IFERROR(VLOOKUP($B299,$T$1:$AB$34,6,0),0)</f>
        <v>0</v>
      </c>
      <c r="L299" s="36">
        <f t="shared" si="133"/>
        <v>0</v>
      </c>
      <c r="M299" s="36"/>
      <c r="N299" s="33"/>
      <c r="O299" s="54"/>
      <c r="P299" s="54"/>
      <c r="Q299" s="54"/>
    </row>
    <row r="300" spans="1:19">
      <c r="A300" s="43"/>
      <c r="B300" s="44"/>
      <c r="C300" s="45"/>
      <c r="D300" s="68"/>
      <c r="E300" s="46"/>
      <c r="F300" s="47"/>
      <c r="G300" s="48"/>
      <c r="H300" s="49"/>
      <c r="I300" s="50">
        <f>SUM(I290:I299)</f>
        <v>8.7808219178082183</v>
      </c>
      <c r="J300" s="47"/>
      <c r="K300" s="47">
        <f>AVERAGE(K290:K299)</f>
        <v>1.3</v>
      </c>
      <c r="L300" s="47">
        <f>AVERAGE(L290:L299)</f>
        <v>1.65</v>
      </c>
      <c r="M300" s="50">
        <f>(L300*8)/K300</f>
        <v>10.153846153846153</v>
      </c>
      <c r="N300" s="47"/>
      <c r="O300" s="47">
        <f>AVERAGE(O290)</f>
        <v>4.8499286972569413</v>
      </c>
      <c r="P300" s="47">
        <f>AVERAGE(P290)</f>
        <v>0</v>
      </c>
      <c r="Q300" s="50" t="e">
        <f>(O300*8)/P300</f>
        <v>#DIV/0!</v>
      </c>
    </row>
    <row r="301" spans="1:19">
      <c r="A301" s="30" t="s">
        <v>54</v>
      </c>
      <c r="B301" s="19" t="s">
        <v>68</v>
      </c>
      <c r="C301" s="31">
        <v>0.46527777777777779</v>
      </c>
      <c r="D301" s="67">
        <v>65</v>
      </c>
      <c r="E301" s="32"/>
      <c r="F301" s="33">
        <v>0.5</v>
      </c>
      <c r="G301" s="34">
        <f t="shared" ref="G301:G310" si="134">IFERROR(VLOOKUP($B301,$T$1:$AB$34,2,0),0)</f>
        <v>9</v>
      </c>
      <c r="H301" s="35">
        <f>(C301*24)/(SUM($C$301:$C$309)*24)</f>
        <v>1</v>
      </c>
      <c r="I301" s="20">
        <f t="shared" ref="I301:I310" si="135">G301*H301</f>
        <v>9</v>
      </c>
      <c r="J301" s="33">
        <v>0.25</v>
      </c>
      <c r="K301" s="37">
        <f t="shared" ref="K301:K310" si="136">IFERROR(VLOOKUP($B301,$T$1:$AB$34,6,0),0)</f>
        <v>9.75</v>
      </c>
      <c r="L301" s="36">
        <f>IFERROR(D301/(C301*24),0)</f>
        <v>5.8208955223880592</v>
      </c>
      <c r="M301" s="36"/>
      <c r="N301" s="33">
        <v>0.25</v>
      </c>
      <c r="O301" s="54">
        <v>4.8499999999999996</v>
      </c>
      <c r="P301" s="54">
        <f>(SUM(E301:E310)/(SUM(C301:C309)*24))</f>
        <v>0</v>
      </c>
      <c r="Q301" s="54"/>
      <c r="R301" s="3">
        <f>(I311+M311)/2</f>
        <v>6.8880597014925371</v>
      </c>
      <c r="S301" s="65" t="e">
        <f>F301*I311+J301*M311+N301*Q311</f>
        <v>#DIV/0!</v>
      </c>
    </row>
    <row r="302" spans="1:19">
      <c r="A302" s="41"/>
      <c r="B302" s="19"/>
      <c r="C302" s="31"/>
      <c r="D302" s="67"/>
      <c r="E302" s="32"/>
      <c r="F302" s="33"/>
      <c r="G302" s="34">
        <f t="shared" si="134"/>
        <v>0</v>
      </c>
      <c r="H302" s="35">
        <f t="shared" ref="H302:H310" si="137">(C302*24)/(SUM($C$301:$C$309)*24)</f>
        <v>0</v>
      </c>
      <c r="I302" s="20">
        <f t="shared" si="135"/>
        <v>0</v>
      </c>
      <c r="J302" s="33"/>
      <c r="K302" s="37">
        <f t="shared" si="136"/>
        <v>0</v>
      </c>
      <c r="L302" s="36">
        <f t="shared" ref="L302:L310" si="138">IFERROR(D302/(C302*24),0)</f>
        <v>0</v>
      </c>
      <c r="M302" s="36"/>
      <c r="N302" s="33"/>
      <c r="O302" s="54"/>
      <c r="P302" s="54"/>
      <c r="Q302" s="54"/>
    </row>
    <row r="303" spans="1:19">
      <c r="A303" s="41"/>
      <c r="B303" s="19"/>
      <c r="C303" s="31"/>
      <c r="D303" s="67"/>
      <c r="E303" s="32"/>
      <c r="F303" s="33"/>
      <c r="G303" s="34">
        <f t="shared" si="134"/>
        <v>0</v>
      </c>
      <c r="H303" s="35">
        <f t="shared" si="137"/>
        <v>0</v>
      </c>
      <c r="I303" s="20">
        <f t="shared" si="135"/>
        <v>0</v>
      </c>
      <c r="J303" s="33"/>
      <c r="K303" s="37">
        <f t="shared" si="136"/>
        <v>0</v>
      </c>
      <c r="L303" s="36">
        <f t="shared" si="138"/>
        <v>0</v>
      </c>
      <c r="M303" s="36"/>
      <c r="N303" s="33"/>
      <c r="O303" s="54"/>
      <c r="P303" s="54"/>
      <c r="Q303" s="54"/>
    </row>
    <row r="304" spans="1:19">
      <c r="A304" s="41"/>
      <c r="B304" s="19"/>
      <c r="C304" s="31"/>
      <c r="D304" s="67"/>
      <c r="E304" s="32"/>
      <c r="F304" s="33"/>
      <c r="G304" s="34">
        <f t="shared" si="134"/>
        <v>0</v>
      </c>
      <c r="H304" s="35">
        <f t="shared" si="137"/>
        <v>0</v>
      </c>
      <c r="I304" s="20">
        <f t="shared" si="135"/>
        <v>0</v>
      </c>
      <c r="J304" s="33"/>
      <c r="K304" s="37">
        <f t="shared" si="136"/>
        <v>0</v>
      </c>
      <c r="L304" s="36">
        <f t="shared" si="138"/>
        <v>0</v>
      </c>
      <c r="M304" s="36"/>
      <c r="N304" s="33"/>
      <c r="O304" s="54"/>
      <c r="P304" s="54"/>
      <c r="Q304" s="54"/>
    </row>
    <row r="305" spans="1:19">
      <c r="A305" s="41"/>
      <c r="B305" s="19"/>
      <c r="C305" s="31"/>
      <c r="D305" s="67"/>
      <c r="E305" s="32"/>
      <c r="F305" s="33"/>
      <c r="G305" s="34">
        <f t="shared" si="134"/>
        <v>0</v>
      </c>
      <c r="H305" s="35">
        <f t="shared" si="137"/>
        <v>0</v>
      </c>
      <c r="I305" s="20">
        <f t="shared" si="135"/>
        <v>0</v>
      </c>
      <c r="J305" s="33"/>
      <c r="K305" s="37">
        <f t="shared" si="136"/>
        <v>0</v>
      </c>
      <c r="L305" s="36">
        <f t="shared" si="138"/>
        <v>0</v>
      </c>
      <c r="M305" s="36"/>
      <c r="N305" s="33"/>
      <c r="O305" s="54"/>
      <c r="P305" s="54"/>
      <c r="Q305" s="54"/>
    </row>
    <row r="306" spans="1:19">
      <c r="A306" s="41"/>
      <c r="B306" s="19"/>
      <c r="C306" s="31"/>
      <c r="D306" s="67"/>
      <c r="E306" s="32"/>
      <c r="F306" s="33"/>
      <c r="G306" s="34">
        <f t="shared" si="134"/>
        <v>0</v>
      </c>
      <c r="H306" s="35">
        <f t="shared" si="137"/>
        <v>0</v>
      </c>
      <c r="I306" s="20">
        <f t="shared" si="135"/>
        <v>0</v>
      </c>
      <c r="J306" s="33"/>
      <c r="K306" s="37">
        <f t="shared" si="136"/>
        <v>0</v>
      </c>
      <c r="L306" s="36">
        <f t="shared" si="138"/>
        <v>0</v>
      </c>
      <c r="M306" s="36"/>
      <c r="N306" s="33"/>
      <c r="O306" s="54"/>
      <c r="P306" s="54"/>
      <c r="Q306" s="54"/>
    </row>
    <row r="307" spans="1:19">
      <c r="A307" s="41"/>
      <c r="B307" s="19"/>
      <c r="C307" s="31"/>
      <c r="D307" s="67"/>
      <c r="E307" s="32"/>
      <c r="F307" s="33"/>
      <c r="G307" s="34">
        <f t="shared" si="134"/>
        <v>0</v>
      </c>
      <c r="H307" s="35">
        <f t="shared" si="137"/>
        <v>0</v>
      </c>
      <c r="I307" s="20">
        <f t="shared" si="135"/>
        <v>0</v>
      </c>
      <c r="J307" s="33"/>
      <c r="K307" s="37">
        <f t="shared" si="136"/>
        <v>0</v>
      </c>
      <c r="L307" s="36">
        <f t="shared" si="138"/>
        <v>0</v>
      </c>
      <c r="M307" s="36"/>
      <c r="N307" s="33"/>
      <c r="O307" s="54"/>
      <c r="P307" s="54"/>
      <c r="Q307" s="54"/>
    </row>
    <row r="308" spans="1:19">
      <c r="A308" s="41"/>
      <c r="B308" s="19"/>
      <c r="C308" s="31"/>
      <c r="D308" s="67"/>
      <c r="E308" s="32"/>
      <c r="F308" s="33"/>
      <c r="G308" s="34">
        <f t="shared" si="134"/>
        <v>0</v>
      </c>
      <c r="H308" s="35">
        <f t="shared" si="137"/>
        <v>0</v>
      </c>
      <c r="I308" s="20">
        <f t="shared" si="135"/>
        <v>0</v>
      </c>
      <c r="J308" s="33"/>
      <c r="K308" s="37">
        <f t="shared" si="136"/>
        <v>0</v>
      </c>
      <c r="L308" s="36">
        <f t="shared" si="138"/>
        <v>0</v>
      </c>
      <c r="M308" s="36"/>
      <c r="N308" s="33"/>
      <c r="O308" s="54"/>
      <c r="P308" s="54"/>
      <c r="Q308" s="54"/>
    </row>
    <row r="309" spans="1:19">
      <c r="A309" s="41"/>
      <c r="B309" s="19"/>
      <c r="C309" s="31"/>
      <c r="D309" s="67"/>
      <c r="E309" s="32"/>
      <c r="F309" s="33"/>
      <c r="G309" s="34">
        <f t="shared" si="134"/>
        <v>0</v>
      </c>
      <c r="H309" s="35">
        <f t="shared" si="137"/>
        <v>0</v>
      </c>
      <c r="I309" s="20">
        <f t="shared" si="135"/>
        <v>0</v>
      </c>
      <c r="J309" s="33"/>
      <c r="K309" s="37">
        <f t="shared" si="136"/>
        <v>0</v>
      </c>
      <c r="L309" s="36">
        <f t="shared" si="138"/>
        <v>0</v>
      </c>
      <c r="M309" s="36"/>
      <c r="N309" s="33"/>
      <c r="O309" s="54"/>
      <c r="P309" s="54"/>
      <c r="Q309" s="54"/>
    </row>
    <row r="310" spans="1:19">
      <c r="A310" s="41"/>
      <c r="B310" s="19" t="s">
        <v>89</v>
      </c>
      <c r="C310" s="31"/>
      <c r="D310" s="67"/>
      <c r="E310" s="32"/>
      <c r="F310" s="33"/>
      <c r="G310" s="34">
        <f t="shared" si="134"/>
        <v>-20</v>
      </c>
      <c r="H310" s="35">
        <f t="shared" si="137"/>
        <v>0</v>
      </c>
      <c r="I310" s="20">
        <f t="shared" si="135"/>
        <v>0</v>
      </c>
      <c r="J310" s="33"/>
      <c r="K310" s="37">
        <f t="shared" si="136"/>
        <v>0</v>
      </c>
      <c r="L310" s="36">
        <f t="shared" si="138"/>
        <v>0</v>
      </c>
      <c r="M310" s="36"/>
      <c r="N310" s="33"/>
      <c r="O310" s="54"/>
      <c r="P310" s="54"/>
      <c r="Q310" s="54"/>
    </row>
    <row r="311" spans="1:19">
      <c r="A311" s="43"/>
      <c r="B311" s="44"/>
      <c r="C311" s="45"/>
      <c r="D311" s="68"/>
      <c r="E311" s="46"/>
      <c r="F311" s="47"/>
      <c r="G311" s="48"/>
      <c r="H311" s="49"/>
      <c r="I311" s="50">
        <f>SUM(I301:I310)</f>
        <v>9</v>
      </c>
      <c r="J311" s="47"/>
      <c r="K311" s="47">
        <f>AVERAGE(K301:K310)</f>
        <v>0.97499999999999998</v>
      </c>
      <c r="L311" s="47">
        <f>AVERAGE(L301:L310)</f>
        <v>0.58208955223880587</v>
      </c>
      <c r="M311" s="50">
        <f>(L311*8)/K311</f>
        <v>4.7761194029850742</v>
      </c>
      <c r="N311" s="47"/>
      <c r="O311" s="47">
        <f>AVERAGE(O301)</f>
        <v>4.8499999999999996</v>
      </c>
      <c r="P311" s="47">
        <f>AVERAGE(P301)</f>
        <v>0</v>
      </c>
      <c r="Q311" s="50" t="e">
        <f>(O311*8)/P311</f>
        <v>#DIV/0!</v>
      </c>
    </row>
    <row r="312" spans="1:19">
      <c r="A312" s="30" t="s">
        <v>55</v>
      </c>
      <c r="B312" s="19" t="s">
        <v>145</v>
      </c>
      <c r="C312" s="31">
        <v>0.2361111111111111</v>
      </c>
      <c r="D312" s="67">
        <v>39</v>
      </c>
      <c r="E312" s="32"/>
      <c r="F312" s="33">
        <v>0.5</v>
      </c>
      <c r="G312" s="34">
        <f t="shared" ref="G312:G321" si="139">IFERROR(VLOOKUP($B312,$T$1:$AB$34,2,0),0)</f>
        <v>9</v>
      </c>
      <c r="H312" s="35">
        <f>(C312*24)/(SUM($C$312:$C$320)*24)</f>
        <v>0.49275362318840576</v>
      </c>
      <c r="I312" s="20">
        <f t="shared" ref="I312:I321" si="140">G312*H312</f>
        <v>4.4347826086956523</v>
      </c>
      <c r="J312" s="33">
        <v>0.25</v>
      </c>
      <c r="K312" s="37">
        <f t="shared" ref="K312:K321" si="141">IFERROR(VLOOKUP($B312,$T$1:$AB$34,6,0),0)</f>
        <v>9.75</v>
      </c>
      <c r="L312" s="36">
        <f>IFERROR(D312/(C312*24),0)</f>
        <v>6.882352941176471</v>
      </c>
      <c r="M312" s="36"/>
      <c r="N312" s="33">
        <v>0.25</v>
      </c>
      <c r="O312" s="54">
        <v>4.8499999999999996</v>
      </c>
      <c r="P312" s="54">
        <f>(SUM(E312:E321)/(SUM(C312:C320)*24))</f>
        <v>0</v>
      </c>
      <c r="Q312" s="54"/>
      <c r="R312" s="3">
        <f>(I322+M322)/2</f>
        <v>7.7850659445363828</v>
      </c>
      <c r="S312" s="65" t="e">
        <f>F312*I322+J312*M322+N312*Q322</f>
        <v>#DIV/0!</v>
      </c>
    </row>
    <row r="313" spans="1:19">
      <c r="A313" s="41"/>
      <c r="B313" s="19" t="s">
        <v>9</v>
      </c>
      <c r="C313" s="31">
        <v>9.7222222222222224E-2</v>
      </c>
      <c r="D313" s="67">
        <f>C313*24*K313</f>
        <v>28.875000000000004</v>
      </c>
      <c r="E313" s="32"/>
      <c r="F313" s="33"/>
      <c r="G313" s="34">
        <f t="shared" si="139"/>
        <v>7</v>
      </c>
      <c r="H313" s="35">
        <f t="shared" ref="H313:H321" si="142">(C313*24)/(SUM($C$312:$C$320)*24)</f>
        <v>0.20289855072463769</v>
      </c>
      <c r="I313" s="20">
        <f t="shared" si="140"/>
        <v>1.4202898550724639</v>
      </c>
      <c r="J313" s="33"/>
      <c r="K313" s="37">
        <f t="shared" si="141"/>
        <v>12.375</v>
      </c>
      <c r="L313" s="36">
        <f t="shared" ref="L313:L321" si="143">IFERROR(D313/(C313*24),0)</f>
        <v>12.375</v>
      </c>
      <c r="M313" s="36"/>
      <c r="N313" s="33"/>
      <c r="O313" s="54"/>
      <c r="P313" s="54"/>
      <c r="Q313" s="54"/>
    </row>
    <row r="314" spans="1:19">
      <c r="A314" s="41"/>
      <c r="B314" s="19" t="s">
        <v>7</v>
      </c>
      <c r="C314" s="31">
        <v>0.14583333333333334</v>
      </c>
      <c r="D314" s="67">
        <f>C314*24*K314</f>
        <v>34.125</v>
      </c>
      <c r="E314" s="32"/>
      <c r="F314" s="33"/>
      <c r="G314" s="34">
        <f t="shared" si="139"/>
        <v>8</v>
      </c>
      <c r="H314" s="35">
        <f t="shared" si="142"/>
        <v>0.30434782608695654</v>
      </c>
      <c r="I314" s="20">
        <f t="shared" si="140"/>
        <v>2.4347826086956523</v>
      </c>
      <c r="J314" s="33"/>
      <c r="K314" s="37">
        <f t="shared" si="141"/>
        <v>9.75</v>
      </c>
      <c r="L314" s="36">
        <f t="shared" si="143"/>
        <v>9.75</v>
      </c>
      <c r="M314" s="36"/>
      <c r="N314" s="33"/>
      <c r="O314" s="54"/>
      <c r="P314" s="54"/>
      <c r="Q314" s="54"/>
    </row>
    <row r="315" spans="1:19">
      <c r="A315" s="41"/>
      <c r="B315" s="19"/>
      <c r="C315" s="31"/>
      <c r="D315" s="67"/>
      <c r="E315" s="32"/>
      <c r="F315" s="33"/>
      <c r="G315" s="34">
        <f t="shared" si="139"/>
        <v>0</v>
      </c>
      <c r="H315" s="35">
        <f t="shared" si="142"/>
        <v>0</v>
      </c>
      <c r="I315" s="20">
        <f t="shared" si="140"/>
        <v>0</v>
      </c>
      <c r="J315" s="33"/>
      <c r="K315" s="37">
        <f t="shared" si="141"/>
        <v>0</v>
      </c>
      <c r="L315" s="36">
        <f t="shared" si="143"/>
        <v>0</v>
      </c>
      <c r="M315" s="36"/>
      <c r="N315" s="33"/>
      <c r="O315" s="54"/>
      <c r="P315" s="54"/>
      <c r="Q315" s="54"/>
    </row>
    <row r="316" spans="1:19">
      <c r="A316" s="41"/>
      <c r="B316" s="19"/>
      <c r="C316" s="31"/>
      <c r="D316" s="67"/>
      <c r="E316" s="32"/>
      <c r="F316" s="33"/>
      <c r="G316" s="34">
        <f t="shared" si="139"/>
        <v>0</v>
      </c>
      <c r="H316" s="35">
        <f t="shared" si="142"/>
        <v>0</v>
      </c>
      <c r="I316" s="20">
        <f t="shared" si="140"/>
        <v>0</v>
      </c>
      <c r="J316" s="33"/>
      <c r="K316" s="37">
        <f t="shared" si="141"/>
        <v>0</v>
      </c>
      <c r="L316" s="36">
        <f t="shared" si="143"/>
        <v>0</v>
      </c>
      <c r="M316" s="36"/>
      <c r="N316" s="33"/>
      <c r="O316" s="54"/>
      <c r="P316" s="54"/>
      <c r="Q316" s="54"/>
    </row>
    <row r="317" spans="1:19">
      <c r="A317" s="41"/>
      <c r="B317" s="19"/>
      <c r="C317" s="31"/>
      <c r="D317" s="67"/>
      <c r="E317" s="32"/>
      <c r="F317" s="33"/>
      <c r="G317" s="34">
        <f t="shared" si="139"/>
        <v>0</v>
      </c>
      <c r="H317" s="35">
        <f t="shared" si="142"/>
        <v>0</v>
      </c>
      <c r="I317" s="20">
        <f t="shared" si="140"/>
        <v>0</v>
      </c>
      <c r="J317" s="33"/>
      <c r="K317" s="37">
        <f t="shared" si="141"/>
        <v>0</v>
      </c>
      <c r="L317" s="36">
        <f t="shared" si="143"/>
        <v>0</v>
      </c>
      <c r="M317" s="36"/>
      <c r="N317" s="33"/>
      <c r="O317" s="54"/>
      <c r="P317" s="54"/>
      <c r="Q317" s="54"/>
    </row>
    <row r="318" spans="1:19">
      <c r="A318" s="41"/>
      <c r="B318" s="19"/>
      <c r="C318" s="31"/>
      <c r="D318" s="67"/>
      <c r="E318" s="32"/>
      <c r="F318" s="33"/>
      <c r="G318" s="34">
        <f t="shared" si="139"/>
        <v>0</v>
      </c>
      <c r="H318" s="35">
        <f t="shared" si="142"/>
        <v>0</v>
      </c>
      <c r="I318" s="20">
        <f t="shared" si="140"/>
        <v>0</v>
      </c>
      <c r="J318" s="33"/>
      <c r="K318" s="37">
        <f t="shared" si="141"/>
        <v>0</v>
      </c>
      <c r="L318" s="36">
        <f t="shared" si="143"/>
        <v>0</v>
      </c>
      <c r="M318" s="36"/>
      <c r="N318" s="33"/>
      <c r="O318" s="54"/>
      <c r="P318" s="54"/>
      <c r="Q318" s="54"/>
    </row>
    <row r="319" spans="1:19">
      <c r="A319" s="41"/>
      <c r="B319" s="19"/>
      <c r="C319" s="31"/>
      <c r="D319" s="67"/>
      <c r="E319" s="32"/>
      <c r="F319" s="33"/>
      <c r="G319" s="34">
        <f t="shared" si="139"/>
        <v>0</v>
      </c>
      <c r="H319" s="35">
        <f t="shared" si="142"/>
        <v>0</v>
      </c>
      <c r="I319" s="20">
        <f t="shared" si="140"/>
        <v>0</v>
      </c>
      <c r="J319" s="33"/>
      <c r="K319" s="37">
        <f t="shared" si="141"/>
        <v>0</v>
      </c>
      <c r="L319" s="36">
        <f t="shared" si="143"/>
        <v>0</v>
      </c>
      <c r="M319" s="36"/>
      <c r="N319" s="33"/>
      <c r="O319" s="54"/>
      <c r="P319" s="54"/>
      <c r="Q319" s="54"/>
    </row>
    <row r="320" spans="1:19">
      <c r="A320" s="41"/>
      <c r="B320" s="19"/>
      <c r="C320" s="31"/>
      <c r="D320" s="67"/>
      <c r="E320" s="32"/>
      <c r="F320" s="33"/>
      <c r="G320" s="34">
        <f t="shared" si="139"/>
        <v>0</v>
      </c>
      <c r="H320" s="35">
        <f t="shared" si="142"/>
        <v>0</v>
      </c>
      <c r="I320" s="20">
        <f t="shared" si="140"/>
        <v>0</v>
      </c>
      <c r="J320" s="33"/>
      <c r="K320" s="37">
        <f t="shared" si="141"/>
        <v>0</v>
      </c>
      <c r="L320" s="36">
        <f t="shared" si="143"/>
        <v>0</v>
      </c>
      <c r="M320" s="36"/>
      <c r="N320" s="33"/>
      <c r="O320" s="54"/>
      <c r="P320" s="54"/>
      <c r="Q320" s="54"/>
    </row>
    <row r="321" spans="1:19">
      <c r="A321" s="41"/>
      <c r="B321" s="19" t="s">
        <v>89</v>
      </c>
      <c r="C321" s="31"/>
      <c r="D321" s="67"/>
      <c r="E321" s="32"/>
      <c r="F321" s="33"/>
      <c r="G321" s="34">
        <f t="shared" si="139"/>
        <v>-20</v>
      </c>
      <c r="H321" s="35">
        <f t="shared" si="142"/>
        <v>0</v>
      </c>
      <c r="I321" s="20">
        <f t="shared" si="140"/>
        <v>0</v>
      </c>
      <c r="J321" s="33"/>
      <c r="K321" s="37">
        <f t="shared" si="141"/>
        <v>0</v>
      </c>
      <c r="L321" s="36">
        <f t="shared" si="143"/>
        <v>0</v>
      </c>
      <c r="M321" s="36"/>
      <c r="N321" s="33"/>
      <c r="O321" s="54"/>
      <c r="P321" s="54"/>
      <c r="Q321" s="54"/>
    </row>
    <row r="322" spans="1:19">
      <c r="A322" s="43"/>
      <c r="B322" s="44"/>
      <c r="C322" s="45"/>
      <c r="D322" s="68"/>
      <c r="E322" s="46"/>
      <c r="F322" s="47"/>
      <c r="G322" s="48"/>
      <c r="H322" s="49"/>
      <c r="I322" s="50">
        <f>SUM(I312:I321)</f>
        <v>8.2898550724637694</v>
      </c>
      <c r="J322" s="47"/>
      <c r="K322" s="47">
        <f>AVERAGE(K312:K321)</f>
        <v>3.1875</v>
      </c>
      <c r="L322" s="47">
        <f>AVERAGE(L312:L321)</f>
        <v>2.9007352941176472</v>
      </c>
      <c r="M322" s="50">
        <f>(L322*8)/K322</f>
        <v>7.2802768166089971</v>
      </c>
      <c r="N322" s="47"/>
      <c r="O322" s="47">
        <f>AVERAGE(O312)</f>
        <v>4.8499999999999996</v>
      </c>
      <c r="P322" s="47">
        <f>AVERAGE(P312)</f>
        <v>0</v>
      </c>
      <c r="Q322" s="50" t="e">
        <f>(O322*8)/P322</f>
        <v>#DIV/0!</v>
      </c>
    </row>
    <row r="323" spans="1:19">
      <c r="A323" s="30" t="s">
        <v>126</v>
      </c>
      <c r="B323" s="19" t="s">
        <v>77</v>
      </c>
      <c r="C323" s="31">
        <v>9.0277777777777762E-2</v>
      </c>
      <c r="D323" s="67">
        <f>C323*24*K323</f>
        <v>270.83333333333326</v>
      </c>
      <c r="E323" s="32"/>
      <c r="F323" s="33">
        <v>0.5</v>
      </c>
      <c r="G323" s="34">
        <f t="shared" ref="G323:G332" si="144">IFERROR(VLOOKUP($B323,$T$1:$AB$34,2,0),0)</f>
        <v>9</v>
      </c>
      <c r="H323" s="35">
        <f t="shared" ref="H323:H332" si="145">(C323*24)/(SUM($C$323:$C$332)*24)</f>
        <v>0.30232558139534882</v>
      </c>
      <c r="I323" s="20">
        <f t="shared" ref="I323:I332" si="146">G323*H323</f>
        <v>2.7209302325581395</v>
      </c>
      <c r="J323" s="33">
        <v>0.25</v>
      </c>
      <c r="K323" s="37">
        <f t="shared" ref="K323:K332" si="147">IFERROR(VLOOKUP($B323,$T$1:$AB$34,6,0),0)</f>
        <v>125</v>
      </c>
      <c r="L323" s="36">
        <f>IFERROR(D323/(C323*24),0)</f>
        <v>125</v>
      </c>
      <c r="M323" s="36"/>
      <c r="N323" s="33">
        <v>0.25</v>
      </c>
      <c r="O323" s="54">
        <v>4.8499999999999996</v>
      </c>
      <c r="P323" s="54">
        <f>(SUM(E323:E332)/(SUM(C323:C331)*24))</f>
        <v>0</v>
      </c>
      <c r="Q323" s="54"/>
      <c r="R323" s="3">
        <f>(I333+M333)/2</f>
        <v>7.6749370463635023</v>
      </c>
      <c r="S323" s="65" t="e">
        <f>F323*I333+J323*M333+N323*Q333</f>
        <v>#DIV/0!</v>
      </c>
    </row>
    <row r="324" spans="1:19">
      <c r="A324" s="41"/>
      <c r="B324" s="19" t="s">
        <v>75</v>
      </c>
      <c r="C324" s="31">
        <v>0.20833333333333331</v>
      </c>
      <c r="D324" s="67">
        <v>40</v>
      </c>
      <c r="E324" s="32"/>
      <c r="F324" s="33"/>
      <c r="G324" s="34">
        <f t="shared" si="144"/>
        <v>7</v>
      </c>
      <c r="H324" s="35">
        <f t="shared" si="145"/>
        <v>0.69767441860465129</v>
      </c>
      <c r="I324" s="20">
        <f t="shared" si="146"/>
        <v>4.8837209302325588</v>
      </c>
      <c r="J324" s="33"/>
      <c r="K324" s="37">
        <f t="shared" si="147"/>
        <v>12.375</v>
      </c>
      <c r="L324" s="36">
        <f t="shared" ref="L324:L332" si="148">IFERROR(D324/(C324*24),0)</f>
        <v>8</v>
      </c>
      <c r="M324" s="36"/>
      <c r="N324" s="33"/>
      <c r="O324" s="54"/>
      <c r="P324" s="54"/>
      <c r="Q324" s="54"/>
    </row>
    <row r="325" spans="1:19">
      <c r="A325" s="41"/>
      <c r="B325" s="19"/>
      <c r="C325" s="31"/>
      <c r="D325" s="67"/>
      <c r="E325" s="32"/>
      <c r="F325" s="33"/>
      <c r="G325" s="34">
        <f t="shared" si="144"/>
        <v>0</v>
      </c>
      <c r="H325" s="35">
        <f t="shared" si="145"/>
        <v>0</v>
      </c>
      <c r="I325" s="20">
        <f t="shared" si="146"/>
        <v>0</v>
      </c>
      <c r="J325" s="33"/>
      <c r="K325" s="37">
        <f t="shared" si="147"/>
        <v>0</v>
      </c>
      <c r="L325" s="36">
        <f t="shared" si="148"/>
        <v>0</v>
      </c>
      <c r="M325" s="36"/>
      <c r="N325" s="33"/>
      <c r="O325" s="54"/>
      <c r="P325" s="54"/>
      <c r="Q325" s="54"/>
    </row>
    <row r="326" spans="1:19">
      <c r="A326" s="41"/>
      <c r="B326" s="19"/>
      <c r="C326" s="31"/>
      <c r="D326" s="67"/>
      <c r="E326" s="32"/>
      <c r="F326" s="33"/>
      <c r="G326" s="34">
        <f t="shared" si="144"/>
        <v>0</v>
      </c>
      <c r="H326" s="35">
        <f t="shared" si="145"/>
        <v>0</v>
      </c>
      <c r="I326" s="20">
        <f t="shared" si="146"/>
        <v>0</v>
      </c>
      <c r="J326" s="33"/>
      <c r="K326" s="37">
        <f t="shared" si="147"/>
        <v>0</v>
      </c>
      <c r="L326" s="36">
        <f t="shared" si="148"/>
        <v>0</v>
      </c>
      <c r="M326" s="36"/>
      <c r="N326" s="33"/>
      <c r="O326" s="54"/>
      <c r="P326" s="54"/>
      <c r="Q326" s="54"/>
    </row>
    <row r="327" spans="1:19">
      <c r="A327" s="41"/>
      <c r="B327" s="19"/>
      <c r="C327" s="31"/>
      <c r="D327" s="67"/>
      <c r="E327" s="32"/>
      <c r="F327" s="33"/>
      <c r="G327" s="34">
        <f t="shared" si="144"/>
        <v>0</v>
      </c>
      <c r="H327" s="35">
        <f t="shared" si="145"/>
        <v>0</v>
      </c>
      <c r="I327" s="20">
        <f t="shared" si="146"/>
        <v>0</v>
      </c>
      <c r="J327" s="33"/>
      <c r="K327" s="37">
        <f t="shared" si="147"/>
        <v>0</v>
      </c>
      <c r="L327" s="36">
        <f t="shared" si="148"/>
        <v>0</v>
      </c>
      <c r="M327" s="36"/>
      <c r="N327" s="33"/>
      <c r="O327" s="54"/>
      <c r="P327" s="54"/>
      <c r="Q327" s="54"/>
    </row>
    <row r="328" spans="1:19">
      <c r="A328" s="41"/>
      <c r="B328" s="19"/>
      <c r="C328" s="31"/>
      <c r="D328" s="67"/>
      <c r="E328" s="32"/>
      <c r="F328" s="33"/>
      <c r="G328" s="34">
        <f t="shared" si="144"/>
        <v>0</v>
      </c>
      <c r="H328" s="35">
        <f t="shared" si="145"/>
        <v>0</v>
      </c>
      <c r="I328" s="20">
        <f t="shared" si="146"/>
        <v>0</v>
      </c>
      <c r="J328" s="33"/>
      <c r="K328" s="37">
        <f t="shared" si="147"/>
        <v>0</v>
      </c>
      <c r="L328" s="36">
        <f t="shared" si="148"/>
        <v>0</v>
      </c>
      <c r="M328" s="36"/>
      <c r="N328" s="33"/>
      <c r="O328" s="54"/>
      <c r="P328" s="54"/>
      <c r="Q328" s="54"/>
    </row>
    <row r="329" spans="1:19">
      <c r="A329" s="41"/>
      <c r="B329" s="19"/>
      <c r="C329" s="31"/>
      <c r="D329" s="67"/>
      <c r="E329" s="32"/>
      <c r="F329" s="33"/>
      <c r="G329" s="34">
        <f t="shared" si="144"/>
        <v>0</v>
      </c>
      <c r="H329" s="35">
        <f t="shared" si="145"/>
        <v>0</v>
      </c>
      <c r="I329" s="20">
        <f t="shared" si="146"/>
        <v>0</v>
      </c>
      <c r="J329" s="33"/>
      <c r="K329" s="37">
        <f t="shared" si="147"/>
        <v>0</v>
      </c>
      <c r="L329" s="36">
        <f t="shared" si="148"/>
        <v>0</v>
      </c>
      <c r="M329" s="36"/>
      <c r="N329" s="33"/>
      <c r="O329" s="54"/>
      <c r="P329" s="54"/>
      <c r="Q329" s="54"/>
    </row>
    <row r="330" spans="1:19">
      <c r="A330" s="41"/>
      <c r="B330" s="19"/>
      <c r="C330" s="31"/>
      <c r="D330" s="67"/>
      <c r="E330" s="32"/>
      <c r="F330" s="33"/>
      <c r="G330" s="34">
        <f t="shared" si="144"/>
        <v>0</v>
      </c>
      <c r="H330" s="35">
        <f t="shared" si="145"/>
        <v>0</v>
      </c>
      <c r="I330" s="20">
        <f t="shared" si="146"/>
        <v>0</v>
      </c>
      <c r="J330" s="33"/>
      <c r="K330" s="37">
        <f t="shared" si="147"/>
        <v>0</v>
      </c>
      <c r="L330" s="36">
        <f t="shared" si="148"/>
        <v>0</v>
      </c>
      <c r="M330" s="36"/>
      <c r="N330" s="33"/>
      <c r="O330" s="54"/>
      <c r="P330" s="54"/>
      <c r="Q330" s="54"/>
    </row>
    <row r="331" spans="1:19">
      <c r="A331" s="41"/>
      <c r="B331" s="19"/>
      <c r="C331" s="31"/>
      <c r="D331" s="67"/>
      <c r="E331" s="32"/>
      <c r="F331" s="33"/>
      <c r="G331" s="34">
        <f t="shared" si="144"/>
        <v>0</v>
      </c>
      <c r="H331" s="35">
        <f t="shared" si="145"/>
        <v>0</v>
      </c>
      <c r="I331" s="20">
        <f t="shared" si="146"/>
        <v>0</v>
      </c>
      <c r="J331" s="33"/>
      <c r="K331" s="37">
        <f t="shared" si="147"/>
        <v>0</v>
      </c>
      <c r="L331" s="36">
        <f t="shared" si="148"/>
        <v>0</v>
      </c>
      <c r="M331" s="36"/>
      <c r="N331" s="33"/>
      <c r="O331" s="54"/>
      <c r="P331" s="54"/>
      <c r="Q331" s="54"/>
    </row>
    <row r="332" spans="1:19">
      <c r="A332" s="41"/>
      <c r="B332" s="19" t="s">
        <v>89</v>
      </c>
      <c r="C332" s="31"/>
      <c r="D332" s="67"/>
      <c r="E332" s="32"/>
      <c r="F332" s="33"/>
      <c r="G332" s="34">
        <f t="shared" si="144"/>
        <v>-20</v>
      </c>
      <c r="H332" s="35">
        <f t="shared" si="145"/>
        <v>0</v>
      </c>
      <c r="I332" s="20">
        <f t="shared" si="146"/>
        <v>0</v>
      </c>
      <c r="J332" s="33"/>
      <c r="K332" s="37">
        <f t="shared" si="147"/>
        <v>0</v>
      </c>
      <c r="L332" s="36">
        <f t="shared" si="148"/>
        <v>0</v>
      </c>
      <c r="M332" s="36"/>
      <c r="N332" s="33"/>
      <c r="O332" s="54"/>
      <c r="P332" s="54"/>
      <c r="Q332" s="54"/>
    </row>
    <row r="333" spans="1:19">
      <c r="A333" s="43"/>
      <c r="B333" s="44"/>
      <c r="C333" s="45"/>
      <c r="D333" s="68"/>
      <c r="E333" s="46"/>
      <c r="F333" s="47"/>
      <c r="G333" s="48"/>
      <c r="H333" s="49"/>
      <c r="I333" s="50">
        <f>SUM(I323:I332)</f>
        <v>7.6046511627906987</v>
      </c>
      <c r="J333" s="47"/>
      <c r="K333" s="47">
        <f>AVERAGE(K323:K332)</f>
        <v>13.737500000000001</v>
      </c>
      <c r="L333" s="47">
        <f>AVERAGE(L323:L332)</f>
        <v>13.3</v>
      </c>
      <c r="M333" s="50">
        <f>(L333*8)/K333</f>
        <v>7.7452229299363058</v>
      </c>
      <c r="N333" s="47"/>
      <c r="O333" s="47">
        <f>AVERAGE(O323)</f>
        <v>4.8499999999999996</v>
      </c>
      <c r="P333" s="47">
        <f>AVERAGE(P323)</f>
        <v>0</v>
      </c>
      <c r="Q333" s="50" t="e">
        <f>(O333*8)/P333</f>
        <v>#DIV/0!</v>
      </c>
    </row>
    <row r="334" spans="1:19">
      <c r="A334" s="30" t="s">
        <v>65</v>
      </c>
      <c r="B334" s="19" t="s">
        <v>9</v>
      </c>
      <c r="C334" s="31">
        <v>1.3888888888888888E-2</v>
      </c>
      <c r="D334" s="67">
        <v>2</v>
      </c>
      <c r="E334" s="32"/>
      <c r="F334" s="33">
        <v>0.5</v>
      </c>
      <c r="G334" s="34">
        <f t="shared" ref="G334:G343" si="149">IFERROR(VLOOKUP($B334,$T$1:$AB$34,2,0),0)</f>
        <v>7</v>
      </c>
      <c r="H334" s="35">
        <f>(C334*24)/(SUM($C$334:$C$342)*24)</f>
        <v>4.1666666666666664E-2</v>
      </c>
      <c r="I334" s="20">
        <f>G334*H334</f>
        <v>0.29166666666666663</v>
      </c>
      <c r="J334" s="33">
        <v>0.25</v>
      </c>
      <c r="K334" s="37">
        <f t="shared" ref="K334:K343" si="150">IFERROR(VLOOKUP($B334,$T$1:$AB$34,6,0),0)</f>
        <v>12.375</v>
      </c>
      <c r="L334" s="36">
        <f>IFERROR(D334/(C334*24),0)</f>
        <v>6</v>
      </c>
      <c r="M334" s="36"/>
      <c r="N334" s="33">
        <v>0.25</v>
      </c>
      <c r="O334" s="54">
        <v>4.8499999999999996</v>
      </c>
      <c r="P334" s="54">
        <f>(SUM(E334:E343)/(SUM(C334:C342)*24))</f>
        <v>0</v>
      </c>
      <c r="Q334" s="54"/>
      <c r="R334" s="3">
        <f>(I344+M344)/2</f>
        <v>6.6042434291328913</v>
      </c>
      <c r="S334" s="65" t="e">
        <f>F334*I344+J334*M344+N334*Q344</f>
        <v>#DIV/0!</v>
      </c>
    </row>
    <row r="335" spans="1:19">
      <c r="A335" s="41"/>
      <c r="B335" s="19" t="s">
        <v>68</v>
      </c>
      <c r="C335" s="31">
        <v>0.31944444444444442</v>
      </c>
      <c r="D335" s="67">
        <v>45</v>
      </c>
      <c r="E335" s="32"/>
      <c r="F335" s="33"/>
      <c r="G335" s="34">
        <f t="shared" si="149"/>
        <v>9</v>
      </c>
      <c r="H335" s="35">
        <f t="shared" ref="H335:H343" si="151">(C335*24)/(SUM($C$334:$C$342)*24)</f>
        <v>0.95833333333333326</v>
      </c>
      <c r="I335" s="20">
        <f t="shared" ref="I335:I342" si="152">G335*H335</f>
        <v>8.625</v>
      </c>
      <c r="J335" s="33"/>
      <c r="K335" s="37">
        <f t="shared" si="150"/>
        <v>9.75</v>
      </c>
      <c r="L335" s="36">
        <f t="shared" ref="L335:L343" si="153">IFERROR(D335/(C335*24),0)</f>
        <v>5.8695652173913047</v>
      </c>
      <c r="M335" s="36"/>
      <c r="N335" s="33"/>
      <c r="O335" s="54"/>
      <c r="P335" s="54"/>
      <c r="Q335" s="54"/>
    </row>
    <row r="336" spans="1:19">
      <c r="A336" s="41"/>
      <c r="B336" s="19"/>
      <c r="C336" s="31"/>
      <c r="D336" s="67"/>
      <c r="E336" s="32"/>
      <c r="F336" s="33"/>
      <c r="G336" s="34">
        <f t="shared" si="149"/>
        <v>0</v>
      </c>
      <c r="H336" s="35">
        <f t="shared" si="151"/>
        <v>0</v>
      </c>
      <c r="I336" s="20">
        <f t="shared" si="152"/>
        <v>0</v>
      </c>
      <c r="J336" s="33"/>
      <c r="K336" s="37">
        <f>IFERROR(VLOOKUP($B336,$T$1:$AB$34,6,0),0)</f>
        <v>0</v>
      </c>
      <c r="L336" s="36">
        <f t="shared" si="153"/>
        <v>0</v>
      </c>
      <c r="M336" s="36"/>
      <c r="N336" s="33"/>
      <c r="O336" s="54"/>
      <c r="P336" s="54"/>
      <c r="Q336" s="54"/>
    </row>
    <row r="337" spans="1:19">
      <c r="A337" s="41"/>
      <c r="B337" s="19"/>
      <c r="C337" s="31"/>
      <c r="D337" s="67"/>
      <c r="E337" s="32"/>
      <c r="F337" s="33"/>
      <c r="G337" s="34">
        <f t="shared" si="149"/>
        <v>0</v>
      </c>
      <c r="H337" s="35">
        <f t="shared" si="151"/>
        <v>0</v>
      </c>
      <c r="I337" s="20">
        <f t="shared" si="152"/>
        <v>0</v>
      </c>
      <c r="J337" s="33"/>
      <c r="K337" s="37">
        <f t="shared" si="150"/>
        <v>0</v>
      </c>
      <c r="L337" s="36">
        <f t="shared" si="153"/>
        <v>0</v>
      </c>
      <c r="M337" s="36"/>
      <c r="N337" s="33"/>
      <c r="O337" s="54"/>
      <c r="P337" s="54"/>
      <c r="Q337" s="54"/>
    </row>
    <row r="338" spans="1:19">
      <c r="A338" s="41"/>
      <c r="B338" s="19"/>
      <c r="C338" s="31"/>
      <c r="D338" s="67"/>
      <c r="E338" s="32"/>
      <c r="F338" s="33"/>
      <c r="G338" s="34">
        <f t="shared" si="149"/>
        <v>0</v>
      </c>
      <c r="H338" s="35">
        <f t="shared" si="151"/>
        <v>0</v>
      </c>
      <c r="I338" s="20">
        <f t="shared" si="152"/>
        <v>0</v>
      </c>
      <c r="J338" s="33"/>
      <c r="K338" s="37">
        <f t="shared" si="150"/>
        <v>0</v>
      </c>
      <c r="L338" s="36">
        <f t="shared" si="153"/>
        <v>0</v>
      </c>
      <c r="M338" s="36"/>
      <c r="N338" s="33"/>
      <c r="O338" s="54"/>
      <c r="P338" s="54"/>
      <c r="Q338" s="54"/>
    </row>
    <row r="339" spans="1:19">
      <c r="A339" s="41"/>
      <c r="B339" s="19"/>
      <c r="C339" s="31"/>
      <c r="D339" s="67"/>
      <c r="E339" s="32"/>
      <c r="F339" s="33"/>
      <c r="G339" s="34">
        <f t="shared" si="149"/>
        <v>0</v>
      </c>
      <c r="H339" s="35">
        <f t="shared" si="151"/>
        <v>0</v>
      </c>
      <c r="I339" s="20">
        <f t="shared" si="152"/>
        <v>0</v>
      </c>
      <c r="J339" s="33"/>
      <c r="K339" s="37">
        <f t="shared" si="150"/>
        <v>0</v>
      </c>
      <c r="L339" s="36">
        <f t="shared" si="153"/>
        <v>0</v>
      </c>
      <c r="M339" s="36"/>
      <c r="N339" s="33"/>
      <c r="O339" s="54"/>
      <c r="P339" s="54"/>
      <c r="Q339" s="54"/>
    </row>
    <row r="340" spans="1:19">
      <c r="A340" s="41"/>
      <c r="B340" s="19"/>
      <c r="C340" s="31"/>
      <c r="D340" s="67"/>
      <c r="E340" s="32"/>
      <c r="F340" s="33"/>
      <c r="G340" s="34">
        <f t="shared" si="149"/>
        <v>0</v>
      </c>
      <c r="H340" s="35">
        <f t="shared" si="151"/>
        <v>0</v>
      </c>
      <c r="I340" s="20">
        <f t="shared" si="152"/>
        <v>0</v>
      </c>
      <c r="J340" s="33"/>
      <c r="K340" s="37">
        <f t="shared" si="150"/>
        <v>0</v>
      </c>
      <c r="L340" s="36">
        <f t="shared" si="153"/>
        <v>0</v>
      </c>
      <c r="M340" s="36"/>
      <c r="N340" s="33"/>
      <c r="O340" s="54"/>
      <c r="P340" s="54"/>
      <c r="Q340" s="54"/>
    </row>
    <row r="341" spans="1:19">
      <c r="A341" s="41"/>
      <c r="B341" s="19"/>
      <c r="C341" s="31"/>
      <c r="D341" s="67"/>
      <c r="E341" s="32"/>
      <c r="F341" s="33"/>
      <c r="G341" s="34">
        <f t="shared" si="149"/>
        <v>0</v>
      </c>
      <c r="H341" s="35">
        <f t="shared" si="151"/>
        <v>0</v>
      </c>
      <c r="I341" s="20">
        <f t="shared" si="152"/>
        <v>0</v>
      </c>
      <c r="J341" s="33"/>
      <c r="K341" s="37">
        <f t="shared" si="150"/>
        <v>0</v>
      </c>
      <c r="L341" s="36">
        <f t="shared" si="153"/>
        <v>0</v>
      </c>
      <c r="M341" s="36"/>
      <c r="N341" s="33"/>
      <c r="O341" s="54"/>
      <c r="P341" s="54"/>
      <c r="Q341" s="54"/>
    </row>
    <row r="342" spans="1:19">
      <c r="A342" s="41"/>
      <c r="B342" s="19"/>
      <c r="C342" s="31"/>
      <c r="D342" s="67"/>
      <c r="E342" s="32"/>
      <c r="F342" s="33"/>
      <c r="G342" s="34">
        <f t="shared" si="149"/>
        <v>0</v>
      </c>
      <c r="H342" s="35">
        <f t="shared" si="151"/>
        <v>0</v>
      </c>
      <c r="I342" s="20">
        <f t="shared" si="152"/>
        <v>0</v>
      </c>
      <c r="J342" s="33"/>
      <c r="K342" s="37">
        <f t="shared" si="150"/>
        <v>0</v>
      </c>
      <c r="L342" s="36">
        <f t="shared" si="153"/>
        <v>0</v>
      </c>
      <c r="M342" s="36"/>
      <c r="N342" s="33"/>
      <c r="O342" s="54"/>
      <c r="P342" s="54"/>
      <c r="Q342" s="54"/>
    </row>
    <row r="343" spans="1:19">
      <c r="A343" s="41"/>
      <c r="B343" s="19" t="s">
        <v>89</v>
      </c>
      <c r="C343" s="31"/>
      <c r="D343" s="67"/>
      <c r="E343" s="32"/>
      <c r="F343" s="33"/>
      <c r="G343" s="34">
        <f t="shared" si="149"/>
        <v>-20</v>
      </c>
      <c r="H343" s="35">
        <f t="shared" si="151"/>
        <v>0</v>
      </c>
      <c r="I343" s="20">
        <f>G343*H343</f>
        <v>0</v>
      </c>
      <c r="J343" s="33"/>
      <c r="K343" s="37">
        <f t="shared" si="150"/>
        <v>0</v>
      </c>
      <c r="L343" s="36">
        <f t="shared" si="153"/>
        <v>0</v>
      </c>
      <c r="M343" s="36"/>
      <c r="N343" s="33"/>
      <c r="O343" s="54"/>
      <c r="P343" s="54"/>
      <c r="Q343" s="54"/>
    </row>
    <row r="344" spans="1:19">
      <c r="A344" s="43"/>
      <c r="B344" s="44"/>
      <c r="C344" s="45"/>
      <c r="D344" s="68"/>
      <c r="E344" s="46"/>
      <c r="F344" s="47"/>
      <c r="G344" s="48"/>
      <c r="H344" s="49"/>
      <c r="I344" s="50">
        <f>SUM(I334:I343)</f>
        <v>8.9166666666666661</v>
      </c>
      <c r="J344" s="47"/>
      <c r="K344" s="47">
        <f>AVERAGE(K334:K343)</f>
        <v>2.2124999999999999</v>
      </c>
      <c r="L344" s="47">
        <f>AVERAGE(L334:L343)</f>
        <v>1.1869565217391305</v>
      </c>
      <c r="M344" s="50">
        <f>(L344*8)/K344</f>
        <v>4.2918201915991157</v>
      </c>
      <c r="N344" s="47"/>
      <c r="O344" s="47">
        <f>AVERAGE(O334)</f>
        <v>4.8499999999999996</v>
      </c>
      <c r="P344" s="47">
        <f>AVERAGE(P334)</f>
        <v>0</v>
      </c>
      <c r="Q344" s="50" t="e">
        <f>(O344*8)/P344</f>
        <v>#DIV/0!</v>
      </c>
    </row>
    <row r="345" spans="1:19">
      <c r="A345" s="30" t="s">
        <v>66</v>
      </c>
      <c r="B345" s="19" t="s">
        <v>145</v>
      </c>
      <c r="C345" s="31">
        <v>6.25E-2</v>
      </c>
      <c r="D345" s="67">
        <f>C345*24*K345</f>
        <v>14.625</v>
      </c>
      <c r="E345" s="32"/>
      <c r="F345" s="33">
        <v>0.5</v>
      </c>
      <c r="G345" s="34">
        <f t="shared" ref="G345:G354" si="154">IFERROR(VLOOKUP($B345,$T$1:$AB$34,2,0),0)</f>
        <v>9</v>
      </c>
      <c r="H345" s="59">
        <f>(C345*24)/(SUM($C$345:$C$353)*24)</f>
        <v>0.18947368421052629</v>
      </c>
      <c r="I345" s="20">
        <f t="shared" ref="I345:I353" si="155">G345*H345</f>
        <v>1.7052631578947366</v>
      </c>
      <c r="J345" s="33">
        <v>0.25</v>
      </c>
      <c r="K345" s="37">
        <f t="shared" ref="K345:K354" si="156">IFERROR(VLOOKUP($B345,$T$1:$AB$34,6,0),0)</f>
        <v>9.75</v>
      </c>
      <c r="L345" s="36">
        <f>IFERROR(D345/(C345*24),0)</f>
        <v>9.75</v>
      </c>
      <c r="M345" s="36"/>
      <c r="N345" s="33">
        <v>0.25</v>
      </c>
      <c r="O345" s="54">
        <v>4.8499999999999996</v>
      </c>
      <c r="P345" s="54">
        <f>(SUM(E345:E354)/(SUM(C345:C353)*24))</f>
        <v>0</v>
      </c>
      <c r="Q345" s="54"/>
      <c r="R345" s="3">
        <f>(I355+M355)/2</f>
        <v>2.8578947368421059</v>
      </c>
      <c r="S345" s="66" t="e">
        <f>F345*I355+J345*M355+N345*Q355</f>
        <v>#DIV/0!</v>
      </c>
    </row>
    <row r="346" spans="1:19">
      <c r="A346" s="41"/>
      <c r="B346" s="19" t="s">
        <v>9</v>
      </c>
      <c r="C346" s="31">
        <v>0.12152777777777779</v>
      </c>
      <c r="D346" s="67">
        <f>C346*24*K346</f>
        <v>36.093750000000007</v>
      </c>
      <c r="E346" s="32"/>
      <c r="F346" s="33"/>
      <c r="G346" s="34">
        <f t="shared" si="154"/>
        <v>7</v>
      </c>
      <c r="H346" s="35">
        <f t="shared" ref="H346:H354" si="157">(C346*24)/(SUM($C$345:$C$353)*24)</f>
        <v>0.36842105263157893</v>
      </c>
      <c r="I346" s="20">
        <f t="shared" si="155"/>
        <v>2.5789473684210527</v>
      </c>
      <c r="J346" s="33"/>
      <c r="K346" s="37">
        <f t="shared" si="156"/>
        <v>12.375</v>
      </c>
      <c r="L346" s="36">
        <f t="shared" ref="L346:L431" si="158">IFERROR(D346/(C346*24),0)</f>
        <v>12.375000000000002</v>
      </c>
      <c r="M346" s="36"/>
      <c r="N346" s="33"/>
      <c r="O346" s="54"/>
      <c r="P346" s="54"/>
      <c r="Q346" s="54"/>
    </row>
    <row r="347" spans="1:19">
      <c r="A347" s="41"/>
      <c r="B347" s="19" t="s">
        <v>7</v>
      </c>
      <c r="C347" s="31">
        <v>0.14583333333333334</v>
      </c>
      <c r="D347" s="67">
        <f>C347*24*K347</f>
        <v>34.125</v>
      </c>
      <c r="E347" s="32"/>
      <c r="F347" s="33"/>
      <c r="G347" s="34">
        <f t="shared" si="154"/>
        <v>8</v>
      </c>
      <c r="H347" s="35">
        <f t="shared" si="157"/>
        <v>0.44210526315789467</v>
      </c>
      <c r="I347" s="20">
        <f t="shared" si="155"/>
        <v>3.5368421052631573</v>
      </c>
      <c r="J347" s="33"/>
      <c r="K347" s="37">
        <f t="shared" si="156"/>
        <v>9.75</v>
      </c>
      <c r="L347" s="36">
        <f t="shared" si="158"/>
        <v>9.75</v>
      </c>
      <c r="M347" s="36"/>
      <c r="N347" s="33"/>
      <c r="O347" s="54"/>
      <c r="P347" s="54"/>
      <c r="Q347" s="54"/>
    </row>
    <row r="348" spans="1:19">
      <c r="A348" s="41"/>
      <c r="B348" s="19"/>
      <c r="C348" s="31"/>
      <c r="D348" s="67"/>
      <c r="E348" s="32"/>
      <c r="F348" s="33"/>
      <c r="G348" s="34">
        <f t="shared" si="154"/>
        <v>0</v>
      </c>
      <c r="H348" s="35">
        <f t="shared" si="157"/>
        <v>0</v>
      </c>
      <c r="I348" s="20">
        <f t="shared" si="155"/>
        <v>0</v>
      </c>
      <c r="J348" s="33"/>
      <c r="K348" s="37">
        <f t="shared" si="156"/>
        <v>0</v>
      </c>
      <c r="L348" s="36">
        <f t="shared" si="158"/>
        <v>0</v>
      </c>
      <c r="M348" s="36"/>
      <c r="N348" s="33"/>
      <c r="O348" s="54"/>
      <c r="P348" s="54"/>
      <c r="Q348" s="54"/>
    </row>
    <row r="349" spans="1:19">
      <c r="A349" s="41"/>
      <c r="B349" s="19"/>
      <c r="C349" s="31"/>
      <c r="D349" s="67"/>
      <c r="E349" s="32"/>
      <c r="F349" s="33"/>
      <c r="G349" s="34">
        <f t="shared" si="154"/>
        <v>0</v>
      </c>
      <c r="H349" s="35">
        <f t="shared" si="157"/>
        <v>0</v>
      </c>
      <c r="I349" s="20">
        <f t="shared" si="155"/>
        <v>0</v>
      </c>
      <c r="J349" s="33"/>
      <c r="K349" s="37">
        <f t="shared" si="156"/>
        <v>0</v>
      </c>
      <c r="L349" s="36">
        <f t="shared" si="158"/>
        <v>0</v>
      </c>
      <c r="M349" s="36"/>
      <c r="N349" s="33"/>
      <c r="O349" s="54"/>
      <c r="P349" s="54"/>
      <c r="Q349" s="54"/>
    </row>
    <row r="350" spans="1:19">
      <c r="A350" s="41"/>
      <c r="B350" s="19"/>
      <c r="C350" s="31"/>
      <c r="D350" s="67"/>
      <c r="E350" s="32"/>
      <c r="F350" s="33"/>
      <c r="G350" s="34">
        <f t="shared" si="154"/>
        <v>0</v>
      </c>
      <c r="H350" s="35">
        <f t="shared" si="157"/>
        <v>0</v>
      </c>
      <c r="I350" s="20">
        <f t="shared" si="155"/>
        <v>0</v>
      </c>
      <c r="J350" s="33"/>
      <c r="K350" s="37">
        <f t="shared" si="156"/>
        <v>0</v>
      </c>
      <c r="L350" s="36">
        <f t="shared" si="158"/>
        <v>0</v>
      </c>
      <c r="M350" s="36"/>
      <c r="N350" s="33"/>
      <c r="O350" s="54"/>
      <c r="P350" s="54"/>
      <c r="Q350" s="54"/>
    </row>
    <row r="351" spans="1:19">
      <c r="A351" s="41"/>
      <c r="B351" s="19"/>
      <c r="C351" s="31"/>
      <c r="D351" s="67"/>
      <c r="E351" s="32"/>
      <c r="F351" s="33"/>
      <c r="G351" s="34">
        <f t="shared" si="154"/>
        <v>0</v>
      </c>
      <c r="H351" s="35">
        <f t="shared" si="157"/>
        <v>0</v>
      </c>
      <c r="I351" s="20">
        <f t="shared" si="155"/>
        <v>0</v>
      </c>
      <c r="J351" s="33"/>
      <c r="K351" s="37">
        <f t="shared" si="156"/>
        <v>0</v>
      </c>
      <c r="L351" s="36">
        <f t="shared" si="158"/>
        <v>0</v>
      </c>
      <c r="M351" s="36"/>
      <c r="N351" s="33"/>
      <c r="O351" s="54"/>
      <c r="P351" s="54"/>
      <c r="Q351" s="54"/>
    </row>
    <row r="352" spans="1:19">
      <c r="A352" s="41"/>
      <c r="B352" s="19"/>
      <c r="C352" s="31"/>
      <c r="D352" s="67"/>
      <c r="E352" s="32"/>
      <c r="F352" s="33"/>
      <c r="G352" s="34">
        <f t="shared" si="154"/>
        <v>0</v>
      </c>
      <c r="H352" s="35">
        <f t="shared" si="157"/>
        <v>0</v>
      </c>
      <c r="I352" s="20">
        <f t="shared" si="155"/>
        <v>0</v>
      </c>
      <c r="J352" s="33"/>
      <c r="K352" s="37">
        <f t="shared" si="156"/>
        <v>0</v>
      </c>
      <c r="L352" s="36">
        <f t="shared" si="158"/>
        <v>0</v>
      </c>
      <c r="M352" s="36"/>
      <c r="N352" s="33"/>
      <c r="O352" s="54"/>
      <c r="P352" s="54"/>
      <c r="Q352" s="54"/>
    </row>
    <row r="353" spans="1:19">
      <c r="A353" s="41"/>
      <c r="B353" s="19"/>
      <c r="C353" s="31"/>
      <c r="D353" s="67"/>
      <c r="E353" s="32"/>
      <c r="F353" s="33"/>
      <c r="G353" s="34">
        <f t="shared" si="154"/>
        <v>0</v>
      </c>
      <c r="H353" s="35">
        <f t="shared" si="157"/>
        <v>0</v>
      </c>
      <c r="I353" s="20">
        <f t="shared" si="155"/>
        <v>0</v>
      </c>
      <c r="J353" s="33"/>
      <c r="K353" s="37">
        <f t="shared" si="156"/>
        <v>0</v>
      </c>
      <c r="L353" s="36">
        <f t="shared" si="158"/>
        <v>0</v>
      </c>
      <c r="M353" s="36"/>
      <c r="N353" s="33"/>
      <c r="O353" s="54"/>
      <c r="P353" s="54"/>
      <c r="Q353" s="54"/>
    </row>
    <row r="354" spans="1:19">
      <c r="A354" s="41"/>
      <c r="B354" s="19" t="s">
        <v>89</v>
      </c>
      <c r="C354" s="31">
        <v>0.16666666666666666</v>
      </c>
      <c r="D354" s="67"/>
      <c r="E354" s="32"/>
      <c r="F354" s="33"/>
      <c r="G354" s="34">
        <f t="shared" si="154"/>
        <v>-20</v>
      </c>
      <c r="H354" s="35">
        <f t="shared" si="157"/>
        <v>0.50526315789473675</v>
      </c>
      <c r="I354" s="20">
        <f>G354*H354</f>
        <v>-10.105263157894735</v>
      </c>
      <c r="J354" s="33"/>
      <c r="K354" s="37">
        <f t="shared" si="156"/>
        <v>0</v>
      </c>
      <c r="L354" s="36">
        <f t="shared" si="158"/>
        <v>0</v>
      </c>
      <c r="M354" s="36"/>
      <c r="N354" s="33"/>
      <c r="O354" s="54"/>
      <c r="P354" s="54"/>
      <c r="Q354" s="54"/>
    </row>
    <row r="355" spans="1:19">
      <c r="A355" s="43"/>
      <c r="B355" s="44"/>
      <c r="C355" s="45"/>
      <c r="D355" s="68"/>
      <c r="E355" s="46"/>
      <c r="F355" s="47"/>
      <c r="G355" s="48"/>
      <c r="H355" s="49"/>
      <c r="I355" s="50">
        <f>SUM(I345:I354)</f>
        <v>-2.2842105263157881</v>
      </c>
      <c r="J355" s="47"/>
      <c r="K355" s="47">
        <f>AVERAGE(K345:K354)</f>
        <v>3.1875</v>
      </c>
      <c r="L355" s="47">
        <f>AVERAGE(L345:L354)</f>
        <v>3.1875</v>
      </c>
      <c r="M355" s="50">
        <f>(L355*8)/K355</f>
        <v>8</v>
      </c>
      <c r="N355" s="47"/>
      <c r="O355" s="47">
        <f>AVERAGE(O345)</f>
        <v>4.8499999999999996</v>
      </c>
      <c r="P355" s="47">
        <f>AVERAGE(P345)</f>
        <v>0</v>
      </c>
      <c r="Q355" s="63" t="e">
        <f>(O355*8)/P355</f>
        <v>#DIV/0!</v>
      </c>
    </row>
    <row r="356" spans="1:19">
      <c r="A356" s="30" t="s">
        <v>130</v>
      </c>
      <c r="B356" s="19" t="s">
        <v>68</v>
      </c>
      <c r="C356" s="31">
        <v>0.46875</v>
      </c>
      <c r="D356" s="67">
        <v>45</v>
      </c>
      <c r="E356" s="32"/>
      <c r="F356" s="33">
        <v>0.5</v>
      </c>
      <c r="G356" s="34">
        <f t="shared" ref="G356:G364" si="159">IFERROR(VLOOKUP($B356,$T$1:$AB$34,2,0),0)</f>
        <v>9</v>
      </c>
      <c r="H356" s="70">
        <f>(C356*24)/(SUM($C$356:$C$364)*24)</f>
        <v>1</v>
      </c>
      <c r="I356" s="20">
        <f t="shared" ref="I356:I364" si="160">G356*H356</f>
        <v>9</v>
      </c>
      <c r="J356" s="33">
        <v>0.25</v>
      </c>
      <c r="K356" s="37">
        <f t="shared" ref="K356:K365" si="161">IFERROR(VLOOKUP($B356,$T$1:$AB$34,6,0),0)</f>
        <v>9.75</v>
      </c>
      <c r="L356" s="36">
        <f>IFERROR(D356/(C356*24),0)</f>
        <v>4</v>
      </c>
      <c r="M356" s="36"/>
      <c r="N356" s="33">
        <v>0.25</v>
      </c>
      <c r="O356" s="54">
        <v>4.8499999999999996</v>
      </c>
      <c r="P356" s="54">
        <f>(SUM(E356:E365)/(SUM(C356:C364)*24))</f>
        <v>0</v>
      </c>
      <c r="Q356" s="54"/>
      <c r="R356" s="3">
        <f>(I366+M366)/2</f>
        <v>6.9572649572649574</v>
      </c>
      <c r="S356" s="65" t="e">
        <f>F356*I366+J356*M366+N356*Q366</f>
        <v>#DIV/0!</v>
      </c>
    </row>
    <row r="357" spans="1:19">
      <c r="A357" s="41"/>
      <c r="B357" s="19"/>
      <c r="C357" s="31"/>
      <c r="D357" s="67"/>
      <c r="E357" s="32"/>
      <c r="F357" s="33"/>
      <c r="G357" s="34">
        <f t="shared" si="159"/>
        <v>0</v>
      </c>
      <c r="H357" s="70">
        <f t="shared" ref="H357:H365" si="162">(C357*24)/(SUM($C$356:$C$364)*24)</f>
        <v>0</v>
      </c>
      <c r="I357" s="20">
        <f t="shared" si="160"/>
        <v>0</v>
      </c>
      <c r="J357" s="33"/>
      <c r="K357" s="37">
        <f t="shared" si="161"/>
        <v>0</v>
      </c>
      <c r="L357" s="36">
        <f t="shared" ref="L357:L365" si="163">IFERROR(D357/(C357*24),0)</f>
        <v>0</v>
      </c>
      <c r="M357" s="36"/>
      <c r="N357" s="33"/>
      <c r="O357" s="54"/>
      <c r="P357" s="54"/>
      <c r="Q357" s="54"/>
    </row>
    <row r="358" spans="1:19">
      <c r="A358" s="41"/>
      <c r="B358" s="19"/>
      <c r="C358" s="31"/>
      <c r="D358" s="67"/>
      <c r="E358" s="32"/>
      <c r="F358" s="33"/>
      <c r="G358" s="34">
        <f t="shared" si="159"/>
        <v>0</v>
      </c>
      <c r="H358" s="70">
        <f t="shared" si="162"/>
        <v>0</v>
      </c>
      <c r="I358" s="20">
        <f t="shared" si="160"/>
        <v>0</v>
      </c>
      <c r="J358" s="33"/>
      <c r="K358" s="37">
        <f t="shared" si="161"/>
        <v>0</v>
      </c>
      <c r="L358" s="36">
        <f t="shared" si="163"/>
        <v>0</v>
      </c>
      <c r="M358" s="36"/>
      <c r="N358" s="33"/>
      <c r="O358" s="54"/>
      <c r="P358" s="54"/>
      <c r="Q358" s="54"/>
    </row>
    <row r="359" spans="1:19">
      <c r="A359" s="41"/>
      <c r="B359" s="19"/>
      <c r="C359" s="31"/>
      <c r="D359" s="67"/>
      <c r="E359" s="32"/>
      <c r="F359" s="33"/>
      <c r="G359" s="34">
        <f t="shared" si="159"/>
        <v>0</v>
      </c>
      <c r="H359" s="70">
        <f t="shared" si="162"/>
        <v>0</v>
      </c>
      <c r="I359" s="20">
        <f t="shared" si="160"/>
        <v>0</v>
      </c>
      <c r="J359" s="33"/>
      <c r="K359" s="37">
        <f t="shared" si="161"/>
        <v>0</v>
      </c>
      <c r="L359" s="36">
        <f t="shared" si="163"/>
        <v>0</v>
      </c>
      <c r="M359" s="36"/>
      <c r="N359" s="33"/>
      <c r="O359" s="54"/>
      <c r="P359" s="54"/>
      <c r="Q359" s="54"/>
    </row>
    <row r="360" spans="1:19">
      <c r="A360" s="41"/>
      <c r="B360" s="19"/>
      <c r="C360" s="31"/>
      <c r="D360" s="67"/>
      <c r="E360" s="32"/>
      <c r="F360" s="33"/>
      <c r="G360" s="34">
        <f t="shared" si="159"/>
        <v>0</v>
      </c>
      <c r="H360" s="70">
        <f t="shared" si="162"/>
        <v>0</v>
      </c>
      <c r="I360" s="20">
        <f t="shared" si="160"/>
        <v>0</v>
      </c>
      <c r="J360" s="33"/>
      <c r="K360" s="37">
        <f t="shared" si="161"/>
        <v>0</v>
      </c>
      <c r="L360" s="36">
        <f t="shared" si="163"/>
        <v>0</v>
      </c>
      <c r="M360" s="36"/>
      <c r="N360" s="33"/>
      <c r="O360" s="54"/>
      <c r="P360" s="54"/>
      <c r="Q360" s="54"/>
    </row>
    <row r="361" spans="1:19">
      <c r="A361" s="41"/>
      <c r="B361" s="19"/>
      <c r="C361" s="31"/>
      <c r="D361" s="67"/>
      <c r="E361" s="32"/>
      <c r="F361" s="33"/>
      <c r="G361" s="34">
        <f t="shared" si="159"/>
        <v>0</v>
      </c>
      <c r="H361" s="70">
        <f t="shared" si="162"/>
        <v>0</v>
      </c>
      <c r="I361" s="20">
        <f t="shared" si="160"/>
        <v>0</v>
      </c>
      <c r="J361" s="33"/>
      <c r="K361" s="37">
        <f t="shared" si="161"/>
        <v>0</v>
      </c>
      <c r="L361" s="36">
        <f t="shared" si="163"/>
        <v>0</v>
      </c>
      <c r="M361" s="36"/>
      <c r="N361" s="33"/>
      <c r="O361" s="54"/>
      <c r="P361" s="54"/>
      <c r="Q361" s="54"/>
    </row>
    <row r="362" spans="1:19">
      <c r="A362" s="41"/>
      <c r="B362" s="19"/>
      <c r="C362" s="31"/>
      <c r="D362" s="67"/>
      <c r="E362" s="32"/>
      <c r="F362" s="33"/>
      <c r="G362" s="34">
        <f t="shared" si="159"/>
        <v>0</v>
      </c>
      <c r="H362" s="70">
        <f t="shared" si="162"/>
        <v>0</v>
      </c>
      <c r="I362" s="20">
        <f t="shared" si="160"/>
        <v>0</v>
      </c>
      <c r="J362" s="33"/>
      <c r="K362" s="37">
        <f t="shared" si="161"/>
        <v>0</v>
      </c>
      <c r="L362" s="36">
        <f t="shared" si="163"/>
        <v>0</v>
      </c>
      <c r="M362" s="36"/>
      <c r="N362" s="33"/>
      <c r="O362" s="54"/>
      <c r="P362" s="54"/>
      <c r="Q362" s="54"/>
    </row>
    <row r="363" spans="1:19">
      <c r="A363" s="41"/>
      <c r="B363" s="19"/>
      <c r="C363" s="31"/>
      <c r="D363" s="67"/>
      <c r="E363" s="32"/>
      <c r="F363" s="33"/>
      <c r="G363" s="34">
        <f t="shared" si="159"/>
        <v>0</v>
      </c>
      <c r="H363" s="70">
        <f t="shared" si="162"/>
        <v>0</v>
      </c>
      <c r="I363" s="20">
        <f t="shared" si="160"/>
        <v>0</v>
      </c>
      <c r="J363" s="33"/>
      <c r="K363" s="37">
        <f t="shared" si="161"/>
        <v>0</v>
      </c>
      <c r="L363" s="36">
        <f t="shared" si="163"/>
        <v>0</v>
      </c>
      <c r="M363" s="36"/>
      <c r="N363" s="33"/>
      <c r="O363" s="54"/>
      <c r="P363" s="54"/>
      <c r="Q363" s="54"/>
    </row>
    <row r="364" spans="1:19">
      <c r="A364" s="41"/>
      <c r="B364" s="19"/>
      <c r="C364" s="31"/>
      <c r="D364" s="67"/>
      <c r="E364" s="32"/>
      <c r="F364" s="33"/>
      <c r="G364" s="34">
        <f t="shared" si="159"/>
        <v>0</v>
      </c>
      <c r="H364" s="70">
        <f t="shared" si="162"/>
        <v>0</v>
      </c>
      <c r="I364" s="20">
        <f t="shared" si="160"/>
        <v>0</v>
      </c>
      <c r="J364" s="33"/>
      <c r="K364" s="37">
        <f t="shared" si="161"/>
        <v>0</v>
      </c>
      <c r="L364" s="36">
        <f t="shared" si="163"/>
        <v>0</v>
      </c>
      <c r="M364" s="36"/>
      <c r="N364" s="33"/>
      <c r="O364" s="54"/>
      <c r="P364" s="54"/>
      <c r="Q364" s="54"/>
    </row>
    <row r="365" spans="1:19">
      <c r="A365" s="41"/>
      <c r="B365" s="19" t="s">
        <v>89</v>
      </c>
      <c r="C365" s="31"/>
      <c r="D365" s="67"/>
      <c r="E365" s="32"/>
      <c r="F365" s="33"/>
      <c r="G365" s="34">
        <f>IFERROR(VLOOKUP($B365,$T$1:$AB$34,2,0),0)</f>
        <v>-20</v>
      </c>
      <c r="H365" s="70">
        <f t="shared" si="162"/>
        <v>0</v>
      </c>
      <c r="I365" s="20">
        <f>G365*H365</f>
        <v>0</v>
      </c>
      <c r="J365" s="33"/>
      <c r="K365" s="37">
        <f t="shared" si="161"/>
        <v>0</v>
      </c>
      <c r="L365" s="36">
        <f t="shared" si="163"/>
        <v>0</v>
      </c>
      <c r="M365" s="36"/>
      <c r="N365" s="33"/>
      <c r="O365" s="54"/>
      <c r="P365" s="54"/>
      <c r="Q365" s="54"/>
    </row>
    <row r="366" spans="1:19">
      <c r="A366" s="43"/>
      <c r="B366" s="44"/>
      <c r="C366" s="45"/>
      <c r="D366" s="68"/>
      <c r="E366" s="46"/>
      <c r="F366" s="47"/>
      <c r="G366" s="48"/>
      <c r="H366" s="49"/>
      <c r="I366" s="50">
        <f>SUM(I356:I365)</f>
        <v>9</v>
      </c>
      <c r="J366" s="47"/>
      <c r="K366" s="47">
        <f>AVERAGE(K356:K365)</f>
        <v>0.97499999999999998</v>
      </c>
      <c r="L366" s="47">
        <f>AVERAGE(L354:L365)</f>
        <v>0.59895833333333337</v>
      </c>
      <c r="M366" s="50">
        <f>(L366*8)/K366</f>
        <v>4.9145299145299148</v>
      </c>
      <c r="N366" s="47"/>
      <c r="O366" s="47" t="e">
        <f>AVERAGE(O354)</f>
        <v>#DIV/0!</v>
      </c>
      <c r="P366" s="47" t="e">
        <f>AVERAGE(P354)</f>
        <v>#DIV/0!</v>
      </c>
      <c r="Q366" s="50" t="e">
        <f>(O366*8)/P366</f>
        <v>#DIV/0!</v>
      </c>
    </row>
    <row r="367" spans="1:19">
      <c r="A367" s="30" t="s">
        <v>146</v>
      </c>
      <c r="B367" s="19" t="s">
        <v>9</v>
      </c>
      <c r="C367" s="31">
        <v>0.46527777777777779</v>
      </c>
      <c r="D367" s="67">
        <f>C367*24*K367</f>
        <v>138.18750000000003</v>
      </c>
      <c r="E367" s="32"/>
      <c r="F367" s="33">
        <v>0.5</v>
      </c>
      <c r="G367" s="34">
        <f>IFERROR(VLOOKUP($B367,$T$1:$AB$34,5,0),0)</f>
        <v>7</v>
      </c>
      <c r="H367" s="35">
        <f t="shared" ref="H367:H374" si="164">(C367*24)/(SUM($C$364:$C$391)*24)</f>
        <v>0.62910798122065736</v>
      </c>
      <c r="I367" s="20">
        <f t="shared" ref="I367:I374" si="165">G367*H367</f>
        <v>4.4037558685446019</v>
      </c>
      <c r="J367" s="33"/>
      <c r="K367" s="37">
        <f>IFERROR(VLOOKUP($B367,$T$1:$AB$34,9,0),0)</f>
        <v>12.375</v>
      </c>
      <c r="L367" s="36">
        <f t="shared" ref="L367:L374" si="166">IFERROR(D367/(C367*24),0)</f>
        <v>12.375000000000002</v>
      </c>
      <c r="M367" s="36"/>
      <c r="N367" s="33"/>
      <c r="O367" s="54"/>
      <c r="P367" s="54"/>
      <c r="Q367" s="54"/>
      <c r="R367" s="3">
        <f>(I375+M375)/2</f>
        <v>6.2018779342723018</v>
      </c>
    </row>
    <row r="368" spans="1:19">
      <c r="A368" s="41"/>
      <c r="B368" s="19"/>
      <c r="C368" s="31"/>
      <c r="D368" s="67"/>
      <c r="E368" s="32"/>
      <c r="F368" s="33"/>
      <c r="G368" s="34">
        <f t="shared" ref="G368:G374" si="167">IFERROR(VLOOKUP($B368,$T$1:$AB$34,5,0),0)</f>
        <v>0</v>
      </c>
      <c r="H368" s="35">
        <f t="shared" si="164"/>
        <v>0</v>
      </c>
      <c r="I368" s="20">
        <f t="shared" si="165"/>
        <v>0</v>
      </c>
      <c r="J368" s="33"/>
      <c r="K368" s="37">
        <f>IFERROR(VLOOKUP($B368,$T$1:$AB$34,9,0),0)</f>
        <v>0</v>
      </c>
      <c r="L368" s="36">
        <f t="shared" si="166"/>
        <v>0</v>
      </c>
      <c r="M368" s="36"/>
      <c r="N368" s="33"/>
      <c r="O368" s="54"/>
      <c r="P368" s="54"/>
      <c r="Q368" s="54"/>
    </row>
    <row r="369" spans="1:18">
      <c r="A369" s="41"/>
      <c r="B369" s="19"/>
      <c r="C369" s="31"/>
      <c r="D369" s="67"/>
      <c r="E369" s="32"/>
      <c r="F369" s="33"/>
      <c r="G369" s="34">
        <f t="shared" si="167"/>
        <v>0</v>
      </c>
      <c r="H369" s="35">
        <f t="shared" si="164"/>
        <v>0</v>
      </c>
      <c r="I369" s="20">
        <f t="shared" si="165"/>
        <v>0</v>
      </c>
      <c r="J369" s="33"/>
      <c r="K369" s="37">
        <f t="shared" ref="K369:K374" si="168">IFERROR(VLOOKUP($B369,$T$1:$AB$34,9,0),0)</f>
        <v>0</v>
      </c>
      <c r="L369" s="36">
        <f t="shared" si="166"/>
        <v>0</v>
      </c>
      <c r="M369" s="36"/>
      <c r="N369" s="33"/>
      <c r="O369" s="54"/>
      <c r="P369" s="54"/>
      <c r="Q369" s="54"/>
    </row>
    <row r="370" spans="1:18">
      <c r="A370" s="41"/>
      <c r="B370" s="19"/>
      <c r="C370" s="31"/>
      <c r="D370" s="67"/>
      <c r="E370" s="32"/>
      <c r="F370" s="33"/>
      <c r="G370" s="34">
        <f t="shared" si="167"/>
        <v>0</v>
      </c>
      <c r="H370" s="35">
        <f t="shared" si="164"/>
        <v>0</v>
      </c>
      <c r="I370" s="20">
        <f t="shared" si="165"/>
        <v>0</v>
      </c>
      <c r="J370" s="33"/>
      <c r="K370" s="37">
        <f t="shared" si="168"/>
        <v>0</v>
      </c>
      <c r="L370" s="36">
        <f t="shared" si="166"/>
        <v>0</v>
      </c>
      <c r="M370" s="36"/>
      <c r="N370" s="33"/>
      <c r="O370" s="54"/>
      <c r="P370" s="54"/>
      <c r="Q370" s="54"/>
    </row>
    <row r="371" spans="1:18">
      <c r="A371" s="41"/>
      <c r="B371" s="19"/>
      <c r="C371" s="31"/>
      <c r="D371" s="67"/>
      <c r="E371" s="32"/>
      <c r="F371" s="33"/>
      <c r="G371" s="34">
        <f t="shared" si="167"/>
        <v>0</v>
      </c>
      <c r="H371" s="35">
        <f t="shared" si="164"/>
        <v>0</v>
      </c>
      <c r="I371" s="20">
        <f t="shared" si="165"/>
        <v>0</v>
      </c>
      <c r="J371" s="33"/>
      <c r="K371" s="37">
        <f t="shared" si="168"/>
        <v>0</v>
      </c>
      <c r="L371" s="36">
        <f t="shared" si="166"/>
        <v>0</v>
      </c>
      <c r="M371" s="36"/>
      <c r="N371" s="33"/>
      <c r="O371" s="54"/>
      <c r="P371" s="54"/>
      <c r="Q371" s="54"/>
    </row>
    <row r="372" spans="1:18">
      <c r="A372" s="41"/>
      <c r="B372" s="19"/>
      <c r="C372" s="31"/>
      <c r="D372" s="67"/>
      <c r="E372" s="32"/>
      <c r="F372" s="33"/>
      <c r="G372" s="34">
        <f t="shared" si="167"/>
        <v>0</v>
      </c>
      <c r="H372" s="35">
        <f t="shared" si="164"/>
        <v>0</v>
      </c>
      <c r="I372" s="20">
        <f t="shared" si="165"/>
        <v>0</v>
      </c>
      <c r="J372" s="33"/>
      <c r="K372" s="37">
        <f t="shared" si="168"/>
        <v>0</v>
      </c>
      <c r="L372" s="36">
        <f t="shared" si="166"/>
        <v>0</v>
      </c>
      <c r="M372" s="36"/>
      <c r="N372" s="33"/>
      <c r="O372" s="54"/>
      <c r="P372" s="54"/>
      <c r="Q372" s="54"/>
    </row>
    <row r="373" spans="1:18">
      <c r="A373" s="41"/>
      <c r="B373" s="19"/>
      <c r="C373" s="31"/>
      <c r="D373" s="67"/>
      <c r="E373" s="32"/>
      <c r="F373" s="33"/>
      <c r="G373" s="34">
        <f t="shared" si="167"/>
        <v>0</v>
      </c>
      <c r="H373" s="35">
        <f t="shared" si="164"/>
        <v>0</v>
      </c>
      <c r="I373" s="20">
        <f t="shared" si="165"/>
        <v>0</v>
      </c>
      <c r="J373" s="33"/>
      <c r="K373" s="37">
        <f t="shared" si="168"/>
        <v>0</v>
      </c>
      <c r="L373" s="36">
        <f t="shared" si="166"/>
        <v>0</v>
      </c>
      <c r="M373" s="36"/>
      <c r="N373" s="33"/>
      <c r="O373" s="54"/>
      <c r="P373" s="54"/>
      <c r="Q373" s="54"/>
    </row>
    <row r="374" spans="1:18">
      <c r="A374" s="41"/>
      <c r="B374" s="19" t="s">
        <v>89</v>
      </c>
      <c r="C374" s="17"/>
      <c r="D374" s="67"/>
      <c r="E374" s="32"/>
      <c r="F374" s="33"/>
      <c r="G374" s="34">
        <f t="shared" si="167"/>
        <v>-20</v>
      </c>
      <c r="H374" s="35">
        <f t="shared" si="164"/>
        <v>0</v>
      </c>
      <c r="I374" s="20">
        <f t="shared" si="165"/>
        <v>0</v>
      </c>
      <c r="J374" s="33"/>
      <c r="K374" s="37">
        <f t="shared" si="168"/>
        <v>0</v>
      </c>
      <c r="L374" s="36">
        <f t="shared" si="166"/>
        <v>0</v>
      </c>
      <c r="M374" s="36"/>
      <c r="N374" s="33"/>
      <c r="O374" s="54"/>
      <c r="P374" s="54"/>
      <c r="Q374" s="54"/>
    </row>
    <row r="375" spans="1:18">
      <c r="A375" s="43"/>
      <c r="B375" s="44"/>
      <c r="C375" s="45"/>
      <c r="D375" s="68"/>
      <c r="E375" s="46"/>
      <c r="F375" s="47"/>
      <c r="G375" s="48"/>
      <c r="H375" s="49"/>
      <c r="I375" s="50">
        <f>SUM(I367:I374)</f>
        <v>4.4037558685446019</v>
      </c>
      <c r="J375" s="47"/>
      <c r="K375" s="47">
        <f>AVERAGE(K367:K374)</f>
        <v>1.546875</v>
      </c>
      <c r="L375" s="47">
        <f>AVERAGE(L367:L374)</f>
        <v>1.5468750000000002</v>
      </c>
      <c r="M375" s="63">
        <f>(L375*8)/K375</f>
        <v>8.0000000000000018</v>
      </c>
      <c r="N375" s="47"/>
      <c r="O375" s="47"/>
      <c r="P375" s="47"/>
      <c r="Q375" s="50"/>
    </row>
    <row r="376" spans="1:18">
      <c r="A376" s="30" t="s">
        <v>115</v>
      </c>
      <c r="B376" s="19" t="s">
        <v>9</v>
      </c>
      <c r="C376" s="31">
        <v>0.27430555555555558</v>
      </c>
      <c r="D376" s="67">
        <f>C376*24*K376</f>
        <v>81.468750000000014</v>
      </c>
      <c r="E376" s="32"/>
      <c r="F376" s="33">
        <v>0.5</v>
      </c>
      <c r="G376" s="34">
        <f t="shared" ref="G376:G383" si="169">IFERROR(VLOOKUP($B376,$T$1:$AB$34,5,0),0)</f>
        <v>7</v>
      </c>
      <c r="H376" s="35">
        <f t="shared" ref="H376:H383" si="170">(C376*24)/(SUM($C$364:$C$391)*24)</f>
        <v>0.37089201877934275</v>
      </c>
      <c r="I376" s="20">
        <f t="shared" ref="I376:I383" si="171">G376*H376</f>
        <v>2.596244131455399</v>
      </c>
      <c r="J376" s="33"/>
      <c r="K376" s="37">
        <f t="shared" ref="K376:K383" si="172">IFERROR(VLOOKUP($B376,$T$1:$AB$34,9,0),0)</f>
        <v>12.375</v>
      </c>
      <c r="L376" s="36">
        <f t="shared" ref="L376:L383" si="173">IFERROR(D376/(C376*24),0)</f>
        <v>12.375000000000002</v>
      </c>
      <c r="M376" s="36"/>
      <c r="N376" s="33"/>
      <c r="O376" s="54"/>
      <c r="P376" s="54"/>
      <c r="Q376" s="54"/>
      <c r="R376" s="3">
        <f>(I384+M384)/2</f>
        <v>4.6887078018485262</v>
      </c>
    </row>
    <row r="377" spans="1:18">
      <c r="A377" s="41"/>
      <c r="B377" s="19"/>
      <c r="C377" s="31"/>
      <c r="D377" s="67"/>
      <c r="E377" s="32"/>
      <c r="F377" s="33"/>
      <c r="G377" s="34">
        <f t="shared" si="169"/>
        <v>0</v>
      </c>
      <c r="H377" s="35">
        <f t="shared" si="170"/>
        <v>0</v>
      </c>
      <c r="I377" s="20">
        <f t="shared" si="171"/>
        <v>0</v>
      </c>
      <c r="J377" s="33"/>
      <c r="K377" s="37">
        <f t="shared" si="172"/>
        <v>0</v>
      </c>
      <c r="L377" s="36">
        <f t="shared" si="173"/>
        <v>0</v>
      </c>
      <c r="M377" s="36"/>
      <c r="N377" s="33"/>
      <c r="O377" s="54"/>
      <c r="P377" s="54"/>
      <c r="Q377" s="54"/>
    </row>
    <row r="378" spans="1:18">
      <c r="A378" s="41"/>
      <c r="B378" s="19"/>
      <c r="C378" s="31"/>
      <c r="D378" s="67"/>
      <c r="E378" s="32"/>
      <c r="F378" s="33"/>
      <c r="G378" s="34">
        <f t="shared" si="169"/>
        <v>0</v>
      </c>
      <c r="H378" s="35">
        <f t="shared" si="170"/>
        <v>0</v>
      </c>
      <c r="I378" s="20">
        <f t="shared" si="171"/>
        <v>0</v>
      </c>
      <c r="J378" s="33"/>
      <c r="K378" s="37">
        <f t="shared" si="172"/>
        <v>0</v>
      </c>
      <c r="L378" s="36">
        <f t="shared" si="173"/>
        <v>0</v>
      </c>
      <c r="M378" s="36"/>
      <c r="N378" s="33"/>
      <c r="O378" s="54"/>
      <c r="P378" s="54"/>
      <c r="Q378" s="54"/>
    </row>
    <row r="379" spans="1:18">
      <c r="A379" s="41"/>
      <c r="B379" s="19"/>
      <c r="C379" s="31"/>
      <c r="D379" s="67"/>
      <c r="E379" s="32"/>
      <c r="F379" s="33"/>
      <c r="G379" s="34">
        <f t="shared" si="169"/>
        <v>0</v>
      </c>
      <c r="H379" s="35">
        <f t="shared" si="170"/>
        <v>0</v>
      </c>
      <c r="I379" s="20">
        <f t="shared" si="171"/>
        <v>0</v>
      </c>
      <c r="J379" s="33"/>
      <c r="K379" s="37">
        <f t="shared" si="172"/>
        <v>0</v>
      </c>
      <c r="L379" s="36">
        <f t="shared" si="173"/>
        <v>0</v>
      </c>
      <c r="M379" s="36"/>
      <c r="N379" s="33"/>
      <c r="O379" s="54"/>
      <c r="P379" s="54"/>
      <c r="Q379" s="54"/>
    </row>
    <row r="380" spans="1:18">
      <c r="A380" s="41"/>
      <c r="B380" s="19"/>
      <c r="C380" s="31"/>
      <c r="D380" s="67"/>
      <c r="E380" s="32"/>
      <c r="F380" s="33"/>
      <c r="G380" s="34">
        <f t="shared" si="169"/>
        <v>0</v>
      </c>
      <c r="H380" s="35">
        <f t="shared" si="170"/>
        <v>0</v>
      </c>
      <c r="I380" s="20">
        <f t="shared" si="171"/>
        <v>0</v>
      </c>
      <c r="J380" s="33"/>
      <c r="K380" s="37">
        <f t="shared" si="172"/>
        <v>0</v>
      </c>
      <c r="L380" s="36">
        <f t="shared" si="173"/>
        <v>0</v>
      </c>
      <c r="M380" s="36"/>
      <c r="N380" s="33"/>
      <c r="O380" s="54"/>
      <c r="P380" s="54"/>
      <c r="Q380" s="54"/>
    </row>
    <row r="381" spans="1:18">
      <c r="A381" s="41"/>
      <c r="B381" s="19"/>
      <c r="C381" s="31"/>
      <c r="D381" s="67"/>
      <c r="E381" s="32"/>
      <c r="F381" s="33"/>
      <c r="G381" s="34">
        <f t="shared" si="169"/>
        <v>0</v>
      </c>
      <c r="H381" s="35">
        <f t="shared" si="170"/>
        <v>0</v>
      </c>
      <c r="I381" s="20">
        <f t="shared" si="171"/>
        <v>0</v>
      </c>
      <c r="J381" s="33"/>
      <c r="K381" s="37">
        <f t="shared" si="172"/>
        <v>0</v>
      </c>
      <c r="L381" s="36">
        <f t="shared" si="173"/>
        <v>0</v>
      </c>
      <c r="M381" s="36"/>
      <c r="N381" s="33"/>
      <c r="O381" s="54"/>
      <c r="P381" s="54"/>
      <c r="Q381" s="54"/>
    </row>
    <row r="382" spans="1:18">
      <c r="A382" s="41"/>
      <c r="B382" s="19"/>
      <c r="C382" s="31"/>
      <c r="D382" s="67"/>
      <c r="E382" s="32"/>
      <c r="F382" s="33"/>
      <c r="G382" s="34">
        <f t="shared" si="169"/>
        <v>0</v>
      </c>
      <c r="H382" s="35">
        <f t="shared" si="170"/>
        <v>0</v>
      </c>
      <c r="I382" s="20">
        <f t="shared" si="171"/>
        <v>0</v>
      </c>
      <c r="J382" s="33"/>
      <c r="K382" s="37">
        <f t="shared" si="172"/>
        <v>0</v>
      </c>
      <c r="L382" s="36">
        <f t="shared" si="173"/>
        <v>0</v>
      </c>
      <c r="M382" s="36"/>
      <c r="N382" s="33"/>
      <c r="O382" s="54"/>
      <c r="P382" s="54"/>
      <c r="Q382" s="54"/>
    </row>
    <row r="383" spans="1:18">
      <c r="A383" s="41"/>
      <c r="B383" s="19" t="s">
        <v>89</v>
      </c>
      <c r="C383" s="17"/>
      <c r="D383" s="67"/>
      <c r="E383" s="32"/>
      <c r="F383" s="33"/>
      <c r="G383" s="34">
        <f t="shared" si="169"/>
        <v>-20</v>
      </c>
      <c r="H383" s="35">
        <f t="shared" si="170"/>
        <v>0</v>
      </c>
      <c r="I383" s="20">
        <f t="shared" si="171"/>
        <v>0</v>
      </c>
      <c r="J383" s="33"/>
      <c r="K383" s="37">
        <f t="shared" si="172"/>
        <v>0</v>
      </c>
      <c r="L383" s="36">
        <f t="shared" si="173"/>
        <v>0</v>
      </c>
      <c r="M383" s="36"/>
      <c r="N383" s="33"/>
      <c r="O383" s="54"/>
      <c r="P383" s="54"/>
      <c r="Q383" s="54"/>
    </row>
    <row r="384" spans="1:18">
      <c r="A384" s="43"/>
      <c r="B384" s="44"/>
      <c r="C384" s="45"/>
      <c r="D384" s="68"/>
      <c r="E384" s="46"/>
      <c r="F384" s="47"/>
      <c r="G384" s="48"/>
      <c r="H384" s="49"/>
      <c r="I384" s="50">
        <f>SUM(I376:I383)</f>
        <v>2.596244131455399</v>
      </c>
      <c r="J384" s="47"/>
      <c r="K384" s="47">
        <f>AVERAGE(K355:K383)</f>
        <v>1.3865301724137931</v>
      </c>
      <c r="L384" s="47">
        <f>AVERAGE(L355:L383)</f>
        <v>1.1752873563218391</v>
      </c>
      <c r="M384" s="50">
        <f>(L384*8)/K384</f>
        <v>6.7811714722416525</v>
      </c>
      <c r="N384" s="47"/>
      <c r="O384" s="47">
        <f>AVERAGE(O355)</f>
        <v>4.8499999999999996</v>
      </c>
      <c r="P384" s="47">
        <f>AVERAGE(P355)</f>
        <v>0</v>
      </c>
      <c r="Q384" s="50" t="e">
        <f>(O384*8)/P384</f>
        <v>#DIV/0!</v>
      </c>
    </row>
    <row r="385" spans="1:18">
      <c r="A385" s="30" t="s">
        <v>114</v>
      </c>
      <c r="B385" s="19"/>
      <c r="C385" s="31"/>
      <c r="D385" s="67"/>
      <c r="E385" s="32"/>
      <c r="F385" s="33">
        <v>0.5</v>
      </c>
      <c r="G385" s="34">
        <f t="shared" ref="G385:G392" si="174">IFERROR(VLOOKUP($B385,$T$1:$AB$34,5,0),0)</f>
        <v>0</v>
      </c>
      <c r="H385" s="35">
        <f t="shared" ref="H385:H392" si="175">(C385*24)/(SUM($C$364:$C$391)*24)</f>
        <v>0</v>
      </c>
      <c r="I385" s="20">
        <f t="shared" ref="I385:I392" si="176">G385*H385</f>
        <v>0</v>
      </c>
      <c r="J385" s="33"/>
      <c r="K385" s="37">
        <f t="shared" ref="K385:K392" si="177">IFERROR(VLOOKUP($B385,$T$1:$AB$34,9,0),0)</f>
        <v>0</v>
      </c>
      <c r="L385" s="36">
        <f t="shared" si="158"/>
        <v>0</v>
      </c>
      <c r="M385" s="36"/>
      <c r="N385" s="33"/>
      <c r="O385" s="54"/>
      <c r="P385" s="54"/>
      <c r="Q385" s="54"/>
      <c r="R385" s="3" t="e">
        <f>(I393+M393)/2</f>
        <v>#DIV/0!</v>
      </c>
    </row>
    <row r="386" spans="1:18">
      <c r="A386" s="41"/>
      <c r="B386" s="19"/>
      <c r="C386" s="31"/>
      <c r="D386" s="67"/>
      <c r="E386" s="32"/>
      <c r="F386" s="33"/>
      <c r="G386" s="34">
        <f t="shared" si="174"/>
        <v>0</v>
      </c>
      <c r="H386" s="35">
        <f t="shared" si="175"/>
        <v>0</v>
      </c>
      <c r="I386" s="20">
        <f t="shared" si="176"/>
        <v>0</v>
      </c>
      <c r="J386" s="33"/>
      <c r="K386" s="37">
        <f t="shared" si="177"/>
        <v>0</v>
      </c>
      <c r="L386" s="36">
        <f t="shared" si="158"/>
        <v>0</v>
      </c>
      <c r="M386" s="36"/>
      <c r="N386" s="33"/>
      <c r="O386" s="54"/>
      <c r="P386" s="54"/>
      <c r="Q386" s="54"/>
    </row>
    <row r="387" spans="1:18">
      <c r="A387" s="41"/>
      <c r="B387" s="19"/>
      <c r="C387" s="31"/>
      <c r="D387" s="67"/>
      <c r="E387" s="32"/>
      <c r="F387" s="33"/>
      <c r="G387" s="34">
        <f t="shared" si="174"/>
        <v>0</v>
      </c>
      <c r="H387" s="35">
        <f t="shared" si="175"/>
        <v>0</v>
      </c>
      <c r="I387" s="20">
        <f t="shared" si="176"/>
        <v>0</v>
      </c>
      <c r="J387" s="33"/>
      <c r="K387" s="37">
        <f t="shared" si="177"/>
        <v>0</v>
      </c>
      <c r="L387" s="36">
        <f t="shared" si="158"/>
        <v>0</v>
      </c>
      <c r="M387" s="36"/>
      <c r="N387" s="33"/>
      <c r="O387" s="54"/>
      <c r="P387" s="54"/>
      <c r="Q387" s="54"/>
    </row>
    <row r="388" spans="1:18">
      <c r="A388" s="41"/>
      <c r="B388" s="19"/>
      <c r="C388" s="31"/>
      <c r="D388" s="67"/>
      <c r="E388" s="32"/>
      <c r="F388" s="33"/>
      <c r="G388" s="34">
        <f t="shared" si="174"/>
        <v>0</v>
      </c>
      <c r="H388" s="35">
        <f t="shared" si="175"/>
        <v>0</v>
      </c>
      <c r="I388" s="20">
        <f t="shared" si="176"/>
        <v>0</v>
      </c>
      <c r="J388" s="33"/>
      <c r="K388" s="37">
        <f t="shared" si="177"/>
        <v>0</v>
      </c>
      <c r="L388" s="36">
        <f t="shared" si="158"/>
        <v>0</v>
      </c>
      <c r="M388" s="36"/>
      <c r="N388" s="33"/>
      <c r="O388" s="54"/>
      <c r="P388" s="54"/>
      <c r="Q388" s="54"/>
    </row>
    <row r="389" spans="1:18">
      <c r="A389" s="41"/>
      <c r="B389" s="19"/>
      <c r="C389" s="31"/>
      <c r="D389" s="67"/>
      <c r="E389" s="32"/>
      <c r="F389" s="33"/>
      <c r="G389" s="34">
        <f t="shared" si="174"/>
        <v>0</v>
      </c>
      <c r="H389" s="35">
        <f t="shared" si="175"/>
        <v>0</v>
      </c>
      <c r="I389" s="20">
        <f t="shared" si="176"/>
        <v>0</v>
      </c>
      <c r="J389" s="33"/>
      <c r="K389" s="37">
        <f t="shared" si="177"/>
        <v>0</v>
      </c>
      <c r="L389" s="36">
        <f t="shared" si="158"/>
        <v>0</v>
      </c>
      <c r="M389" s="36"/>
      <c r="N389" s="33"/>
      <c r="O389" s="54"/>
      <c r="P389" s="54"/>
      <c r="Q389" s="54"/>
    </row>
    <row r="390" spans="1:18">
      <c r="A390" s="41"/>
      <c r="B390" s="19"/>
      <c r="C390" s="31"/>
      <c r="D390" s="67"/>
      <c r="E390" s="32"/>
      <c r="F390" s="33"/>
      <c r="G390" s="34">
        <f t="shared" si="174"/>
        <v>0</v>
      </c>
      <c r="H390" s="35">
        <f t="shared" si="175"/>
        <v>0</v>
      </c>
      <c r="I390" s="20">
        <f t="shared" si="176"/>
        <v>0</v>
      </c>
      <c r="J390" s="33"/>
      <c r="K390" s="37">
        <f t="shared" si="177"/>
        <v>0</v>
      </c>
      <c r="L390" s="36">
        <f t="shared" si="158"/>
        <v>0</v>
      </c>
      <c r="M390" s="36"/>
      <c r="N390" s="33"/>
      <c r="O390" s="54"/>
      <c r="P390" s="54"/>
      <c r="Q390" s="54"/>
    </row>
    <row r="391" spans="1:18">
      <c r="A391" s="41"/>
      <c r="B391" s="19"/>
      <c r="C391" s="31"/>
      <c r="D391" s="67"/>
      <c r="E391" s="32"/>
      <c r="F391" s="33"/>
      <c r="G391" s="34">
        <f t="shared" si="174"/>
        <v>0</v>
      </c>
      <c r="H391" s="35">
        <f t="shared" si="175"/>
        <v>0</v>
      </c>
      <c r="I391" s="20">
        <f t="shared" si="176"/>
        <v>0</v>
      </c>
      <c r="J391" s="33"/>
      <c r="K391" s="37">
        <f t="shared" si="177"/>
        <v>0</v>
      </c>
      <c r="L391" s="36">
        <f t="shared" si="158"/>
        <v>0</v>
      </c>
      <c r="M391" s="36"/>
      <c r="N391" s="33"/>
      <c r="O391" s="54"/>
      <c r="P391" s="54"/>
      <c r="Q391" s="54"/>
    </row>
    <row r="392" spans="1:18">
      <c r="A392" s="41"/>
      <c r="B392" s="19" t="s">
        <v>89</v>
      </c>
      <c r="C392" s="17"/>
      <c r="D392" s="67"/>
      <c r="E392" s="32"/>
      <c r="F392" s="33"/>
      <c r="G392" s="34">
        <f t="shared" si="174"/>
        <v>-20</v>
      </c>
      <c r="H392" s="35">
        <f t="shared" si="175"/>
        <v>0</v>
      </c>
      <c r="I392" s="20">
        <f t="shared" si="176"/>
        <v>0</v>
      </c>
      <c r="J392" s="33"/>
      <c r="K392" s="37">
        <f t="shared" si="177"/>
        <v>0</v>
      </c>
      <c r="L392" s="36">
        <f t="shared" si="158"/>
        <v>0</v>
      </c>
      <c r="M392" s="36"/>
      <c r="N392" s="33"/>
      <c r="O392" s="54"/>
      <c r="P392" s="54"/>
      <c r="Q392" s="54"/>
    </row>
    <row r="393" spans="1:18">
      <c r="A393" s="43"/>
      <c r="B393" s="44"/>
      <c r="C393" s="45"/>
      <c r="D393" s="68"/>
      <c r="E393" s="46"/>
      <c r="F393" s="47"/>
      <c r="G393" s="48"/>
      <c r="H393" s="49"/>
      <c r="I393" s="50">
        <f>SUM(I385:I392)</f>
        <v>0</v>
      </c>
      <c r="J393" s="47"/>
      <c r="K393" s="47">
        <f>AVERAGE(K385:K392)</f>
        <v>0</v>
      </c>
      <c r="L393" s="47">
        <f>AVERAGE(L385:L392)</f>
        <v>0</v>
      </c>
      <c r="M393" s="50" t="e">
        <f>(L393*8)/K393</f>
        <v>#DIV/0!</v>
      </c>
      <c r="N393" s="47"/>
      <c r="O393" s="47" t="e">
        <f>AVERAGE(O364)</f>
        <v>#DIV/0!</v>
      </c>
      <c r="P393" s="47" t="e">
        <f>AVERAGE(P364)</f>
        <v>#DIV/0!</v>
      </c>
      <c r="Q393" s="50" t="e">
        <f>(O393*8)/P393</f>
        <v>#DIV/0!</v>
      </c>
    </row>
    <row r="394" spans="1:18">
      <c r="A394" s="30" t="s">
        <v>34</v>
      </c>
      <c r="B394" s="19" t="s">
        <v>78</v>
      </c>
      <c r="C394" s="31">
        <v>2.7777777777777776E-2</v>
      </c>
      <c r="D394" s="67"/>
      <c r="E394" s="32"/>
      <c r="F394" s="33">
        <v>0.5</v>
      </c>
      <c r="G394" s="34">
        <f t="shared" ref="G394:G403" si="178">IFERROR(VLOOKUP($B394,$T$1:$AB$34,5,0),0)</f>
        <v>0</v>
      </c>
      <c r="H394" s="35">
        <f t="shared" ref="H394:H403" si="179">(C394*24)/(SUM($C$394:$C$403)*24)</f>
        <v>5.6737588652482268E-2</v>
      </c>
      <c r="I394" s="20">
        <f t="shared" ref="I394:I403" si="180">G394*H394</f>
        <v>0</v>
      </c>
      <c r="J394" s="33">
        <v>0.25</v>
      </c>
      <c r="K394" s="37">
        <f t="shared" ref="K394:K403" si="181">IFERROR(VLOOKUP($B394,$T$1:$AB$34,9,0),0)</f>
        <v>0</v>
      </c>
      <c r="L394" s="36">
        <f t="shared" si="158"/>
        <v>0</v>
      </c>
      <c r="M394" s="36"/>
      <c r="N394" s="33">
        <v>0.25</v>
      </c>
      <c r="O394" s="54">
        <v>2.73</v>
      </c>
      <c r="P394" s="54">
        <f>(SUM(E394:E403)/(SUM(C394:C402)*24))</f>
        <v>0</v>
      </c>
      <c r="Q394" s="54"/>
      <c r="R394" s="3">
        <f>(I404+M404)/2</f>
        <v>6.6119191320983681</v>
      </c>
    </row>
    <row r="395" spans="1:18">
      <c r="A395" s="41"/>
      <c r="B395" s="19" t="s">
        <v>9</v>
      </c>
      <c r="C395" s="31">
        <v>0.28125</v>
      </c>
      <c r="D395" s="67">
        <f>C395*24*K395</f>
        <v>83.53125</v>
      </c>
      <c r="E395" s="32"/>
      <c r="F395" s="33"/>
      <c r="G395" s="34">
        <f t="shared" si="178"/>
        <v>7</v>
      </c>
      <c r="H395" s="35">
        <f t="shared" si="179"/>
        <v>0.57446808510638303</v>
      </c>
      <c r="I395" s="20">
        <f t="shared" si="180"/>
        <v>4.0212765957446814</v>
      </c>
      <c r="J395" s="33"/>
      <c r="K395" s="37">
        <f t="shared" si="181"/>
        <v>12.375</v>
      </c>
      <c r="L395" s="36">
        <f t="shared" si="158"/>
        <v>12.375</v>
      </c>
      <c r="M395" s="36"/>
      <c r="N395" s="33"/>
      <c r="O395" s="54"/>
      <c r="P395" s="54"/>
      <c r="Q395" s="54"/>
    </row>
    <row r="396" spans="1:18">
      <c r="A396" s="41"/>
      <c r="B396" s="19" t="s">
        <v>75</v>
      </c>
      <c r="C396" s="31">
        <v>1.3888888888888888E-2</v>
      </c>
      <c r="D396" s="67">
        <v>2</v>
      </c>
      <c r="E396" s="32"/>
      <c r="F396" s="33"/>
      <c r="G396" s="34">
        <f t="shared" si="178"/>
        <v>7</v>
      </c>
      <c r="H396" s="35">
        <f t="shared" si="179"/>
        <v>2.8368794326241134E-2</v>
      </c>
      <c r="I396" s="20">
        <f t="shared" si="180"/>
        <v>0.19858156028368795</v>
      </c>
      <c r="J396" s="33"/>
      <c r="K396" s="37">
        <f t="shared" si="181"/>
        <v>12.375</v>
      </c>
      <c r="L396" s="36">
        <f t="shared" si="158"/>
        <v>6</v>
      </c>
      <c r="M396" s="36"/>
      <c r="N396" s="33"/>
      <c r="O396" s="54"/>
      <c r="P396" s="54"/>
      <c r="Q396" s="54"/>
    </row>
    <row r="397" spans="1:18">
      <c r="A397" s="41"/>
      <c r="B397" s="19" t="s">
        <v>85</v>
      </c>
      <c r="C397" s="31">
        <v>0.14583333333333334</v>
      </c>
      <c r="D397" s="67">
        <v>31</v>
      </c>
      <c r="E397" s="32"/>
      <c r="F397" s="33"/>
      <c r="G397" s="34">
        <f t="shared" si="178"/>
        <v>10</v>
      </c>
      <c r="H397" s="35">
        <f t="shared" si="179"/>
        <v>0.2978723404255319</v>
      </c>
      <c r="I397" s="20">
        <f t="shared" si="180"/>
        <v>2.978723404255319</v>
      </c>
      <c r="J397" s="33"/>
      <c r="K397" s="37">
        <f t="shared" si="181"/>
        <v>6.5</v>
      </c>
      <c r="L397" s="36">
        <f t="shared" si="158"/>
        <v>8.8571428571428577</v>
      </c>
      <c r="M397" s="36"/>
      <c r="N397" s="33"/>
      <c r="O397" s="54"/>
      <c r="P397" s="54"/>
      <c r="Q397" s="54"/>
    </row>
    <row r="398" spans="1:18">
      <c r="A398" s="41"/>
      <c r="B398" s="19" t="s">
        <v>63</v>
      </c>
      <c r="C398" s="31">
        <v>2.0833333333333332E-2</v>
      </c>
      <c r="D398" s="67">
        <v>2</v>
      </c>
      <c r="E398" s="32"/>
      <c r="F398" s="33"/>
      <c r="G398" s="34">
        <f t="shared" si="178"/>
        <v>7</v>
      </c>
      <c r="H398" s="35">
        <f t="shared" si="179"/>
        <v>4.2553191489361701E-2</v>
      </c>
      <c r="I398" s="20">
        <f t="shared" si="180"/>
        <v>0.2978723404255319</v>
      </c>
      <c r="J398" s="33"/>
      <c r="K398" s="37">
        <f t="shared" si="181"/>
        <v>12.375</v>
      </c>
      <c r="L398" s="36">
        <f t="shared" si="158"/>
        <v>4</v>
      </c>
      <c r="M398" s="36"/>
      <c r="N398" s="33"/>
      <c r="O398" s="54"/>
      <c r="P398" s="54"/>
      <c r="Q398" s="54"/>
    </row>
    <row r="399" spans="1:18">
      <c r="A399" s="41"/>
      <c r="B399" s="19"/>
      <c r="C399" s="31"/>
      <c r="D399" s="67"/>
      <c r="E399" s="32"/>
      <c r="F399" s="33"/>
      <c r="G399" s="34">
        <f t="shared" si="178"/>
        <v>0</v>
      </c>
      <c r="H399" s="35">
        <f t="shared" si="179"/>
        <v>0</v>
      </c>
      <c r="I399" s="20">
        <f t="shared" si="180"/>
        <v>0</v>
      </c>
      <c r="J399" s="33"/>
      <c r="K399" s="37">
        <f t="shared" si="181"/>
        <v>0</v>
      </c>
      <c r="L399" s="36">
        <f t="shared" si="158"/>
        <v>0</v>
      </c>
      <c r="M399" s="36"/>
      <c r="N399" s="33"/>
      <c r="O399" s="54"/>
      <c r="P399" s="54"/>
      <c r="Q399" s="54"/>
    </row>
    <row r="400" spans="1:18">
      <c r="A400" s="41"/>
      <c r="B400" s="19"/>
      <c r="C400" s="31"/>
      <c r="D400" s="67"/>
      <c r="E400" s="32"/>
      <c r="F400" s="33"/>
      <c r="G400" s="34">
        <f t="shared" si="178"/>
        <v>0</v>
      </c>
      <c r="H400" s="35">
        <f t="shared" si="179"/>
        <v>0</v>
      </c>
      <c r="I400" s="20">
        <f t="shared" si="180"/>
        <v>0</v>
      </c>
      <c r="J400" s="33"/>
      <c r="K400" s="37">
        <f t="shared" si="181"/>
        <v>0</v>
      </c>
      <c r="L400" s="36">
        <f t="shared" si="158"/>
        <v>0</v>
      </c>
      <c r="M400" s="36"/>
      <c r="N400" s="33"/>
      <c r="O400" s="54"/>
      <c r="P400" s="54"/>
      <c r="Q400" s="54"/>
    </row>
    <row r="401" spans="1:19">
      <c r="A401" s="41"/>
      <c r="B401" s="19"/>
      <c r="C401" s="31"/>
      <c r="D401" s="67"/>
      <c r="E401" s="32"/>
      <c r="F401" s="33"/>
      <c r="G401" s="34">
        <f t="shared" si="178"/>
        <v>0</v>
      </c>
      <c r="H401" s="35">
        <f t="shared" si="179"/>
        <v>0</v>
      </c>
      <c r="I401" s="20">
        <f t="shared" si="180"/>
        <v>0</v>
      </c>
      <c r="J401" s="33"/>
      <c r="K401" s="37">
        <f t="shared" si="181"/>
        <v>0</v>
      </c>
      <c r="L401" s="36">
        <f t="shared" si="158"/>
        <v>0</v>
      </c>
      <c r="M401" s="36"/>
      <c r="N401" s="33"/>
      <c r="O401" s="54"/>
      <c r="P401" s="54"/>
      <c r="Q401" s="54"/>
    </row>
    <row r="402" spans="1:19">
      <c r="A402" s="41"/>
      <c r="B402" s="19"/>
      <c r="C402" s="31"/>
      <c r="D402" s="67"/>
      <c r="E402" s="32"/>
      <c r="F402" s="33"/>
      <c r="G402" s="34">
        <f t="shared" si="178"/>
        <v>0</v>
      </c>
      <c r="H402" s="35">
        <f t="shared" si="179"/>
        <v>0</v>
      </c>
      <c r="I402" s="20">
        <f t="shared" si="180"/>
        <v>0</v>
      </c>
      <c r="J402" s="33"/>
      <c r="K402" s="37">
        <f t="shared" si="181"/>
        <v>0</v>
      </c>
      <c r="L402" s="36">
        <f t="shared" si="158"/>
        <v>0</v>
      </c>
      <c r="M402" s="36"/>
      <c r="N402" s="33"/>
      <c r="O402" s="54"/>
      <c r="P402" s="54"/>
      <c r="Q402" s="54"/>
    </row>
    <row r="403" spans="1:19">
      <c r="A403" s="41"/>
      <c r="B403" s="19" t="s">
        <v>89</v>
      </c>
      <c r="C403" s="31"/>
      <c r="D403" s="67"/>
      <c r="E403" s="32"/>
      <c r="F403" s="33"/>
      <c r="G403" s="34">
        <f t="shared" si="178"/>
        <v>-20</v>
      </c>
      <c r="H403" s="35">
        <f t="shared" si="179"/>
        <v>0</v>
      </c>
      <c r="I403" s="20">
        <f t="shared" si="180"/>
        <v>0</v>
      </c>
      <c r="J403" s="33"/>
      <c r="K403" s="37">
        <f t="shared" si="181"/>
        <v>0</v>
      </c>
      <c r="L403" s="36">
        <f t="shared" si="158"/>
        <v>0</v>
      </c>
      <c r="M403" s="36"/>
      <c r="N403" s="33"/>
      <c r="O403" s="54"/>
      <c r="P403" s="54"/>
      <c r="Q403" s="54"/>
    </row>
    <row r="404" spans="1:19">
      <c r="A404" s="43"/>
      <c r="B404" s="44"/>
      <c r="C404" s="45"/>
      <c r="D404" s="68"/>
      <c r="E404" s="46"/>
      <c r="F404" s="47"/>
      <c r="G404" s="48"/>
      <c r="H404" s="49"/>
      <c r="I404" s="50">
        <f>SUM(I394:I403)</f>
        <v>7.4964539007092208</v>
      </c>
      <c r="J404" s="47"/>
      <c r="K404" s="47">
        <f>AVERAGE(K394:K403)</f>
        <v>4.3624999999999998</v>
      </c>
      <c r="L404" s="47">
        <f>AVERAGE(L394:L403)</f>
        <v>3.1232142857142859</v>
      </c>
      <c r="M404" s="50">
        <f>(L404*8)/K404</f>
        <v>5.7273843634875163</v>
      </c>
      <c r="N404" s="47"/>
      <c r="O404" s="47">
        <f>AVERAGE(O394)</f>
        <v>2.73</v>
      </c>
      <c r="P404" s="47">
        <f>AVERAGE(P394)</f>
        <v>0</v>
      </c>
      <c r="Q404" s="50" t="e">
        <f>(O404*8)/P404</f>
        <v>#DIV/0!</v>
      </c>
    </row>
    <row r="405" spans="1:19">
      <c r="A405" s="30" t="s">
        <v>33</v>
      </c>
      <c r="B405" s="19"/>
      <c r="C405" s="31"/>
      <c r="D405" s="67"/>
      <c r="E405" s="32"/>
      <c r="F405" s="33">
        <v>0.5</v>
      </c>
      <c r="G405" s="34">
        <f t="shared" ref="G405:G414" si="182">IFERROR(VLOOKUP($B405,$T$1:$AB$34,5,0),0)</f>
        <v>0</v>
      </c>
      <c r="H405" s="35" t="e">
        <f>(C405*24)/(SUM($C$405:$C$413)*24)</f>
        <v>#DIV/0!</v>
      </c>
      <c r="I405" s="20" t="e">
        <f t="shared" ref="I405:I414" si="183">G405*H405</f>
        <v>#DIV/0!</v>
      </c>
      <c r="J405" s="33">
        <v>0.25</v>
      </c>
      <c r="K405" s="37">
        <f t="shared" ref="K405:K414" si="184">IFERROR(VLOOKUP($B405,$T$1:$AB$34,9,0),0)</f>
        <v>0</v>
      </c>
      <c r="L405" s="36">
        <f t="shared" si="158"/>
        <v>0</v>
      </c>
      <c r="M405" s="36"/>
      <c r="N405" s="33">
        <v>0.25</v>
      </c>
      <c r="O405" s="54">
        <v>4.51</v>
      </c>
      <c r="P405" s="54" t="e">
        <f>(SUM(E405:E414)/(SUM(C405:C413)*24))</f>
        <v>#DIV/0!</v>
      </c>
      <c r="Q405" s="54"/>
      <c r="R405" s="3" t="e">
        <f>(I415+M415)/2</f>
        <v>#DIV/0!</v>
      </c>
      <c r="S405" s="65" t="e">
        <f>F405*I415+J405*M415+N405*Q415</f>
        <v>#DIV/0!</v>
      </c>
    </row>
    <row r="406" spans="1:19">
      <c r="A406" s="41"/>
      <c r="B406" s="19"/>
      <c r="C406" s="31"/>
      <c r="D406" s="67"/>
      <c r="E406" s="32"/>
      <c r="F406" s="33"/>
      <c r="G406" s="34">
        <f t="shared" si="182"/>
        <v>0</v>
      </c>
      <c r="H406" s="35" t="e">
        <f t="shared" ref="H406:H414" si="185">(C406*24)/(SUM($C$405:$C$413)*24)</f>
        <v>#DIV/0!</v>
      </c>
      <c r="I406" s="20" t="e">
        <f t="shared" si="183"/>
        <v>#DIV/0!</v>
      </c>
      <c r="J406" s="33"/>
      <c r="K406" s="37">
        <f t="shared" si="184"/>
        <v>0</v>
      </c>
      <c r="L406" s="36">
        <f t="shared" si="158"/>
        <v>0</v>
      </c>
      <c r="M406" s="36"/>
      <c r="N406" s="33"/>
      <c r="O406" s="54"/>
      <c r="P406" s="54"/>
      <c r="Q406" s="54"/>
    </row>
    <row r="407" spans="1:19">
      <c r="A407" s="41"/>
      <c r="B407" s="19"/>
      <c r="C407" s="31"/>
      <c r="D407" s="67"/>
      <c r="E407" s="32"/>
      <c r="F407" s="33"/>
      <c r="G407" s="34">
        <f t="shared" si="182"/>
        <v>0</v>
      </c>
      <c r="H407" s="35" t="e">
        <f t="shared" si="185"/>
        <v>#DIV/0!</v>
      </c>
      <c r="I407" s="20" t="e">
        <f t="shared" si="183"/>
        <v>#DIV/0!</v>
      </c>
      <c r="J407" s="33"/>
      <c r="K407" s="37">
        <f t="shared" si="184"/>
        <v>0</v>
      </c>
      <c r="L407" s="36">
        <f t="shared" si="158"/>
        <v>0</v>
      </c>
      <c r="M407" s="36"/>
      <c r="N407" s="33"/>
      <c r="O407" s="54"/>
      <c r="P407" s="54"/>
      <c r="Q407" s="54"/>
    </row>
    <row r="408" spans="1:19">
      <c r="A408" s="41"/>
      <c r="B408" s="19"/>
      <c r="C408" s="31"/>
      <c r="D408" s="67"/>
      <c r="E408" s="32"/>
      <c r="F408" s="33"/>
      <c r="G408" s="34">
        <f t="shared" si="182"/>
        <v>0</v>
      </c>
      <c r="H408" s="35" t="e">
        <f t="shared" si="185"/>
        <v>#DIV/0!</v>
      </c>
      <c r="I408" s="20" t="e">
        <f t="shared" si="183"/>
        <v>#DIV/0!</v>
      </c>
      <c r="J408" s="33"/>
      <c r="K408" s="37">
        <f t="shared" si="184"/>
        <v>0</v>
      </c>
      <c r="L408" s="36">
        <f t="shared" si="158"/>
        <v>0</v>
      </c>
      <c r="M408" s="36"/>
      <c r="N408" s="33"/>
      <c r="O408" s="54"/>
      <c r="P408" s="54"/>
      <c r="Q408" s="54"/>
    </row>
    <row r="409" spans="1:19">
      <c r="A409" s="41"/>
      <c r="B409" s="19"/>
      <c r="C409" s="31"/>
      <c r="D409" s="67"/>
      <c r="E409" s="32"/>
      <c r="F409" s="33"/>
      <c r="G409" s="34">
        <f t="shared" si="182"/>
        <v>0</v>
      </c>
      <c r="H409" s="35" t="e">
        <f t="shared" si="185"/>
        <v>#DIV/0!</v>
      </c>
      <c r="I409" s="20" t="e">
        <f t="shared" si="183"/>
        <v>#DIV/0!</v>
      </c>
      <c r="J409" s="33"/>
      <c r="K409" s="37">
        <f t="shared" si="184"/>
        <v>0</v>
      </c>
      <c r="L409" s="36">
        <f t="shared" si="158"/>
        <v>0</v>
      </c>
      <c r="M409" s="36"/>
      <c r="N409" s="33"/>
      <c r="O409" s="54"/>
      <c r="P409" s="54"/>
      <c r="Q409" s="54"/>
    </row>
    <row r="410" spans="1:19">
      <c r="A410" s="41"/>
      <c r="B410" s="19"/>
      <c r="C410" s="31"/>
      <c r="D410" s="67"/>
      <c r="E410" s="32"/>
      <c r="F410" s="33"/>
      <c r="G410" s="34">
        <f t="shared" si="182"/>
        <v>0</v>
      </c>
      <c r="H410" s="35" t="e">
        <f t="shared" si="185"/>
        <v>#DIV/0!</v>
      </c>
      <c r="I410" s="20" t="e">
        <f t="shared" si="183"/>
        <v>#DIV/0!</v>
      </c>
      <c r="J410" s="33"/>
      <c r="K410" s="37">
        <f t="shared" si="184"/>
        <v>0</v>
      </c>
      <c r="L410" s="36">
        <f t="shared" si="158"/>
        <v>0</v>
      </c>
      <c r="M410" s="36"/>
      <c r="N410" s="33"/>
      <c r="O410" s="54"/>
      <c r="P410" s="54"/>
      <c r="Q410" s="54"/>
    </row>
    <row r="411" spans="1:19">
      <c r="A411" s="41"/>
      <c r="B411" s="19"/>
      <c r="C411" s="31"/>
      <c r="D411" s="67"/>
      <c r="E411" s="32"/>
      <c r="F411" s="33"/>
      <c r="G411" s="34">
        <f t="shared" si="182"/>
        <v>0</v>
      </c>
      <c r="H411" s="35" t="e">
        <f t="shared" si="185"/>
        <v>#DIV/0!</v>
      </c>
      <c r="I411" s="20" t="e">
        <f t="shared" si="183"/>
        <v>#DIV/0!</v>
      </c>
      <c r="J411" s="33"/>
      <c r="K411" s="37">
        <f t="shared" si="184"/>
        <v>0</v>
      </c>
      <c r="L411" s="36">
        <f t="shared" si="158"/>
        <v>0</v>
      </c>
      <c r="M411" s="36"/>
      <c r="N411" s="33"/>
      <c r="O411" s="54"/>
      <c r="P411" s="54"/>
      <c r="Q411" s="54"/>
    </row>
    <row r="412" spans="1:19">
      <c r="A412" s="41"/>
      <c r="B412" s="19"/>
      <c r="C412" s="31"/>
      <c r="D412" s="67"/>
      <c r="E412" s="32"/>
      <c r="F412" s="33"/>
      <c r="G412" s="34">
        <f t="shared" si="182"/>
        <v>0</v>
      </c>
      <c r="H412" s="35" t="e">
        <f t="shared" si="185"/>
        <v>#DIV/0!</v>
      </c>
      <c r="I412" s="20" t="e">
        <f t="shared" si="183"/>
        <v>#DIV/0!</v>
      </c>
      <c r="J412" s="33"/>
      <c r="K412" s="37">
        <f t="shared" si="184"/>
        <v>0</v>
      </c>
      <c r="L412" s="36">
        <f t="shared" si="158"/>
        <v>0</v>
      </c>
      <c r="M412" s="36"/>
      <c r="N412" s="33"/>
      <c r="O412" s="54"/>
      <c r="P412" s="54"/>
      <c r="Q412" s="54"/>
    </row>
    <row r="413" spans="1:19">
      <c r="A413" s="41"/>
      <c r="B413" s="19"/>
      <c r="C413" s="31"/>
      <c r="D413" s="67"/>
      <c r="E413" s="32"/>
      <c r="F413" s="33"/>
      <c r="G413" s="34">
        <f t="shared" si="182"/>
        <v>0</v>
      </c>
      <c r="H413" s="35" t="e">
        <f t="shared" si="185"/>
        <v>#DIV/0!</v>
      </c>
      <c r="I413" s="20" t="e">
        <f t="shared" si="183"/>
        <v>#DIV/0!</v>
      </c>
      <c r="J413" s="33"/>
      <c r="K413" s="37">
        <f t="shared" si="184"/>
        <v>0</v>
      </c>
      <c r="L413" s="36">
        <f t="shared" si="158"/>
        <v>0</v>
      </c>
      <c r="M413" s="36"/>
      <c r="N413" s="33"/>
      <c r="O413" s="54"/>
      <c r="P413" s="54"/>
      <c r="Q413" s="54"/>
    </row>
    <row r="414" spans="1:19">
      <c r="A414" s="41"/>
      <c r="B414" s="19" t="s">
        <v>89</v>
      </c>
      <c r="C414" s="31">
        <v>0.29166666666666669</v>
      </c>
      <c r="D414" s="67"/>
      <c r="E414" s="32"/>
      <c r="F414" s="33"/>
      <c r="G414" s="34">
        <f t="shared" si="182"/>
        <v>-20</v>
      </c>
      <c r="H414" s="35" t="e">
        <f t="shared" si="185"/>
        <v>#DIV/0!</v>
      </c>
      <c r="I414" s="20" t="e">
        <f t="shared" si="183"/>
        <v>#DIV/0!</v>
      </c>
      <c r="J414" s="33"/>
      <c r="K414" s="37">
        <f t="shared" si="184"/>
        <v>0</v>
      </c>
      <c r="L414" s="36">
        <f t="shared" si="158"/>
        <v>0</v>
      </c>
      <c r="M414" s="36"/>
      <c r="N414" s="33"/>
      <c r="O414" s="54"/>
      <c r="P414" s="54"/>
      <c r="Q414" s="54"/>
    </row>
    <row r="415" spans="1:19">
      <c r="A415" s="43"/>
      <c r="B415" s="44"/>
      <c r="C415" s="45"/>
      <c r="D415" s="68"/>
      <c r="E415" s="46"/>
      <c r="F415" s="47"/>
      <c r="G415" s="48"/>
      <c r="H415" s="49"/>
      <c r="I415" s="50" t="e">
        <f>SUM(I405:I414)</f>
        <v>#DIV/0!</v>
      </c>
      <c r="J415" s="47"/>
      <c r="K415" s="47">
        <f>AVERAGE(K405:K414)</f>
        <v>0</v>
      </c>
      <c r="L415" s="47">
        <f>AVERAGE(L405:L414)</f>
        <v>0</v>
      </c>
      <c r="M415" s="50" t="e">
        <f>(L415*8)/K415</f>
        <v>#DIV/0!</v>
      </c>
      <c r="N415" s="47"/>
      <c r="O415" s="47">
        <f>AVERAGE(O405)</f>
        <v>4.51</v>
      </c>
      <c r="P415" s="47" t="e">
        <f>AVERAGE(P405)</f>
        <v>#DIV/0!</v>
      </c>
      <c r="Q415" s="50" t="e">
        <f>(O415*8)/P415</f>
        <v>#DIV/0!</v>
      </c>
    </row>
    <row r="416" spans="1:19">
      <c r="A416" s="30" t="s">
        <v>34</v>
      </c>
      <c r="B416" s="19"/>
      <c r="C416" s="31"/>
      <c r="D416" s="67"/>
      <c r="E416" s="32"/>
      <c r="F416" s="33">
        <v>0.5</v>
      </c>
      <c r="G416" s="34">
        <f t="shared" ref="G416:G425" si="186">IFERROR(VLOOKUP($B416,$T$1:$AB$34,5,0),0)</f>
        <v>0</v>
      </c>
      <c r="H416" s="35" t="e">
        <f>(C416*24)/(SUM($C$416:$C$424)*24)</f>
        <v>#DIV/0!</v>
      </c>
      <c r="I416" s="20" t="e">
        <f>G416*H416</f>
        <v>#DIV/0!</v>
      </c>
      <c r="J416" s="33">
        <v>0.25</v>
      </c>
      <c r="K416" s="37">
        <f t="shared" ref="K416:K425" si="187">IFERROR(VLOOKUP($B416,$T$1:$AB$34,9,0),0)</f>
        <v>0</v>
      </c>
      <c r="L416" s="36">
        <f t="shared" si="158"/>
        <v>0</v>
      </c>
      <c r="M416" s="36"/>
      <c r="N416" s="33">
        <v>0.25</v>
      </c>
      <c r="O416" s="54">
        <v>4.5087090796788161</v>
      </c>
      <c r="P416" s="54" t="e">
        <f>(SUM(E416:E425)/(SUM(C416:C424)*24))</f>
        <v>#DIV/0!</v>
      </c>
      <c r="Q416" s="54"/>
      <c r="R416" s="3" t="e">
        <f>(I426+M426)/2</f>
        <v>#DIV/0!</v>
      </c>
      <c r="S416" s="65" t="e">
        <f>F416*I426+J416*M426+N416*Q426</f>
        <v>#DIV/0!</v>
      </c>
    </row>
    <row r="417" spans="1:19">
      <c r="A417" s="41"/>
      <c r="B417" s="19"/>
      <c r="C417" s="31"/>
      <c r="D417" s="67"/>
      <c r="E417" s="32"/>
      <c r="F417" s="33"/>
      <c r="G417" s="34">
        <f t="shared" si="186"/>
        <v>0</v>
      </c>
      <c r="H417" s="35" t="e">
        <f t="shared" ref="H417:H425" si="188">(C417*24)/(SUM($C$416:$C$424)*24)</f>
        <v>#DIV/0!</v>
      </c>
      <c r="I417" s="20" t="e">
        <f t="shared" ref="I417:I425" si="189">G417*H417</f>
        <v>#DIV/0!</v>
      </c>
      <c r="J417" s="33"/>
      <c r="K417" s="37">
        <f t="shared" si="187"/>
        <v>0</v>
      </c>
      <c r="L417" s="36">
        <f t="shared" si="158"/>
        <v>0</v>
      </c>
      <c r="M417" s="36"/>
      <c r="N417" s="33"/>
      <c r="O417" s="54"/>
      <c r="P417" s="54"/>
      <c r="Q417" s="54"/>
    </row>
    <row r="418" spans="1:19">
      <c r="A418" s="41"/>
      <c r="B418" s="19"/>
      <c r="C418" s="31"/>
      <c r="D418" s="67"/>
      <c r="E418" s="32"/>
      <c r="F418" s="33"/>
      <c r="G418" s="34">
        <f t="shared" si="186"/>
        <v>0</v>
      </c>
      <c r="H418" s="35" t="e">
        <f t="shared" si="188"/>
        <v>#DIV/0!</v>
      </c>
      <c r="I418" s="20" t="e">
        <f t="shared" si="189"/>
        <v>#DIV/0!</v>
      </c>
      <c r="J418" s="33"/>
      <c r="K418" s="37">
        <f t="shared" si="187"/>
        <v>0</v>
      </c>
      <c r="L418" s="36">
        <f t="shared" si="158"/>
        <v>0</v>
      </c>
      <c r="M418" s="36"/>
      <c r="N418" s="33"/>
      <c r="O418" s="54"/>
      <c r="P418" s="54"/>
      <c r="Q418" s="54"/>
    </row>
    <row r="419" spans="1:19">
      <c r="A419" s="41"/>
      <c r="B419" s="19"/>
      <c r="C419" s="31"/>
      <c r="D419" s="67"/>
      <c r="E419" s="32"/>
      <c r="F419" s="33"/>
      <c r="G419" s="34">
        <f t="shared" si="186"/>
        <v>0</v>
      </c>
      <c r="H419" s="35" t="e">
        <f t="shared" si="188"/>
        <v>#DIV/0!</v>
      </c>
      <c r="I419" s="20" t="e">
        <f t="shared" si="189"/>
        <v>#DIV/0!</v>
      </c>
      <c r="J419" s="33"/>
      <c r="K419" s="37">
        <f t="shared" si="187"/>
        <v>0</v>
      </c>
      <c r="L419" s="36">
        <f t="shared" si="158"/>
        <v>0</v>
      </c>
      <c r="M419" s="36"/>
      <c r="N419" s="33"/>
      <c r="O419" s="54"/>
      <c r="P419" s="54"/>
      <c r="Q419" s="54"/>
    </row>
    <row r="420" spans="1:19">
      <c r="A420" s="41"/>
      <c r="B420" s="19"/>
      <c r="C420" s="31"/>
      <c r="D420" s="67"/>
      <c r="E420" s="32"/>
      <c r="F420" s="33"/>
      <c r="G420" s="34">
        <f t="shared" si="186"/>
        <v>0</v>
      </c>
      <c r="H420" s="35" t="e">
        <f t="shared" si="188"/>
        <v>#DIV/0!</v>
      </c>
      <c r="I420" s="20" t="e">
        <f t="shared" si="189"/>
        <v>#DIV/0!</v>
      </c>
      <c r="J420" s="33"/>
      <c r="K420" s="37">
        <f t="shared" si="187"/>
        <v>0</v>
      </c>
      <c r="L420" s="36">
        <f t="shared" si="158"/>
        <v>0</v>
      </c>
      <c r="M420" s="36"/>
      <c r="N420" s="33"/>
      <c r="O420" s="54"/>
      <c r="P420" s="54"/>
      <c r="Q420" s="54"/>
    </row>
    <row r="421" spans="1:19">
      <c r="A421" s="41"/>
      <c r="B421" s="19"/>
      <c r="C421" s="31"/>
      <c r="D421" s="67"/>
      <c r="E421" s="32"/>
      <c r="F421" s="33"/>
      <c r="G421" s="34">
        <f t="shared" si="186"/>
        <v>0</v>
      </c>
      <c r="H421" s="35" t="e">
        <f t="shared" si="188"/>
        <v>#DIV/0!</v>
      </c>
      <c r="I421" s="20" t="e">
        <f t="shared" si="189"/>
        <v>#DIV/0!</v>
      </c>
      <c r="J421" s="33"/>
      <c r="K421" s="37">
        <f t="shared" si="187"/>
        <v>0</v>
      </c>
      <c r="L421" s="36">
        <f t="shared" si="158"/>
        <v>0</v>
      </c>
      <c r="M421" s="36"/>
      <c r="N421" s="33"/>
      <c r="O421" s="54"/>
      <c r="P421" s="54"/>
      <c r="Q421" s="54"/>
    </row>
    <row r="422" spans="1:19">
      <c r="A422" s="41"/>
      <c r="B422" s="19"/>
      <c r="C422" s="31"/>
      <c r="D422" s="67"/>
      <c r="E422" s="32"/>
      <c r="F422" s="33"/>
      <c r="G422" s="34">
        <f t="shared" si="186"/>
        <v>0</v>
      </c>
      <c r="H422" s="35" t="e">
        <f t="shared" si="188"/>
        <v>#DIV/0!</v>
      </c>
      <c r="I422" s="20" t="e">
        <f t="shared" si="189"/>
        <v>#DIV/0!</v>
      </c>
      <c r="J422" s="33"/>
      <c r="K422" s="37">
        <f t="shared" si="187"/>
        <v>0</v>
      </c>
      <c r="L422" s="36">
        <f t="shared" si="158"/>
        <v>0</v>
      </c>
      <c r="M422" s="36"/>
      <c r="N422" s="33"/>
      <c r="O422" s="54"/>
      <c r="P422" s="54"/>
      <c r="Q422" s="54"/>
    </row>
    <row r="423" spans="1:19">
      <c r="A423" s="41"/>
      <c r="B423" s="19"/>
      <c r="C423" s="31"/>
      <c r="D423" s="67"/>
      <c r="E423" s="32"/>
      <c r="F423" s="33"/>
      <c r="G423" s="34">
        <f t="shared" si="186"/>
        <v>0</v>
      </c>
      <c r="H423" s="35" t="e">
        <f t="shared" si="188"/>
        <v>#DIV/0!</v>
      </c>
      <c r="I423" s="20" t="e">
        <f t="shared" si="189"/>
        <v>#DIV/0!</v>
      </c>
      <c r="J423" s="33"/>
      <c r="K423" s="37">
        <f t="shared" si="187"/>
        <v>0</v>
      </c>
      <c r="L423" s="36">
        <f t="shared" si="158"/>
        <v>0</v>
      </c>
      <c r="M423" s="36"/>
      <c r="N423" s="33"/>
      <c r="O423" s="54"/>
      <c r="P423" s="54"/>
      <c r="Q423" s="54"/>
    </row>
    <row r="424" spans="1:19">
      <c r="A424" s="41"/>
      <c r="B424" s="19"/>
      <c r="C424" s="31"/>
      <c r="D424" s="67"/>
      <c r="E424" s="32"/>
      <c r="F424" s="33"/>
      <c r="G424" s="34">
        <f t="shared" si="186"/>
        <v>0</v>
      </c>
      <c r="H424" s="35" t="e">
        <f t="shared" si="188"/>
        <v>#DIV/0!</v>
      </c>
      <c r="I424" s="20" t="e">
        <f t="shared" si="189"/>
        <v>#DIV/0!</v>
      </c>
      <c r="J424" s="33"/>
      <c r="K424" s="37">
        <f t="shared" si="187"/>
        <v>0</v>
      </c>
      <c r="L424" s="36">
        <f t="shared" si="158"/>
        <v>0</v>
      </c>
      <c r="M424" s="36"/>
      <c r="N424" s="33"/>
      <c r="O424" s="54"/>
      <c r="P424" s="54"/>
      <c r="Q424" s="54"/>
    </row>
    <row r="425" spans="1:19">
      <c r="A425" s="41"/>
      <c r="B425" s="19" t="s">
        <v>89</v>
      </c>
      <c r="C425" s="18"/>
      <c r="D425" s="67"/>
      <c r="E425" s="32"/>
      <c r="F425" s="33"/>
      <c r="G425" s="34">
        <f t="shared" si="186"/>
        <v>-20</v>
      </c>
      <c r="H425" s="35" t="e">
        <f t="shared" si="188"/>
        <v>#DIV/0!</v>
      </c>
      <c r="I425" s="20" t="e">
        <f t="shared" si="189"/>
        <v>#DIV/0!</v>
      </c>
      <c r="J425" s="33"/>
      <c r="K425" s="37">
        <f t="shared" si="187"/>
        <v>0</v>
      </c>
      <c r="L425" s="36">
        <f t="shared" si="158"/>
        <v>0</v>
      </c>
      <c r="M425" s="36"/>
      <c r="N425" s="33"/>
      <c r="O425" s="54"/>
      <c r="P425" s="54"/>
      <c r="Q425" s="54"/>
    </row>
    <row r="426" spans="1:19">
      <c r="A426" s="43"/>
      <c r="B426" s="44"/>
      <c r="C426" s="45"/>
      <c r="D426" s="68"/>
      <c r="E426" s="46"/>
      <c r="F426" s="47"/>
      <c r="G426" s="48"/>
      <c r="H426" s="49"/>
      <c r="I426" s="50" t="e">
        <f>SUM(I416:I425)</f>
        <v>#DIV/0!</v>
      </c>
      <c r="J426" s="47"/>
      <c r="K426" s="47">
        <f>AVERAGE(K416:K425)</f>
        <v>0</v>
      </c>
      <c r="L426" s="47">
        <f>AVERAGE(L416:L425)</f>
        <v>0</v>
      </c>
      <c r="M426" s="50" t="e">
        <f>(L426*8)/K426</f>
        <v>#DIV/0!</v>
      </c>
      <c r="N426" s="47"/>
      <c r="O426" s="47">
        <f>AVERAGE(O416)</f>
        <v>4.5087090796788161</v>
      </c>
      <c r="P426" s="47" t="e">
        <f>AVERAGE(P416)</f>
        <v>#DIV/0!</v>
      </c>
      <c r="Q426" s="50" t="e">
        <f>(O426*8)/P426</f>
        <v>#DIV/0!</v>
      </c>
    </row>
    <row r="427" spans="1:19">
      <c r="A427" s="30" t="s">
        <v>35</v>
      </c>
      <c r="B427" s="19"/>
      <c r="C427" s="31"/>
      <c r="D427" s="67"/>
      <c r="E427" s="32"/>
      <c r="F427" s="33">
        <v>0.5</v>
      </c>
      <c r="G427" s="34">
        <f>IFERROR(VLOOKUP($B427,$T$1:$AB$34,5,0),0)</f>
        <v>0</v>
      </c>
      <c r="H427" s="59" t="e">
        <f>(C427*24)/(SUM($C$427:$C$430)*24)</f>
        <v>#DIV/0!</v>
      </c>
      <c r="I427" s="20" t="e">
        <f>G427*H427</f>
        <v>#DIV/0!</v>
      </c>
      <c r="J427" s="33">
        <v>0.25</v>
      </c>
      <c r="K427" s="37">
        <f>IFERROR(VLOOKUP($B427,$T$1:$AB$34,9,0),0)</f>
        <v>0</v>
      </c>
      <c r="L427" s="36">
        <f t="shared" si="158"/>
        <v>0</v>
      </c>
      <c r="M427" s="36"/>
      <c r="N427" s="33">
        <v>0.25</v>
      </c>
      <c r="O427" s="54">
        <v>2.7310344827586208</v>
      </c>
      <c r="P427" s="54"/>
      <c r="Q427" s="54" t="e">
        <f>(SUM(E427:E431)/(SUM(C427:C430)*24))</f>
        <v>#DIV/0!</v>
      </c>
      <c r="R427" s="3" t="e">
        <f>(I432+M432)/2</f>
        <v>#DIV/0!</v>
      </c>
      <c r="S427" s="65" t="e">
        <f>F427*I432+J427*M432+N427*Q432</f>
        <v>#DIV/0!</v>
      </c>
    </row>
    <row r="428" spans="1:19">
      <c r="A428" s="41"/>
      <c r="B428" s="19"/>
      <c r="C428" s="31"/>
      <c r="D428" s="67"/>
      <c r="E428" s="32"/>
      <c r="F428" s="33"/>
      <c r="G428" s="34">
        <f>IFERROR(VLOOKUP($B428,$T$1:$AB$34,5,0),0)</f>
        <v>0</v>
      </c>
      <c r="H428" s="35" t="e">
        <f>(C428*24)/(SUM($C$427:$C$430)*24)</f>
        <v>#DIV/0!</v>
      </c>
      <c r="I428" s="20" t="e">
        <f>G428*H428</f>
        <v>#DIV/0!</v>
      </c>
      <c r="J428" s="33"/>
      <c r="K428" s="37">
        <f>IFERROR(VLOOKUP($B428,$T$1:$AB$34,9,0),0)</f>
        <v>0</v>
      </c>
      <c r="L428" s="36">
        <f t="shared" si="158"/>
        <v>0</v>
      </c>
      <c r="M428" s="36"/>
      <c r="N428" s="33"/>
      <c r="O428" s="54"/>
      <c r="P428" s="54"/>
      <c r="Q428" s="54"/>
    </row>
    <row r="429" spans="1:19">
      <c r="A429" s="41"/>
      <c r="B429" s="19"/>
      <c r="C429" s="31"/>
      <c r="D429" s="67"/>
      <c r="E429" s="32"/>
      <c r="F429" s="33"/>
      <c r="G429" s="34">
        <f>IFERROR(VLOOKUP($B429,$T$1:$AB$34,5,0),0)</f>
        <v>0</v>
      </c>
      <c r="H429" s="35" t="e">
        <f>(C429*24)/(SUM($C$427:$C$430)*24)</f>
        <v>#DIV/0!</v>
      </c>
      <c r="I429" s="20" t="e">
        <f>G429*H429</f>
        <v>#DIV/0!</v>
      </c>
      <c r="J429" s="33"/>
      <c r="K429" s="37">
        <f>IFERROR(VLOOKUP($B429,$T$1:$AB$34,9,0),0)</f>
        <v>0</v>
      </c>
      <c r="L429" s="36">
        <f t="shared" si="158"/>
        <v>0</v>
      </c>
      <c r="M429" s="36"/>
      <c r="N429" s="33"/>
      <c r="O429" s="54"/>
      <c r="P429" s="54"/>
      <c r="Q429" s="54"/>
    </row>
    <row r="430" spans="1:19">
      <c r="A430" s="41"/>
      <c r="B430" s="19"/>
      <c r="C430" s="31"/>
      <c r="D430" s="67"/>
      <c r="E430" s="32"/>
      <c r="F430" s="33"/>
      <c r="G430" s="34">
        <f>IFERROR(VLOOKUP($B430,$T$1:$AB$34,5,0),0)</f>
        <v>0</v>
      </c>
      <c r="H430" s="35" t="e">
        <f>(C430*24)/(SUM($C$427:$C$430)*24)</f>
        <v>#DIV/0!</v>
      </c>
      <c r="I430" s="20" t="e">
        <f>G430*H430</f>
        <v>#DIV/0!</v>
      </c>
      <c r="J430" s="33"/>
      <c r="K430" s="37">
        <f>IFERROR(VLOOKUP($B430,$T$1:$AB$34,9,0),0)</f>
        <v>0</v>
      </c>
      <c r="L430" s="36">
        <f t="shared" si="158"/>
        <v>0</v>
      </c>
      <c r="M430" s="36"/>
      <c r="N430" s="33"/>
      <c r="O430" s="54"/>
      <c r="P430" s="54"/>
      <c r="Q430" s="54"/>
    </row>
    <row r="431" spans="1:19">
      <c r="A431" s="41"/>
      <c r="B431" s="19" t="s">
        <v>89</v>
      </c>
      <c r="C431" s="18">
        <v>0.29166666666666669</v>
      </c>
      <c r="D431" s="67"/>
      <c r="E431" s="32"/>
      <c r="F431" s="33"/>
      <c r="G431" s="34">
        <f>IFERROR(VLOOKUP($B431,$T$1:$AB$34,5,0),0)</f>
        <v>-20</v>
      </c>
      <c r="H431" s="59" t="e">
        <f>(C431*24)/(SUM($C$427:$C$430)*24)</f>
        <v>#DIV/0!</v>
      </c>
      <c r="I431" s="20" t="e">
        <f>G431*H431</f>
        <v>#DIV/0!</v>
      </c>
      <c r="J431" s="33"/>
      <c r="K431" s="37">
        <f>IFERROR(VLOOKUP($B431,$T$1:$AB$34,9,0),0)</f>
        <v>0</v>
      </c>
      <c r="L431" s="36">
        <f t="shared" si="158"/>
        <v>0</v>
      </c>
      <c r="M431" s="36"/>
      <c r="N431" s="33"/>
      <c r="O431" s="54"/>
      <c r="P431" s="54"/>
      <c r="Q431" s="54"/>
    </row>
    <row r="432" spans="1:19">
      <c r="A432" s="43"/>
      <c r="B432" s="44"/>
      <c r="C432" s="45"/>
      <c r="D432" s="68"/>
      <c r="E432" s="46"/>
      <c r="F432" s="47"/>
      <c r="G432" s="48"/>
      <c r="H432" s="49"/>
      <c r="I432" s="50" t="e">
        <f>SUM(I427:I431)</f>
        <v>#DIV/0!</v>
      </c>
      <c r="J432" s="47"/>
      <c r="K432" s="47">
        <f>AVERAGE(K427:K431)</f>
        <v>0</v>
      </c>
      <c r="L432" s="47">
        <f>AVERAGE(L427:L431)</f>
        <v>0</v>
      </c>
      <c r="M432" s="50" t="e">
        <f>(L432*8)/K432</f>
        <v>#DIV/0!</v>
      </c>
      <c r="N432" s="47"/>
      <c r="O432" s="47">
        <f>AVERAGE(O422:O431)</f>
        <v>3.6198717812187184</v>
      </c>
      <c r="P432" s="47" t="e">
        <f>AVERAGE(P422:P431)</f>
        <v>#DIV/0!</v>
      </c>
      <c r="Q432" s="50" t="e">
        <f>(O432*8)/P432</f>
        <v>#DIV/0!</v>
      </c>
    </row>
    <row r="433" spans="1:19">
      <c r="A433" s="30" t="s">
        <v>36</v>
      </c>
      <c r="B433" s="72" t="s">
        <v>81</v>
      </c>
      <c r="C433" s="71">
        <v>0.51041666666666663</v>
      </c>
      <c r="D433" s="67">
        <f>C433*24*K433</f>
        <v>159.25</v>
      </c>
      <c r="E433" s="32"/>
      <c r="F433" s="33">
        <v>0.5</v>
      </c>
      <c r="G433" s="34">
        <f>IFERROR(VLOOKUP($B433,$T$1:$AB$34,5,0),0)</f>
        <v>9</v>
      </c>
      <c r="H433" s="35">
        <f t="shared" ref="H433:H438" si="190">(C433*24)/(SUM($C$433:$C$437)*24)</f>
        <v>0.95454545454545459</v>
      </c>
      <c r="I433" s="20">
        <f t="shared" ref="I433:I438" si="191">G433*H433</f>
        <v>8.5909090909090917</v>
      </c>
      <c r="J433" s="33">
        <v>0.25</v>
      </c>
      <c r="K433" s="37">
        <f t="shared" ref="K433:K438" si="192">IFERROR(VLOOKUP($B433,$T$1:$AB$34,9,0),0)</f>
        <v>13</v>
      </c>
      <c r="L433" s="36">
        <f t="shared" ref="L433:L438" si="193">IFERROR(D433/(C433*24),0)</f>
        <v>13</v>
      </c>
      <c r="M433" s="36"/>
      <c r="N433" s="33">
        <v>0.25</v>
      </c>
      <c r="O433" s="54">
        <v>2.7310344827586208</v>
      </c>
      <c r="P433" s="54"/>
      <c r="Q433" s="54">
        <f>(SUM(E433:E438)/(SUM(C433:C437)*24))</f>
        <v>0</v>
      </c>
      <c r="R433" s="3">
        <f>(I439+M439)/2</f>
        <v>8.454545454545455</v>
      </c>
      <c r="S433" s="65" t="e">
        <f>F433*I439+J433*M439+N433*Q439</f>
        <v>#DIV/0!</v>
      </c>
    </row>
    <row r="434" spans="1:19">
      <c r="A434" s="41"/>
      <c r="B434" s="19" t="s">
        <v>75</v>
      </c>
      <c r="C434" s="31">
        <v>2.4305555555555556E-2</v>
      </c>
      <c r="D434" s="67">
        <f>C434*24*K434</f>
        <v>7.2187500000000009</v>
      </c>
      <c r="E434" s="32"/>
      <c r="F434" s="33"/>
      <c r="G434" s="34">
        <f>IFERROR(VLOOKUP($B434,$T$1:$AB$34,5,0),0)</f>
        <v>7</v>
      </c>
      <c r="H434" s="35">
        <f t="shared" si="190"/>
        <v>4.5454545454545463E-2</v>
      </c>
      <c r="I434" s="20">
        <f t="shared" si="191"/>
        <v>0.31818181818181823</v>
      </c>
      <c r="J434" s="33"/>
      <c r="K434" s="37">
        <f t="shared" si="192"/>
        <v>12.375</v>
      </c>
      <c r="L434" s="36">
        <f t="shared" si="193"/>
        <v>12.375</v>
      </c>
      <c r="M434" s="36"/>
      <c r="N434" s="33"/>
      <c r="O434" s="54"/>
      <c r="P434" s="54"/>
      <c r="Q434" s="54"/>
    </row>
    <row r="435" spans="1:19">
      <c r="A435" s="41"/>
      <c r="B435" s="19"/>
      <c r="C435" s="31"/>
      <c r="D435" s="67"/>
      <c r="E435" s="32"/>
      <c r="F435" s="33"/>
      <c r="G435" s="34">
        <f>IFERROR(VLOOKUP($B435,$T$1:$AB$34,5,0),0)</f>
        <v>0</v>
      </c>
      <c r="H435" s="35">
        <f t="shared" si="190"/>
        <v>0</v>
      </c>
      <c r="I435" s="20">
        <f t="shared" si="191"/>
        <v>0</v>
      </c>
      <c r="J435" s="33"/>
      <c r="K435" s="37">
        <f t="shared" si="192"/>
        <v>0</v>
      </c>
      <c r="L435" s="36">
        <f t="shared" si="193"/>
        <v>0</v>
      </c>
      <c r="M435" s="36"/>
      <c r="N435" s="33"/>
      <c r="O435" s="54"/>
      <c r="P435" s="54"/>
      <c r="Q435" s="54"/>
    </row>
    <row r="436" spans="1:19">
      <c r="A436" s="41"/>
      <c r="B436" s="19"/>
      <c r="C436" s="31"/>
      <c r="D436" s="67"/>
      <c r="E436" s="32"/>
      <c r="F436" s="33"/>
      <c r="G436" s="34"/>
      <c r="H436" s="35">
        <f t="shared" si="190"/>
        <v>0</v>
      </c>
      <c r="I436" s="20">
        <f t="shared" si="191"/>
        <v>0</v>
      </c>
      <c r="J436" s="33"/>
      <c r="K436" s="37">
        <f t="shared" si="192"/>
        <v>0</v>
      </c>
      <c r="L436" s="36">
        <f t="shared" si="193"/>
        <v>0</v>
      </c>
      <c r="M436" s="36"/>
      <c r="N436" s="33"/>
      <c r="O436" s="54"/>
      <c r="P436" s="54"/>
      <c r="Q436" s="54"/>
    </row>
    <row r="437" spans="1:19">
      <c r="A437" s="41"/>
      <c r="B437" s="19"/>
      <c r="C437" s="31"/>
      <c r="D437" s="67"/>
      <c r="E437" s="32"/>
      <c r="F437" s="33"/>
      <c r="G437" s="34">
        <f>IFERROR(VLOOKUP($B437,$T$1:$AB$34,5,0),0)</f>
        <v>0</v>
      </c>
      <c r="H437" s="35">
        <f t="shared" si="190"/>
        <v>0</v>
      </c>
      <c r="I437" s="20">
        <f t="shared" si="191"/>
        <v>0</v>
      </c>
      <c r="J437" s="33"/>
      <c r="K437" s="37">
        <f t="shared" si="192"/>
        <v>0</v>
      </c>
      <c r="L437" s="36">
        <f t="shared" si="193"/>
        <v>0</v>
      </c>
      <c r="M437" s="36"/>
      <c r="N437" s="33"/>
      <c r="O437" s="54"/>
      <c r="P437" s="54"/>
      <c r="Q437" s="54"/>
    </row>
    <row r="438" spans="1:19">
      <c r="A438" s="41"/>
      <c r="B438" s="19" t="s">
        <v>89</v>
      </c>
      <c r="C438" s="18"/>
      <c r="D438" s="67"/>
      <c r="E438" s="32"/>
      <c r="F438" s="33"/>
      <c r="G438" s="34">
        <f>IFERROR(VLOOKUP($B438,$T$1:$AB$34,5,0),0)</f>
        <v>-20</v>
      </c>
      <c r="H438" s="35">
        <f t="shared" si="190"/>
        <v>0</v>
      </c>
      <c r="I438" s="20">
        <f t="shared" si="191"/>
        <v>0</v>
      </c>
      <c r="J438" s="33"/>
      <c r="K438" s="37">
        <f t="shared" si="192"/>
        <v>0</v>
      </c>
      <c r="L438" s="36">
        <f t="shared" si="193"/>
        <v>0</v>
      </c>
      <c r="M438" s="36"/>
      <c r="N438" s="33"/>
      <c r="O438" s="54"/>
      <c r="P438" s="54"/>
      <c r="Q438" s="54"/>
    </row>
    <row r="439" spans="1:19">
      <c r="A439" s="43"/>
      <c r="B439" s="44"/>
      <c r="C439" s="45"/>
      <c r="D439" s="68"/>
      <c r="E439" s="46"/>
      <c r="F439" s="47"/>
      <c r="G439" s="48"/>
      <c r="H439" s="49"/>
      <c r="I439" s="50">
        <f>SUM(I433:I438)</f>
        <v>8.9090909090909101</v>
      </c>
      <c r="J439" s="47"/>
      <c r="K439" s="47">
        <f>AVERAGE(K433:K438)</f>
        <v>4.229166666666667</v>
      </c>
      <c r="L439" s="47">
        <f>AVERAGE(L433:L438)</f>
        <v>4.229166666666667</v>
      </c>
      <c r="M439" s="50">
        <f>(L439*8)/K439</f>
        <v>8</v>
      </c>
      <c r="N439" s="47"/>
      <c r="O439" s="47">
        <f>AVERAGE(O428:O438)</f>
        <v>3.1754531319886699</v>
      </c>
      <c r="P439" s="47" t="e">
        <f>AVERAGE(P428:P438)</f>
        <v>#DIV/0!</v>
      </c>
      <c r="Q439" s="50" t="e">
        <f>(O439*8)/P439</f>
        <v>#DIV/0!</v>
      </c>
    </row>
  </sheetData>
  <autoFilter ref="T1:AB36"/>
  <mergeCells count="5">
    <mergeCell ref="R1:R2"/>
    <mergeCell ref="F1:I1"/>
    <mergeCell ref="J1:M1"/>
    <mergeCell ref="N1:Q1"/>
    <mergeCell ref="S1:S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K12" sqref="K12"/>
    </sheetView>
  </sheetViews>
  <sheetFormatPr defaultColWidth="10.75" defaultRowHeight="15.5"/>
  <cols>
    <col min="1" max="1" width="22.75" style="1" customWidth="1"/>
    <col min="2" max="7" width="11.75" style="1" customWidth="1"/>
    <col min="8" max="16384" width="10.75" style="1"/>
  </cols>
  <sheetData>
    <row r="1" spans="1:8">
      <c r="A1" s="281" t="s">
        <v>10</v>
      </c>
      <c r="B1" s="282">
        <v>1</v>
      </c>
    </row>
    <row r="2" spans="1:8">
      <c r="A2" s="281" t="s">
        <v>11</v>
      </c>
      <c r="B2" s="283">
        <v>43467</v>
      </c>
    </row>
    <row r="4" spans="1:8" s="134" customFormat="1" ht="33.75" customHeight="1">
      <c r="A4" s="212" t="s">
        <v>101</v>
      </c>
      <c r="B4" s="212" t="s">
        <v>329</v>
      </c>
      <c r="C4" s="212" t="s">
        <v>330</v>
      </c>
      <c r="D4" s="212" t="s">
        <v>331</v>
      </c>
      <c r="E4" s="212" t="s">
        <v>332</v>
      </c>
      <c r="F4" s="212" t="s">
        <v>333</v>
      </c>
      <c r="G4" s="212" t="s">
        <v>334</v>
      </c>
    </row>
    <row r="5" spans="1:8">
      <c r="A5" s="282" t="s">
        <v>294</v>
      </c>
      <c r="B5" s="285">
        <v>0</v>
      </c>
      <c r="C5" s="285">
        <v>0</v>
      </c>
      <c r="D5" s="285">
        <v>10.55</v>
      </c>
      <c r="E5" s="285"/>
      <c r="F5" s="285">
        <v>10.55</v>
      </c>
      <c r="G5" s="285">
        <v>0</v>
      </c>
      <c r="H5" s="273"/>
    </row>
    <row r="6" spans="1:8">
      <c r="A6" s="282" t="s">
        <v>301</v>
      </c>
      <c r="B6" s="285">
        <v>0</v>
      </c>
      <c r="C6" s="285">
        <v>0</v>
      </c>
      <c r="D6" s="285"/>
      <c r="E6" s="285"/>
      <c r="F6" s="285">
        <v>0</v>
      </c>
      <c r="G6" s="285">
        <v>0</v>
      </c>
      <c r="H6" s="273"/>
    </row>
    <row r="7" spans="1:8">
      <c r="A7" s="282" t="s">
        <v>328</v>
      </c>
      <c r="B7" s="285">
        <v>0</v>
      </c>
      <c r="C7" s="285">
        <v>0</v>
      </c>
      <c r="D7" s="285"/>
      <c r="E7" s="285"/>
      <c r="F7" s="285">
        <v>0</v>
      </c>
      <c r="G7" s="285">
        <v>0</v>
      </c>
      <c r="H7" s="273"/>
    </row>
    <row r="8" spans="1:8">
      <c r="A8" s="282" t="s">
        <v>298</v>
      </c>
      <c r="B8" s="285">
        <v>0</v>
      </c>
      <c r="C8" s="285">
        <v>0</v>
      </c>
      <c r="D8" s="285">
        <v>121.06</v>
      </c>
      <c r="E8" s="285"/>
      <c r="F8" s="285">
        <v>121.06</v>
      </c>
      <c r="G8" s="285">
        <v>0</v>
      </c>
      <c r="H8" s="273"/>
    </row>
    <row r="9" spans="1:8">
      <c r="A9" s="282" t="s">
        <v>300</v>
      </c>
      <c r="B9" s="285">
        <v>0</v>
      </c>
      <c r="C9" s="285">
        <v>0</v>
      </c>
      <c r="D9" s="285"/>
      <c r="E9" s="285"/>
      <c r="F9" s="285">
        <v>0</v>
      </c>
      <c r="G9" s="285">
        <v>0</v>
      </c>
      <c r="H9" s="273"/>
    </row>
    <row r="10" spans="1:8">
      <c r="A10" s="282" t="s">
        <v>327</v>
      </c>
      <c r="B10" s="285">
        <v>0</v>
      </c>
      <c r="C10" s="285">
        <v>0</v>
      </c>
      <c r="D10" s="285"/>
      <c r="E10" s="285"/>
      <c r="F10" s="285">
        <v>0</v>
      </c>
      <c r="G10" s="285">
        <v>0</v>
      </c>
      <c r="H10" s="273"/>
    </row>
    <row r="11" spans="1:8">
      <c r="A11" s="282" t="s">
        <v>326</v>
      </c>
      <c r="B11" s="285">
        <v>0</v>
      </c>
      <c r="C11" s="285">
        <v>0</v>
      </c>
      <c r="D11" s="285"/>
      <c r="E11" s="285"/>
      <c r="F11" s="285">
        <v>0</v>
      </c>
      <c r="G11" s="285">
        <v>0</v>
      </c>
      <c r="H11" s="273"/>
    </row>
    <row r="12" spans="1:8">
      <c r="A12" s="282" t="s">
        <v>312</v>
      </c>
      <c r="B12" s="285">
        <v>102.821</v>
      </c>
      <c r="C12" s="285">
        <v>201.69100000000003</v>
      </c>
      <c r="D12" s="285"/>
      <c r="E12" s="285"/>
      <c r="F12" s="285">
        <v>0</v>
      </c>
      <c r="G12" s="285">
        <v>304.51200000000006</v>
      </c>
      <c r="H12" s="273"/>
    </row>
    <row r="13" spans="1:8">
      <c r="A13" s="282" t="s">
        <v>313</v>
      </c>
      <c r="B13" s="285">
        <v>0</v>
      </c>
      <c r="C13" s="285">
        <v>193.279</v>
      </c>
      <c r="D13" s="285"/>
      <c r="E13" s="285"/>
      <c r="F13" s="285">
        <v>0</v>
      </c>
      <c r="G13" s="285">
        <v>193.279</v>
      </c>
      <c r="H13" s="273"/>
    </row>
    <row r="14" spans="1:8">
      <c r="A14" s="282" t="s">
        <v>297</v>
      </c>
      <c r="B14" s="285">
        <v>15.572379999999999</v>
      </c>
      <c r="C14" s="285">
        <v>0</v>
      </c>
      <c r="D14" s="285"/>
      <c r="E14" s="285"/>
      <c r="F14" s="285">
        <v>2.0099999999999998</v>
      </c>
      <c r="G14" s="285">
        <v>13.562379999999999</v>
      </c>
      <c r="H14" s="273"/>
    </row>
    <row r="15" spans="1:8">
      <c r="A15" s="282" t="s">
        <v>293</v>
      </c>
      <c r="B15" s="285">
        <v>9.9000000000000032E-2</v>
      </c>
      <c r="C15" s="285">
        <v>0</v>
      </c>
      <c r="D15" s="285">
        <v>5.4</v>
      </c>
      <c r="E15" s="285"/>
      <c r="F15" s="285">
        <v>0.67500000000000004</v>
      </c>
      <c r="G15" s="285">
        <v>4.8240000000000007</v>
      </c>
      <c r="H15" s="273"/>
    </row>
    <row r="16" spans="1:8">
      <c r="A16" s="282" t="s">
        <v>290</v>
      </c>
      <c r="B16" s="285">
        <v>134.80000000000001</v>
      </c>
      <c r="C16" s="285">
        <v>0</v>
      </c>
      <c r="D16" s="285"/>
      <c r="E16" s="285"/>
      <c r="F16" s="285">
        <v>74</v>
      </c>
      <c r="G16" s="285">
        <v>60.800000000000011</v>
      </c>
      <c r="H16" s="273"/>
    </row>
    <row r="17" spans="1:8">
      <c r="A17" s="282" t="s">
        <v>8</v>
      </c>
      <c r="B17" s="285">
        <v>0</v>
      </c>
      <c r="C17" s="285">
        <v>0</v>
      </c>
      <c r="D17" s="285"/>
      <c r="E17" s="285"/>
      <c r="F17" s="285">
        <v>0</v>
      </c>
      <c r="G17" s="285">
        <v>0</v>
      </c>
      <c r="H17" s="273"/>
    </row>
    <row r="18" spans="1:8">
      <c r="A18" s="282" t="s">
        <v>292</v>
      </c>
      <c r="B18" s="285">
        <v>0</v>
      </c>
      <c r="C18" s="285">
        <v>0</v>
      </c>
      <c r="D18" s="285"/>
      <c r="E18" s="285"/>
      <c r="F18" s="285">
        <v>0</v>
      </c>
      <c r="G18" s="285">
        <v>0</v>
      </c>
      <c r="H18" s="273"/>
    </row>
    <row r="19" spans="1:8">
      <c r="A19" s="282" t="s">
        <v>299</v>
      </c>
      <c r="B19" s="285">
        <v>0</v>
      </c>
      <c r="C19" s="285">
        <v>0</v>
      </c>
      <c r="D19" s="285">
        <v>122</v>
      </c>
      <c r="E19" s="285"/>
      <c r="F19" s="285">
        <v>122</v>
      </c>
      <c r="G19" s="285">
        <v>0</v>
      </c>
      <c r="H19" s="273"/>
    </row>
    <row r="20" spans="1:8">
      <c r="A20" s="282" t="s">
        <v>309</v>
      </c>
      <c r="B20" s="285">
        <v>64</v>
      </c>
      <c r="C20" s="285">
        <v>0</v>
      </c>
      <c r="D20" s="285"/>
      <c r="E20" s="285"/>
      <c r="F20" s="285">
        <v>64</v>
      </c>
      <c r="G20" s="285">
        <v>0</v>
      </c>
      <c r="H20" s="273"/>
    </row>
    <row r="21" spans="1:8">
      <c r="A21" s="282" t="s">
        <v>296</v>
      </c>
      <c r="B21" s="285">
        <v>0</v>
      </c>
      <c r="C21" s="285">
        <v>0</v>
      </c>
      <c r="D21" s="285">
        <v>5.2958699999999999</v>
      </c>
      <c r="E21" s="285"/>
      <c r="F21" s="285">
        <v>0.67500000000000004</v>
      </c>
      <c r="G21" s="285">
        <v>4.62087</v>
      </c>
      <c r="H21" s="273"/>
    </row>
    <row r="22" spans="1:8">
      <c r="B22" s="273"/>
      <c r="C22" s="273"/>
      <c r="D22" s="273"/>
      <c r="E22" s="273"/>
      <c r="F22" s="273"/>
      <c r="G22" s="273"/>
      <c r="H22" s="273"/>
    </row>
  </sheetData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9"/>
  <sheetViews>
    <sheetView workbookViewId="0">
      <selection activeCell="G10" sqref="G10"/>
    </sheetView>
  </sheetViews>
  <sheetFormatPr defaultColWidth="9" defaultRowHeight="15.5"/>
  <cols>
    <col min="1" max="1" width="9.25" style="325" customWidth="1"/>
    <col min="2" max="2" width="11.4140625" style="325" customWidth="1"/>
    <col min="3" max="3" width="7.25" style="325" customWidth="1"/>
    <col min="4" max="4" width="1.33203125" style="325" customWidth="1"/>
    <col min="5" max="5" width="5.9140625" style="325" customWidth="1"/>
    <col min="6" max="6" width="0.4140625" style="325" customWidth="1"/>
    <col min="7" max="7" width="12.25" style="325" customWidth="1"/>
    <col min="8" max="8" width="1.75" style="325" customWidth="1"/>
    <col min="9" max="9" width="5.08203125" style="325" customWidth="1"/>
    <col min="10" max="10" width="0.6640625" style="325" customWidth="1"/>
    <col min="11" max="11" width="6.4140625" style="325" customWidth="1"/>
    <col min="12" max="12" width="5.08203125" style="325" customWidth="1"/>
    <col min="13" max="13" width="8.08203125" style="325" customWidth="1"/>
    <col min="14" max="14" width="7.75" style="325" customWidth="1"/>
    <col min="15" max="15" width="9.75" style="325" customWidth="1"/>
    <col min="16" max="16" width="9" style="325" customWidth="1"/>
    <col min="17" max="17" width="13.9140625" style="325" bestFit="1" customWidth="1"/>
    <col min="18" max="18" width="9" style="325" customWidth="1"/>
    <col min="19" max="19" width="11.08203125" style="325" bestFit="1" customWidth="1"/>
    <col min="20" max="20" width="18.33203125" style="325" bestFit="1" customWidth="1"/>
    <col min="21" max="21" width="32" style="325" customWidth="1"/>
    <col min="22" max="22" width="24.33203125" style="325" bestFit="1" customWidth="1"/>
    <col min="23" max="23" width="22.08203125" style="325" customWidth="1"/>
    <col min="24" max="24" width="14.75" style="325" customWidth="1"/>
    <col min="25" max="25" width="9" style="325" customWidth="1"/>
    <col min="26" max="16384" width="9" style="325"/>
  </cols>
  <sheetData>
    <row r="1" spans="1:25" ht="5.25" customHeight="1"/>
    <row r="2" spans="1:25">
      <c r="C2" s="512" t="s">
        <v>368</v>
      </c>
      <c r="D2" s="512"/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</row>
    <row r="3" spans="1:25" ht="20.25" customHeight="1">
      <c r="C3" s="512" t="s">
        <v>615</v>
      </c>
      <c r="D3" s="512"/>
      <c r="E3" s="512"/>
      <c r="F3" s="512"/>
      <c r="G3" s="512"/>
      <c r="H3" s="512"/>
      <c r="I3" s="512"/>
      <c r="J3" s="512"/>
      <c r="K3" s="512"/>
      <c r="L3" s="512"/>
      <c r="M3" s="512"/>
      <c r="N3" s="512"/>
      <c r="O3" s="512"/>
      <c r="S3" s="329" t="s">
        <v>154</v>
      </c>
      <c r="T3" s="329" t="s">
        <v>148</v>
      </c>
      <c r="U3" s="377" t="s">
        <v>616</v>
      </c>
      <c r="V3" s="328" t="s">
        <v>617</v>
      </c>
      <c r="W3" s="327" t="s">
        <v>618</v>
      </c>
      <c r="X3" s="327" t="s">
        <v>619</v>
      </c>
    </row>
    <row r="4" spans="1:25">
      <c r="C4" s="512" t="s">
        <v>620</v>
      </c>
      <c r="D4" s="512"/>
      <c r="E4" s="512"/>
      <c r="F4" s="512"/>
      <c r="G4" s="512"/>
      <c r="H4" s="512"/>
      <c r="I4" s="512"/>
      <c r="J4" s="512"/>
      <c r="K4" s="512"/>
      <c r="L4" s="512"/>
      <c r="M4" s="512"/>
      <c r="N4" s="512"/>
      <c r="O4" s="512"/>
      <c r="S4" s="329" t="s">
        <v>156</v>
      </c>
      <c r="T4" s="329" t="s">
        <v>148</v>
      </c>
      <c r="U4" s="383" t="s">
        <v>596</v>
      </c>
      <c r="V4" s="361" t="s">
        <v>670</v>
      </c>
      <c r="W4" s="361" t="s">
        <v>881</v>
      </c>
      <c r="X4" s="361"/>
      <c r="Y4" s="330" t="s">
        <v>885</v>
      </c>
    </row>
    <row r="5" spans="1:25" ht="2.25" customHeight="1">
      <c r="C5" s="335"/>
      <c r="D5" s="335"/>
      <c r="E5" s="335"/>
      <c r="F5" s="335"/>
      <c r="G5" s="335"/>
      <c r="H5" s="335"/>
      <c r="I5" s="335"/>
      <c r="J5" s="335"/>
      <c r="K5" s="335"/>
      <c r="L5" s="335"/>
      <c r="M5" s="335"/>
      <c r="N5" s="335"/>
      <c r="O5" s="335"/>
      <c r="S5" s="329" t="s">
        <v>568</v>
      </c>
      <c r="T5" s="329" t="s">
        <v>148</v>
      </c>
      <c r="U5" s="383" t="s">
        <v>110</v>
      </c>
      <c r="V5" s="361" t="s">
        <v>670</v>
      </c>
      <c r="W5" s="361" t="s">
        <v>881</v>
      </c>
      <c r="X5" s="329"/>
      <c r="Y5" s="330" t="s">
        <v>886</v>
      </c>
    </row>
    <row r="6" spans="1:25" ht="14.25" customHeight="1">
      <c r="C6" s="512" t="s">
        <v>883</v>
      </c>
      <c r="D6" s="512"/>
      <c r="E6" s="512"/>
      <c r="F6" s="512"/>
      <c r="G6" s="512"/>
      <c r="H6" s="512"/>
      <c r="I6" s="512"/>
      <c r="J6" s="512"/>
      <c r="K6" s="512"/>
      <c r="L6" s="512"/>
      <c r="M6" s="512"/>
      <c r="N6" s="512"/>
      <c r="O6" s="512"/>
      <c r="S6" s="329" t="s">
        <v>569</v>
      </c>
      <c r="T6" s="329" t="s">
        <v>148</v>
      </c>
      <c r="U6" s="378" t="s">
        <v>597</v>
      </c>
      <c r="V6" s="361" t="s">
        <v>670</v>
      </c>
      <c r="W6" s="361" t="s">
        <v>881</v>
      </c>
      <c r="X6" s="329"/>
      <c r="Y6" s="330" t="s">
        <v>887</v>
      </c>
    </row>
    <row r="7" spans="1:25" ht="4.5" customHeight="1">
      <c r="A7" s="391"/>
      <c r="B7" s="391"/>
      <c r="C7" s="335"/>
      <c r="D7" s="335"/>
      <c r="E7" s="335"/>
      <c r="F7" s="335"/>
      <c r="G7" s="335"/>
      <c r="H7" s="335"/>
      <c r="I7" s="335"/>
      <c r="J7" s="335"/>
      <c r="K7" s="335"/>
      <c r="L7" s="335"/>
      <c r="M7" s="335"/>
      <c r="N7" s="335"/>
      <c r="O7" s="335"/>
      <c r="S7" s="329" t="s">
        <v>160</v>
      </c>
      <c r="T7" s="329" t="s">
        <v>148</v>
      </c>
      <c r="U7" s="384" t="s">
        <v>598</v>
      </c>
      <c r="V7" s="361" t="s">
        <v>670</v>
      </c>
      <c r="W7" s="361" t="s">
        <v>881</v>
      </c>
      <c r="X7" s="329"/>
      <c r="Y7" s="330" t="s">
        <v>888</v>
      </c>
    </row>
    <row r="8" spans="1:25">
      <c r="A8" s="394" t="s">
        <v>630</v>
      </c>
      <c r="B8" s="515" t="str">
        <f ca="1">VLOOKUP($I$9,$U$4:$Y$107,5,FALSE)&amp;":"&amp;YEAR(I8)&amp;"-"&amp;MONTH(I8)&amp;"-"&amp;DAY(I8)</f>
        <v>VHM7:2019-9-25</v>
      </c>
      <c r="C8" s="515"/>
      <c r="D8" s="396" t="s">
        <v>631</v>
      </c>
      <c r="E8" s="513"/>
      <c r="F8" s="513"/>
      <c r="G8" s="397" t="s">
        <v>814</v>
      </c>
      <c r="H8" s="398" t="s">
        <v>631</v>
      </c>
      <c r="I8" s="514">
        <f ca="1">TODAY()-2</f>
        <v>43733</v>
      </c>
      <c r="J8" s="514"/>
      <c r="K8" s="514"/>
      <c r="L8" s="514"/>
      <c r="M8" s="514"/>
      <c r="N8" s="514"/>
      <c r="O8" s="514"/>
      <c r="S8" s="329" t="s">
        <v>162</v>
      </c>
      <c r="T8" s="329" t="s">
        <v>148</v>
      </c>
      <c r="U8" s="385" t="s">
        <v>599</v>
      </c>
      <c r="V8" s="361" t="s">
        <v>670</v>
      </c>
      <c r="W8" s="361" t="s">
        <v>881</v>
      </c>
      <c r="X8" s="329"/>
      <c r="Y8" s="330" t="s">
        <v>889</v>
      </c>
    </row>
    <row r="9" spans="1:25">
      <c r="A9" s="394" t="s">
        <v>880</v>
      </c>
      <c r="B9" s="515" t="str">
        <f>VLOOKUP($I$9,$U$4:$X$107,3,FALSE)</f>
        <v>VH máy</v>
      </c>
      <c r="C9" s="515"/>
      <c r="D9" s="396" t="s">
        <v>631</v>
      </c>
      <c r="E9" s="396"/>
      <c r="F9" s="396"/>
      <c r="G9" s="397" t="s">
        <v>895</v>
      </c>
      <c r="H9" s="429" t="s">
        <v>631</v>
      </c>
      <c r="I9" s="516" t="s">
        <v>600</v>
      </c>
      <c r="J9" s="516"/>
      <c r="K9" s="516"/>
      <c r="L9" s="516"/>
      <c r="M9" s="516"/>
      <c r="N9" s="516"/>
      <c r="O9" s="516"/>
      <c r="Q9" s="367" t="s">
        <v>672</v>
      </c>
      <c r="S9" s="329" t="s">
        <v>560</v>
      </c>
      <c r="T9" s="329" t="s">
        <v>148</v>
      </c>
      <c r="U9" s="383" t="s">
        <v>29</v>
      </c>
      <c r="V9" s="361" t="s">
        <v>670</v>
      </c>
      <c r="W9" s="361" t="s">
        <v>881</v>
      </c>
      <c r="X9" s="329"/>
      <c r="Y9" s="330" t="s">
        <v>890</v>
      </c>
    </row>
    <row r="10" spans="1:25" s="340" customFormat="1">
      <c r="A10" s="400" t="s">
        <v>804</v>
      </c>
      <c r="B10" s="401" t="s">
        <v>160</v>
      </c>
      <c r="C10" s="394" t="s">
        <v>639</v>
      </c>
      <c r="D10" s="398" t="s">
        <v>631</v>
      </c>
      <c r="E10" s="401">
        <f t="array" aca="1" ref="E10" ca="1">MIN(IF('DATA VAN HANH'!$B:$B=VHM!$I$8,IF('DATA VAN HANH'!$H:$H=VHM!$I$9,IF('DATA VAN HANH'!$K:$K=VHM!$R$10,'DATA VAN HANH'!$L:$L))))</f>
        <v>0</v>
      </c>
      <c r="F10" s="402"/>
      <c r="G10" s="397" t="s">
        <v>640</v>
      </c>
      <c r="H10" s="398" t="s">
        <v>631</v>
      </c>
      <c r="I10" s="401">
        <f t="array" aca="1" ref="I10" ca="1">MAX(IF('DATA VAN HANH'!$B:$B=VHM!$I$8,IF('DATA VAN HANH'!$H:$H=VHM!$I$9,IF('DATA VAN HANH'!$K:$K=VHM!$R$10,'DATA VAN HANH'!$M:$M))))</f>
        <v>0</v>
      </c>
      <c r="J10" s="403"/>
      <c r="K10" s="400" t="s">
        <v>813</v>
      </c>
      <c r="L10" s="404">
        <f ca="1">($I$10-$E$10)*24-$E$16-$E$15</f>
        <v>0</v>
      </c>
      <c r="M10" s="400" t="s">
        <v>802</v>
      </c>
      <c r="N10" s="405">
        <f t="array" aca="1" ref="N10" ca="1">SUMIFS('DATA VAN HANH'!$S:$S,'DATA VAN HANH'!$H:$H,VHM!$I$9:$O$9,'DATA VAN HANH'!$B:$B,VHM!$I$8:$K$8,'DATA VAN HANH'!$K:$K,$R$10)</f>
        <v>0</v>
      </c>
      <c r="O10" s="395"/>
      <c r="Q10" s="365" t="s">
        <v>817</v>
      </c>
      <c r="R10" s="392" t="s">
        <v>790</v>
      </c>
      <c r="S10" s="371" t="s">
        <v>562</v>
      </c>
      <c r="T10" s="362" t="s">
        <v>148</v>
      </c>
      <c r="U10" s="383" t="s">
        <v>600</v>
      </c>
      <c r="V10" s="329" t="s">
        <v>49</v>
      </c>
      <c r="W10" s="361" t="s">
        <v>881</v>
      </c>
      <c r="X10" s="329"/>
      <c r="Y10" s="330" t="s">
        <v>891</v>
      </c>
    </row>
    <row r="11" spans="1:25" s="340" customFormat="1">
      <c r="A11" s="400" t="s">
        <v>804</v>
      </c>
      <c r="B11" s="401"/>
      <c r="C11" s="394" t="s">
        <v>642</v>
      </c>
      <c r="D11" s="398" t="s">
        <v>631</v>
      </c>
      <c r="E11" s="401">
        <f t="array" aca="1" ref="E11" ca="1">MIN(IF('DATA VAN HANH'!$B:$B=VHM!$I$8,IF('DATA VAN HANH'!$H:$H=VHM!$I$9,IF('DATA VAN HANH'!$K:$K=VHM!$R$11,'DATA VAN HANH'!$L:$L))))</f>
        <v>0</v>
      </c>
      <c r="F11" s="402"/>
      <c r="G11" s="397" t="s">
        <v>643</v>
      </c>
      <c r="H11" s="398" t="s">
        <v>631</v>
      </c>
      <c r="I11" s="401">
        <f t="array" aca="1" ref="I11" ca="1">MAX(IF('DATA VAN HANH'!$B:$B=VHM!$I$8,IF('DATA VAN HANH'!$H:$H=VHM!$I$9,IF('DATA VAN HANH'!$K:$K=VHM!$R$11,'DATA VAN HANH'!$M:$M))))</f>
        <v>0</v>
      </c>
      <c r="J11" s="403"/>
      <c r="K11" s="400" t="s">
        <v>813</v>
      </c>
      <c r="L11" s="404">
        <f ca="1">($I$11-$E$11)*24</f>
        <v>0</v>
      </c>
      <c r="M11" s="400" t="s">
        <v>802</v>
      </c>
      <c r="N11" s="405">
        <f t="array" aca="1" ref="N11" ca="1">SUMIFS('DATA VAN HANH'!$S:$S,'DATA VAN HANH'!$H:$H,VHM!$I$9:$O$9,'DATA VAN HANH'!$B:$B,VHM!$I$8:$K$8,'DATA VAN HANH'!$K:$K,$R$11)</f>
        <v>0</v>
      </c>
      <c r="O11" s="395"/>
      <c r="Q11" s="365" t="s">
        <v>817</v>
      </c>
      <c r="R11" s="392" t="s">
        <v>791</v>
      </c>
      <c r="S11" s="371" t="s">
        <v>673</v>
      </c>
      <c r="T11" s="362" t="s">
        <v>148</v>
      </c>
      <c r="U11" s="383" t="s">
        <v>603</v>
      </c>
      <c r="V11" s="329" t="s">
        <v>49</v>
      </c>
      <c r="W11" s="361" t="s">
        <v>881</v>
      </c>
      <c r="X11" s="361"/>
      <c r="Y11" s="330" t="s">
        <v>892</v>
      </c>
    </row>
    <row r="12" spans="1:25" s="340" customFormat="1">
      <c r="A12" s="400" t="s">
        <v>804</v>
      </c>
      <c r="B12" s="401"/>
      <c r="C12" s="394" t="s">
        <v>644</v>
      </c>
      <c r="D12" s="398"/>
      <c r="E12" s="401">
        <f t="array" aca="1" ref="E12" ca="1">MIN(IF('DATA VAN HANH'!$B:$B=VHM!$I$8,IF('DATA VAN HANH'!$H:$H=VHM!$I$9,IF('DATA VAN HANH'!$K:$K=VHM!$R$12,'DATA VAN HANH'!$L:$L))))</f>
        <v>0</v>
      </c>
      <c r="F12" s="402"/>
      <c r="G12" s="397" t="s">
        <v>645</v>
      </c>
      <c r="H12" s="398"/>
      <c r="I12" s="401">
        <f t="array" aca="1" ref="I12" ca="1">MAX(IF('DATA VAN HANH'!$B:$B=VHM!$I$8,IF('DATA VAN HANH'!$H:$H=VHM!$I$9,IF('DATA VAN HANH'!$K:$K=VHM!$R$12,'DATA VAN HANH'!$M:$M))))</f>
        <v>0</v>
      </c>
      <c r="J12" s="403"/>
      <c r="K12" s="400" t="s">
        <v>813</v>
      </c>
      <c r="L12" s="404">
        <f ca="1">($I$12-$E$12)*24</f>
        <v>0</v>
      </c>
      <c r="M12" s="400" t="s">
        <v>802</v>
      </c>
      <c r="N12" s="405">
        <f t="array" aca="1" ref="N12" ca="1">SUMIFS('DATA VAN HANH'!$S:$S,'DATA VAN HANH'!$H:$H,VHM!$I$9:$O$9,'DATA VAN HANH'!$B:$B,VHM!$I$8:$K$8,'DATA VAN HANH'!$K:$K,$R$12)</f>
        <v>0</v>
      </c>
      <c r="O12" s="395"/>
      <c r="Q12" s="365" t="s">
        <v>817</v>
      </c>
      <c r="R12" s="374" t="s">
        <v>792</v>
      </c>
      <c r="S12" s="371"/>
      <c r="T12" s="362"/>
      <c r="U12" s="378" t="s">
        <v>812</v>
      </c>
      <c r="V12" s="329" t="s">
        <v>49</v>
      </c>
      <c r="W12" s="361" t="s">
        <v>881</v>
      </c>
      <c r="X12" s="329"/>
      <c r="Y12" s="330" t="s">
        <v>893</v>
      </c>
    </row>
    <row r="13" spans="1:25" s="340" customFormat="1">
      <c r="A13" s="400" t="s">
        <v>804</v>
      </c>
      <c r="B13" s="401"/>
      <c r="C13" s="394" t="s">
        <v>783</v>
      </c>
      <c r="D13" s="398" t="s">
        <v>631</v>
      </c>
      <c r="E13" s="401">
        <f t="array" aca="1" ref="E13" ca="1">MIN(IF('DATA VAN HANH'!$B:$B=VHM!$I$8,IF('DATA VAN HANH'!$H:$H=VHM!$I$9,IF('DATA VAN HANH'!$K:$K=VHM!$R$13,'DATA VAN HANH'!$L:$L))))</f>
        <v>0</v>
      </c>
      <c r="F13" s="396"/>
      <c r="G13" s="397" t="s">
        <v>786</v>
      </c>
      <c r="H13" s="398" t="s">
        <v>631</v>
      </c>
      <c r="I13" s="401">
        <f t="array" aca="1" ref="I13" ca="1">MAX(IF('DATA VAN HANH'!$B:$B=VHM!$I$8,IF('DATA VAN HANH'!$H:$H=VHM!$I$9,IF('DATA VAN HANH'!$K:$K=VHM!$R$13,'DATA VAN HANH'!$M:$M))))</f>
        <v>0</v>
      </c>
      <c r="J13" s="395"/>
      <c r="K13" s="400" t="s">
        <v>813</v>
      </c>
      <c r="L13" s="404">
        <f ca="1">($I$13-$E$13)*24</f>
        <v>0</v>
      </c>
      <c r="M13" s="400" t="s">
        <v>802</v>
      </c>
      <c r="N13" s="405">
        <f t="array" aca="1" ref="N13" ca="1">SUMIFS('DATA VAN HANH'!$S:$S,'DATA VAN HANH'!$H:$H,VHM!$I$9:$O$9,'DATA VAN HANH'!$B:$B,VHM!$I$8:$K$8,'DATA VAN HANH'!$K:$K,R13)</f>
        <v>0</v>
      </c>
      <c r="O13" s="395"/>
      <c r="Q13" s="365" t="s">
        <v>817</v>
      </c>
      <c r="R13" s="392" t="s">
        <v>793</v>
      </c>
      <c r="S13" s="371" t="s">
        <v>675</v>
      </c>
      <c r="T13" s="362" t="s">
        <v>148</v>
      </c>
      <c r="U13" s="378"/>
      <c r="V13" s="329"/>
      <c r="W13" s="361"/>
      <c r="X13" s="329"/>
      <c r="Y13" s="330" t="s">
        <v>894</v>
      </c>
    </row>
    <row r="14" spans="1:25" s="340" customFormat="1">
      <c r="A14" s="400" t="s">
        <v>804</v>
      </c>
      <c r="B14" s="401"/>
      <c r="C14" s="394" t="s">
        <v>784</v>
      </c>
      <c r="D14" s="398" t="s">
        <v>631</v>
      </c>
      <c r="E14" s="401">
        <f t="array" aca="1" ref="E14" ca="1">MIN(IF('DATA VAN HANH'!$B:$B=VHM!$I$8,IF('DATA VAN HANH'!$H:$H=VHM!$I$9,IF('DATA VAN HANH'!$K:$K=VHM!$R$14,'DATA VAN HANH'!$L:$L))))</f>
        <v>0</v>
      </c>
      <c r="F14" s="396"/>
      <c r="G14" s="397" t="s">
        <v>787</v>
      </c>
      <c r="H14" s="398" t="s">
        <v>631</v>
      </c>
      <c r="I14" s="401">
        <f t="array" aca="1" ref="I14" ca="1">MAX(IF('DATA VAN HANH'!$B:$B=VHM!$I$8,IF('DATA VAN HANH'!$H:$H=VHM!$I$9,IF('DATA VAN HANH'!$K:$K=VHM!$R$14,'DATA VAN HANH'!$M:$M))))</f>
        <v>0</v>
      </c>
      <c r="J14" s="395"/>
      <c r="K14" s="400" t="s">
        <v>813</v>
      </c>
      <c r="L14" s="404">
        <f ca="1">($I$14-$E$14)*24</f>
        <v>0</v>
      </c>
      <c r="M14" s="400" t="s">
        <v>802</v>
      </c>
      <c r="N14" s="405">
        <f t="array" aca="1" ref="N14" ca="1">SUMIFS('DATA VAN HANH'!$S:$S,'DATA VAN HANH'!$H:$H,VHM!$I$9:$O$9,'DATA VAN HANH'!$B:$B,VHM!$I$8:$K$8,'DATA VAN HANH'!$K:$K,R14)</f>
        <v>0</v>
      </c>
      <c r="O14" s="395"/>
      <c r="Q14" s="365" t="s">
        <v>817</v>
      </c>
      <c r="R14" s="392"/>
      <c r="S14" s="371" t="s">
        <v>677</v>
      </c>
      <c r="T14" s="362" t="s">
        <v>148</v>
      </c>
      <c r="U14" s="378"/>
      <c r="V14" s="329"/>
      <c r="W14" s="329"/>
      <c r="X14" s="329"/>
      <c r="Y14" s="330"/>
    </row>
    <row r="15" spans="1:25" s="340" customFormat="1">
      <c r="A15" s="522" t="s">
        <v>647</v>
      </c>
      <c r="B15" s="522"/>
      <c r="C15" s="406"/>
      <c r="D15" s="398" t="s">
        <v>631</v>
      </c>
      <c r="E15" s="407">
        <f t="array" aca="1" ref="E15" ca="1">SUMIFS('DATA VAN HANH'!$O:$O,'DATA VAN HANH'!$H:$H,VHM!$I$9:$O$9,'DATA VAN HANH'!$B:$B,VHM!$I$8:$K$8)*24</f>
        <v>0</v>
      </c>
      <c r="F15" s="408"/>
      <c r="G15" s="517" t="s">
        <v>648</v>
      </c>
      <c r="H15" s="519" t="s">
        <v>631</v>
      </c>
      <c r="I15" s="527">
        <f ca="1">SUMIFS('DATA VAN HANH'!$R:$R,'DATA VAN HANH'!$H:$H,VHM!$I$9:$O$9,'DATA VAN HANH'!$B:$B,VHM!$I$8:$K$8)*24</f>
        <v>0</v>
      </c>
      <c r="J15" s="527"/>
      <c r="K15" s="395"/>
      <c r="L15" s="395"/>
      <c r="M15" s="395"/>
      <c r="N15" s="395"/>
      <c r="O15" s="395"/>
      <c r="Q15" s="365" t="s">
        <v>817</v>
      </c>
      <c r="R15" s="374"/>
      <c r="S15" s="371"/>
      <c r="T15" s="362"/>
      <c r="U15" s="378"/>
      <c r="V15" s="329"/>
      <c r="W15" s="329"/>
      <c r="X15" s="329"/>
      <c r="Y15" s="330"/>
    </row>
    <row r="16" spans="1:25" s="340" customFormat="1">
      <c r="A16" s="522" t="s">
        <v>650</v>
      </c>
      <c r="B16" s="522"/>
      <c r="C16" s="430"/>
      <c r="D16" s="398" t="s">
        <v>631</v>
      </c>
      <c r="E16" s="407">
        <f t="array" aca="1" ref="E16" ca="1">SUMIFS('DATA VAN HANH'!$N:$N,'DATA VAN HANH'!$H:$H,VHM!$I$9:$O$9,'DATA VAN HANH'!$B:$B,VHM!$I$8:$K$8)*24</f>
        <v>0</v>
      </c>
      <c r="F16" s="408"/>
      <c r="G16" s="518"/>
      <c r="H16" s="519"/>
      <c r="I16" s="527"/>
      <c r="J16" s="527"/>
      <c r="K16" s="395"/>
      <c r="L16" s="395"/>
      <c r="M16" s="395"/>
      <c r="N16" s="395"/>
      <c r="O16" s="395"/>
      <c r="Q16" s="365" t="s">
        <v>817</v>
      </c>
      <c r="R16" s="393"/>
      <c r="S16" s="371" t="s">
        <v>565</v>
      </c>
      <c r="T16" s="362" t="s">
        <v>148</v>
      </c>
      <c r="U16" s="378"/>
      <c r="V16" s="329"/>
      <c r="W16" s="329"/>
      <c r="X16" s="329"/>
      <c r="Y16" s="330"/>
    </row>
    <row r="17" spans="1:25" s="340" customFormat="1">
      <c r="A17" s="522"/>
      <c r="B17" s="522"/>
      <c r="C17" s="406"/>
      <c r="D17" s="398"/>
      <c r="E17" s="396"/>
      <c r="F17" s="396"/>
      <c r="G17" s="542" t="s">
        <v>1000</v>
      </c>
      <c r="H17" s="398"/>
      <c r="I17" s="541">
        <f ca="1">SUMIFS('DATA VAN HANH'!$S:$S,'DATA VAN HANH'!$H:$H,VHM!$I$9:$O$9,'DATA VAN HANH'!$B:$B,VHM!$I$8:$K$8)</f>
        <v>0</v>
      </c>
      <c r="J17" s="541"/>
      <c r="K17" s="398"/>
      <c r="L17" s="519" t="s">
        <v>1001</v>
      </c>
      <c r="M17" s="519"/>
      <c r="N17" s="519"/>
      <c r="O17" s="395"/>
      <c r="Q17" s="365" t="s">
        <v>817</v>
      </c>
      <c r="R17" s="393"/>
      <c r="S17" s="371" t="s">
        <v>679</v>
      </c>
      <c r="T17" s="362" t="s">
        <v>148</v>
      </c>
      <c r="U17" s="378"/>
      <c r="V17" s="329"/>
      <c r="W17" s="329"/>
      <c r="X17" s="329"/>
      <c r="Y17" s="330"/>
    </row>
    <row r="18" spans="1:25" s="340" customFormat="1">
      <c r="A18" s="406"/>
      <c r="B18" s="412"/>
      <c r="C18" s="394"/>
      <c r="D18" s="396"/>
      <c r="E18" s="412"/>
      <c r="F18" s="410"/>
      <c r="G18" s="542"/>
      <c r="H18" s="396"/>
      <c r="I18" s="541"/>
      <c r="J18" s="541"/>
      <c r="K18" s="396"/>
      <c r="L18" s="519"/>
      <c r="M18" s="519"/>
      <c r="N18" s="519"/>
      <c r="O18" s="395"/>
      <c r="Q18" s="365" t="s">
        <v>817</v>
      </c>
      <c r="R18" s="375"/>
      <c r="S18" s="371"/>
      <c r="T18" s="362"/>
      <c r="U18" s="378"/>
      <c r="V18" s="329"/>
      <c r="W18" s="329"/>
      <c r="X18" s="329"/>
      <c r="Y18" s="330"/>
    </row>
    <row r="19" spans="1:25" ht="14.25" customHeight="1">
      <c r="A19" s="406" t="s">
        <v>803</v>
      </c>
      <c r="B19" s="523"/>
      <c r="C19" s="523"/>
      <c r="D19" s="523"/>
      <c r="E19" s="523"/>
      <c r="F19" s="523"/>
      <c r="G19" s="523"/>
      <c r="H19" s="523"/>
      <c r="I19" s="523"/>
      <c r="J19" s="523"/>
      <c r="K19" s="523"/>
      <c r="L19" s="523"/>
      <c r="M19" s="523"/>
      <c r="N19" s="523"/>
      <c r="O19" s="395"/>
      <c r="Q19" s="329"/>
      <c r="R19" s="376"/>
      <c r="S19" s="372" t="s">
        <v>566</v>
      </c>
      <c r="T19" s="329" t="s">
        <v>148</v>
      </c>
      <c r="U19" s="378"/>
      <c r="V19" s="329"/>
      <c r="W19" s="329"/>
      <c r="X19" s="329"/>
      <c r="Y19" s="330"/>
    </row>
    <row r="20" spans="1:25">
      <c r="A20" s="525" t="s">
        <v>655</v>
      </c>
      <c r="B20" s="525"/>
      <c r="C20" s="525"/>
      <c r="D20" s="525"/>
      <c r="E20" s="525"/>
      <c r="F20" s="525"/>
      <c r="G20" s="525"/>
      <c r="H20" s="396"/>
      <c r="I20" s="519" t="s">
        <v>656</v>
      </c>
      <c r="J20" s="519"/>
      <c r="K20" s="519"/>
      <c r="L20" s="519"/>
      <c r="M20" s="519"/>
      <c r="N20" s="428"/>
      <c r="O20" s="395"/>
      <c r="Q20" s="373"/>
      <c r="R20" s="373"/>
      <c r="S20" s="372" t="s">
        <v>680</v>
      </c>
      <c r="T20" s="329" t="s">
        <v>148</v>
      </c>
      <c r="U20" s="378"/>
      <c r="V20" s="329"/>
      <c r="W20" s="329"/>
      <c r="X20" s="329"/>
      <c r="Y20" s="330"/>
    </row>
    <row r="21" spans="1:25">
      <c r="A21" s="413" t="s">
        <v>800</v>
      </c>
      <c r="B21" s="524" t="s">
        <v>801</v>
      </c>
      <c r="C21" s="524"/>
      <c r="D21" s="524"/>
      <c r="E21" s="524"/>
      <c r="F21" s="524"/>
      <c r="G21" s="524"/>
      <c r="H21" s="414"/>
      <c r="I21" s="524" t="s">
        <v>884</v>
      </c>
      <c r="J21" s="524"/>
      <c r="K21" s="524"/>
      <c r="L21" s="524"/>
      <c r="M21" s="524"/>
      <c r="N21" s="428"/>
      <c r="O21" s="396"/>
      <c r="S21" s="372" t="s">
        <v>164</v>
      </c>
      <c r="T21" s="329" t="s">
        <v>681</v>
      </c>
      <c r="U21" s="378"/>
      <c r="V21" s="329"/>
      <c r="W21" s="329"/>
      <c r="X21" s="329"/>
      <c r="Y21" s="330"/>
    </row>
    <row r="22" spans="1:25" ht="20.149999999999999" customHeight="1">
      <c r="A22" s="391"/>
      <c r="B22" s="391"/>
      <c r="C22" s="391"/>
      <c r="D22" s="391"/>
      <c r="E22" s="391"/>
      <c r="F22" s="391"/>
      <c r="G22" s="391"/>
      <c r="H22" s="391"/>
      <c r="I22" s="391"/>
      <c r="J22" s="391"/>
      <c r="K22" s="391"/>
      <c r="L22" s="391"/>
      <c r="M22" s="391"/>
      <c r="N22" s="391"/>
      <c r="O22" s="407"/>
      <c r="S22" s="329" t="s">
        <v>166</v>
      </c>
      <c r="T22" s="329" t="s">
        <v>681</v>
      </c>
      <c r="U22" s="380"/>
      <c r="V22" s="329"/>
      <c r="W22" s="329"/>
      <c r="X22" s="329"/>
      <c r="Y22" s="330"/>
    </row>
    <row r="23" spans="1:25" ht="12" customHeight="1">
      <c r="A23" s="391"/>
      <c r="B23" s="391"/>
      <c r="C23" s="391"/>
      <c r="D23" s="391"/>
      <c r="E23" s="391"/>
      <c r="F23" s="391"/>
      <c r="G23" s="391"/>
      <c r="H23" s="391"/>
      <c r="I23" s="391"/>
      <c r="J23" s="391"/>
      <c r="K23" s="391"/>
      <c r="L23" s="391"/>
      <c r="M23" s="391"/>
      <c r="N23" s="391"/>
      <c r="O23" s="407"/>
      <c r="S23" s="329"/>
      <c r="T23" s="329"/>
      <c r="U23" s="380"/>
      <c r="V23" s="329"/>
      <c r="W23" s="329"/>
      <c r="X23" s="329"/>
      <c r="Y23" s="330"/>
    </row>
    <row r="24" spans="1:25" ht="18.75" customHeight="1">
      <c r="C24" s="427"/>
      <c r="D24" s="324"/>
      <c r="E24" s="324"/>
      <c r="F24" s="324"/>
      <c r="G24" s="520"/>
      <c r="H24" s="520"/>
      <c r="I24" s="520"/>
      <c r="J24" s="427"/>
      <c r="K24" s="324"/>
      <c r="L24" s="324"/>
      <c r="M24" s="324"/>
      <c r="N24" s="324"/>
      <c r="O24" s="396"/>
      <c r="S24" s="329" t="s">
        <v>168</v>
      </c>
      <c r="T24" s="329" t="s">
        <v>681</v>
      </c>
      <c r="U24" s="381"/>
      <c r="V24" s="329"/>
      <c r="W24" s="329"/>
      <c r="X24" s="329"/>
      <c r="Y24" s="330"/>
    </row>
    <row r="25" spans="1:25" ht="20.25" customHeight="1">
      <c r="C25" s="324"/>
      <c r="D25" s="324"/>
      <c r="E25" s="427"/>
      <c r="F25" s="324"/>
      <c r="G25" s="324"/>
      <c r="H25" s="324"/>
      <c r="I25" s="324"/>
      <c r="J25" s="324"/>
      <c r="K25" s="324"/>
      <c r="L25" s="324"/>
      <c r="M25" s="324"/>
      <c r="N25" s="324"/>
      <c r="O25" s="396"/>
      <c r="S25" s="329" t="s">
        <v>170</v>
      </c>
      <c r="T25" s="329" t="s">
        <v>681</v>
      </c>
      <c r="U25" s="381"/>
      <c r="V25" s="329"/>
      <c r="W25" s="329"/>
      <c r="X25" s="329"/>
      <c r="Y25" s="330"/>
    </row>
    <row r="26" spans="1:25" ht="17">
      <c r="A26" s="350"/>
      <c r="B26" s="350"/>
      <c r="C26" s="520"/>
      <c r="D26" s="520"/>
      <c r="E26" s="520"/>
      <c r="F26" s="520"/>
      <c r="G26" s="520"/>
      <c r="H26" s="520"/>
      <c r="I26" s="520"/>
      <c r="J26" s="520"/>
      <c r="K26" s="520"/>
      <c r="L26" s="427"/>
      <c r="M26" s="427"/>
      <c r="N26" s="427"/>
      <c r="O26" s="335"/>
      <c r="S26" s="329" t="s">
        <v>172</v>
      </c>
      <c r="T26" s="329" t="s">
        <v>681</v>
      </c>
      <c r="U26" s="378"/>
      <c r="V26" s="329"/>
      <c r="W26" s="329"/>
      <c r="X26" s="329"/>
      <c r="Y26" s="330"/>
    </row>
    <row r="27" spans="1:25" ht="17">
      <c r="A27" s="350"/>
      <c r="B27" s="350"/>
      <c r="C27" s="526"/>
      <c r="D27" s="526"/>
      <c r="E27" s="526"/>
      <c r="F27" s="526"/>
      <c r="G27" s="526"/>
      <c r="H27" s="526"/>
      <c r="I27" s="526"/>
      <c r="J27" s="526"/>
      <c r="K27" s="526"/>
      <c r="L27" s="425"/>
      <c r="M27" s="425"/>
      <c r="N27" s="425"/>
      <c r="O27" s="335"/>
      <c r="Q27" s="350"/>
      <c r="R27" s="351"/>
      <c r="S27" s="329" t="s">
        <v>173</v>
      </c>
      <c r="T27" s="329" t="s">
        <v>681</v>
      </c>
      <c r="U27" s="382"/>
      <c r="V27" s="329"/>
      <c r="W27" s="329"/>
      <c r="X27" s="329"/>
      <c r="Y27" s="330"/>
    </row>
    <row r="28" spans="1:25" ht="13.5" customHeight="1">
      <c r="E28" s="512"/>
      <c r="F28" s="512"/>
      <c r="G28" s="512"/>
      <c r="H28" s="512"/>
      <c r="I28" s="512"/>
      <c r="J28" s="512"/>
      <c r="K28" s="512"/>
      <c r="L28" s="426"/>
      <c r="M28" s="426"/>
      <c r="N28" s="426"/>
      <c r="O28" s="324"/>
      <c r="Q28" s="350"/>
      <c r="R28" s="350"/>
      <c r="S28" s="329" t="s">
        <v>175</v>
      </c>
      <c r="T28" s="329" t="s">
        <v>681</v>
      </c>
      <c r="U28" s="378"/>
      <c r="V28" s="329"/>
      <c r="W28" s="329"/>
      <c r="X28" s="329"/>
      <c r="Y28" s="330"/>
    </row>
    <row r="29" spans="1:25" ht="12.75" customHeight="1">
      <c r="E29" s="353"/>
      <c r="O29" s="324"/>
      <c r="S29" s="329" t="s">
        <v>177</v>
      </c>
      <c r="T29" s="329" t="s">
        <v>681</v>
      </c>
      <c r="U29" s="378"/>
      <c r="V29" s="329"/>
      <c r="W29" s="329"/>
      <c r="X29" s="329"/>
      <c r="Y29" s="330"/>
    </row>
    <row r="30" spans="1:25" s="350" customFormat="1" ht="19.5" customHeight="1">
      <c r="A30" s="325"/>
      <c r="B30" s="325"/>
      <c r="C30" s="325"/>
      <c r="D30" s="325"/>
      <c r="E30" s="325"/>
      <c r="F30" s="325"/>
      <c r="G30" s="325"/>
      <c r="H30" s="325"/>
      <c r="I30" s="325"/>
      <c r="J30" s="325"/>
      <c r="K30" s="325"/>
      <c r="L30" s="325"/>
      <c r="M30" s="325"/>
      <c r="N30" s="325"/>
      <c r="O30" s="346"/>
      <c r="Q30" s="325"/>
      <c r="R30" s="325"/>
      <c r="S30" s="388" t="s">
        <v>179</v>
      </c>
      <c r="T30" s="389" t="s">
        <v>681</v>
      </c>
      <c r="U30" s="378"/>
      <c r="V30" s="329"/>
      <c r="W30" s="329"/>
      <c r="X30" s="329"/>
      <c r="Y30" s="352"/>
    </row>
    <row r="31" spans="1:25" s="350" customFormat="1" ht="16.5" customHeight="1">
      <c r="A31" s="325"/>
      <c r="B31" s="325"/>
      <c r="C31" s="325"/>
      <c r="D31" s="325"/>
      <c r="E31" s="354"/>
      <c r="F31" s="325"/>
      <c r="G31" s="325"/>
      <c r="H31" s="325"/>
      <c r="I31" s="325"/>
      <c r="J31" s="325"/>
      <c r="K31" s="325"/>
      <c r="L31" s="325"/>
      <c r="M31" s="325"/>
      <c r="N31" s="325"/>
      <c r="O31" s="325"/>
      <c r="P31" s="325"/>
      <c r="Q31" s="325"/>
      <c r="R31" s="325"/>
      <c r="S31" s="389" t="s">
        <v>181</v>
      </c>
      <c r="T31" s="389" t="s">
        <v>681</v>
      </c>
      <c r="U31" s="378"/>
      <c r="V31" s="329"/>
      <c r="W31" s="329"/>
      <c r="X31" s="329"/>
      <c r="Y31" s="352"/>
    </row>
    <row r="32" spans="1:25">
      <c r="E32" s="426"/>
      <c r="F32" s="426"/>
      <c r="G32" s="426"/>
      <c r="H32" s="426"/>
      <c r="I32" s="426"/>
      <c r="J32" s="426"/>
      <c r="K32" s="426"/>
      <c r="L32" s="426"/>
      <c r="M32" s="426"/>
      <c r="N32" s="426"/>
      <c r="S32" s="329" t="s">
        <v>183</v>
      </c>
      <c r="T32" s="329" t="s">
        <v>681</v>
      </c>
      <c r="U32" s="378"/>
      <c r="V32" s="329"/>
      <c r="W32" s="329"/>
      <c r="X32" s="329"/>
      <c r="Y32" s="330"/>
    </row>
    <row r="33" spans="5:25" ht="16.5">
      <c r="E33" s="355"/>
      <c r="F33" s="346"/>
      <c r="G33" s="354"/>
      <c r="H33" s="356"/>
      <c r="I33" s="346"/>
      <c r="J33" s="346"/>
      <c r="K33" s="346"/>
      <c r="L33" s="346"/>
      <c r="M33" s="346"/>
      <c r="N33" s="346"/>
      <c r="S33" s="329" t="s">
        <v>185</v>
      </c>
      <c r="T33" s="329" t="s">
        <v>681</v>
      </c>
      <c r="U33" s="378"/>
      <c r="V33" s="329"/>
      <c r="W33" s="329"/>
      <c r="X33" s="329"/>
      <c r="Y33" s="330"/>
    </row>
    <row r="34" spans="5:25">
      <c r="E34" s="358"/>
      <c r="S34" s="329" t="s">
        <v>682</v>
      </c>
      <c r="T34" s="329" t="s">
        <v>681</v>
      </c>
      <c r="U34" s="378"/>
      <c r="V34" s="329"/>
      <c r="W34" s="329"/>
      <c r="X34" s="329"/>
      <c r="Y34" s="330"/>
    </row>
    <row r="35" spans="5:25" ht="16.5">
      <c r="E35" s="359"/>
      <c r="S35" s="329" t="s">
        <v>683</v>
      </c>
      <c r="T35" s="329" t="s">
        <v>681</v>
      </c>
      <c r="U35" s="378"/>
      <c r="V35" s="329"/>
      <c r="W35" s="329"/>
      <c r="X35" s="329"/>
      <c r="Y35" s="330"/>
    </row>
    <row r="36" spans="5:25" ht="16.5">
      <c r="E36" s="359"/>
      <c r="O36" s="426"/>
      <c r="P36" s="426"/>
      <c r="S36" s="329" t="s">
        <v>684</v>
      </c>
      <c r="T36" s="329" t="s">
        <v>681</v>
      </c>
      <c r="U36" s="378"/>
      <c r="V36" s="329"/>
      <c r="W36" s="329"/>
      <c r="X36" s="329"/>
      <c r="Y36" s="330"/>
    </row>
    <row r="37" spans="5:25" ht="16.5">
      <c r="O37" s="346"/>
      <c r="P37" s="346"/>
      <c r="S37" s="329" t="s">
        <v>685</v>
      </c>
      <c r="T37" s="329" t="s">
        <v>681</v>
      </c>
      <c r="U37" s="383"/>
      <c r="V37" s="329"/>
      <c r="W37" s="329"/>
      <c r="X37" s="329"/>
      <c r="Y37" s="330"/>
    </row>
    <row r="38" spans="5:25">
      <c r="R38" s="360"/>
      <c r="S38" s="329" t="s">
        <v>687</v>
      </c>
      <c r="T38" s="329" t="s">
        <v>681</v>
      </c>
      <c r="U38" s="378"/>
      <c r="V38" s="329"/>
      <c r="W38" s="329"/>
      <c r="X38" s="329"/>
      <c r="Y38" s="330"/>
    </row>
    <row r="39" spans="5:25">
      <c r="F39" s="360"/>
      <c r="S39" s="329" t="s">
        <v>689</v>
      </c>
      <c r="T39" s="329" t="s">
        <v>681</v>
      </c>
      <c r="U39" s="378"/>
      <c r="V39" s="329"/>
      <c r="W39" s="329"/>
      <c r="X39" s="329"/>
      <c r="Y39" s="330"/>
    </row>
    <row r="40" spans="5:25">
      <c r="S40" s="329" t="s">
        <v>195</v>
      </c>
      <c r="T40" s="329" t="s">
        <v>681</v>
      </c>
      <c r="U40" s="378"/>
      <c r="V40" s="329"/>
      <c r="W40" s="329"/>
      <c r="X40" s="329"/>
      <c r="Y40" s="330"/>
    </row>
    <row r="41" spans="5:25">
      <c r="S41" s="390" t="s">
        <v>197</v>
      </c>
      <c r="T41" s="329" t="s">
        <v>681</v>
      </c>
      <c r="U41" s="378"/>
      <c r="V41" s="329"/>
      <c r="W41" s="329"/>
      <c r="X41" s="329"/>
      <c r="Y41" s="330"/>
    </row>
    <row r="42" spans="5:25">
      <c r="S42" s="329" t="s">
        <v>199</v>
      </c>
      <c r="T42" s="329" t="s">
        <v>681</v>
      </c>
      <c r="U42" s="378"/>
      <c r="V42" s="329"/>
      <c r="W42" s="329"/>
      <c r="X42" s="329"/>
      <c r="Y42" s="330"/>
    </row>
    <row r="43" spans="5:25">
      <c r="S43" s="329" t="s">
        <v>201</v>
      </c>
      <c r="T43" s="329" t="s">
        <v>691</v>
      </c>
      <c r="U43" s="378"/>
      <c r="V43" s="329"/>
      <c r="W43" s="329"/>
      <c r="X43" s="329"/>
      <c r="Y43" s="330"/>
    </row>
    <row r="44" spans="5:25">
      <c r="S44" s="329" t="s">
        <v>202</v>
      </c>
      <c r="T44" s="329" t="s">
        <v>691</v>
      </c>
      <c r="U44" s="378"/>
      <c r="V44" s="329"/>
      <c r="W44" s="329"/>
      <c r="X44" s="329"/>
      <c r="Y44" s="330"/>
    </row>
    <row r="45" spans="5:25">
      <c r="S45" s="329" t="s">
        <v>204</v>
      </c>
      <c r="T45" s="329" t="s">
        <v>691</v>
      </c>
      <c r="U45" s="378"/>
      <c r="V45" s="329"/>
      <c r="W45" s="329"/>
      <c r="X45" s="329"/>
      <c r="Y45" s="330"/>
    </row>
    <row r="46" spans="5:25">
      <c r="S46" s="329" t="s">
        <v>205</v>
      </c>
      <c r="T46" s="329" t="s">
        <v>691</v>
      </c>
      <c r="U46" s="378"/>
      <c r="V46" s="329"/>
      <c r="W46" s="329"/>
      <c r="X46" s="329"/>
      <c r="Y46" s="330"/>
    </row>
    <row r="47" spans="5:25">
      <c r="S47" s="329" t="s">
        <v>206</v>
      </c>
      <c r="T47" s="329" t="s">
        <v>691</v>
      </c>
      <c r="U47" s="378"/>
      <c r="V47" s="329"/>
      <c r="W47" s="329"/>
      <c r="X47" s="329"/>
      <c r="Y47" s="330"/>
    </row>
    <row r="48" spans="5:25">
      <c r="S48" s="329" t="s">
        <v>692</v>
      </c>
      <c r="T48" s="329" t="s">
        <v>691</v>
      </c>
      <c r="U48" s="383"/>
      <c r="V48" s="329"/>
      <c r="W48" s="329"/>
      <c r="X48" s="329"/>
      <c r="Y48" s="330"/>
    </row>
    <row r="49" spans="19:25">
      <c r="S49" s="329" t="s">
        <v>693</v>
      </c>
      <c r="T49" s="329" t="s">
        <v>691</v>
      </c>
      <c r="U49" s="383"/>
      <c r="V49" s="361"/>
      <c r="W49" s="361"/>
      <c r="X49" s="361"/>
      <c r="Y49" s="330"/>
    </row>
    <row r="50" spans="19:25">
      <c r="S50" s="329" t="s">
        <v>694</v>
      </c>
      <c r="T50" s="329" t="s">
        <v>691</v>
      </c>
      <c r="U50" s="383"/>
      <c r="V50" s="361"/>
      <c r="W50" s="361"/>
      <c r="X50" s="329"/>
      <c r="Y50" s="330"/>
    </row>
    <row r="51" spans="19:25">
      <c r="S51" s="329" t="s">
        <v>695</v>
      </c>
      <c r="T51" s="329" t="s">
        <v>691</v>
      </c>
      <c r="U51" s="378"/>
      <c r="V51" s="361"/>
      <c r="W51" s="361"/>
      <c r="X51" s="329"/>
      <c r="Y51" s="330"/>
    </row>
    <row r="52" spans="19:25">
      <c r="S52" s="329" t="s">
        <v>696</v>
      </c>
      <c r="T52" s="329" t="s">
        <v>691</v>
      </c>
      <c r="U52" s="384"/>
      <c r="V52" s="361"/>
      <c r="W52" s="361"/>
      <c r="X52" s="329"/>
      <c r="Y52" s="330"/>
    </row>
    <row r="53" spans="19:25">
      <c r="S53" s="329" t="s">
        <v>697</v>
      </c>
      <c r="T53" s="329" t="s">
        <v>691</v>
      </c>
      <c r="U53" s="385"/>
      <c r="V53" s="361"/>
      <c r="W53" s="361"/>
      <c r="X53" s="329"/>
      <c r="Y53" s="330"/>
    </row>
    <row r="54" spans="19:25">
      <c r="S54" s="329" t="s">
        <v>208</v>
      </c>
      <c r="T54" s="329" t="s">
        <v>691</v>
      </c>
      <c r="U54" s="383"/>
      <c r="V54" s="361"/>
      <c r="W54" s="361"/>
      <c r="X54" s="329"/>
      <c r="Y54" s="330"/>
    </row>
    <row r="55" spans="19:25">
      <c r="S55" s="329" t="s">
        <v>209</v>
      </c>
      <c r="T55" s="329" t="s">
        <v>691</v>
      </c>
      <c r="U55" s="383"/>
      <c r="V55" s="329"/>
      <c r="W55" s="361"/>
      <c r="X55" s="329"/>
      <c r="Y55" s="330"/>
    </row>
    <row r="56" spans="19:25">
      <c r="S56" s="329" t="s">
        <v>210</v>
      </c>
      <c r="T56" s="329" t="s">
        <v>691</v>
      </c>
      <c r="U56" s="383"/>
      <c r="V56" s="329"/>
      <c r="W56" s="361"/>
      <c r="X56" s="361"/>
      <c r="Y56" s="330"/>
    </row>
    <row r="57" spans="19:25">
      <c r="S57" s="329" t="s">
        <v>211</v>
      </c>
      <c r="T57" s="329" t="s">
        <v>691</v>
      </c>
      <c r="U57" s="386"/>
      <c r="V57" s="329"/>
      <c r="W57" s="329"/>
      <c r="X57" s="329"/>
      <c r="Y57" s="330"/>
    </row>
    <row r="58" spans="19:25">
      <c r="S58" s="329" t="s">
        <v>212</v>
      </c>
      <c r="T58" s="329" t="s">
        <v>691</v>
      </c>
      <c r="U58" s="378"/>
      <c r="V58" s="329"/>
      <c r="W58" s="361"/>
      <c r="X58" s="329"/>
      <c r="Y58" s="330"/>
    </row>
    <row r="59" spans="19:25">
      <c r="S59" s="329" t="s">
        <v>700</v>
      </c>
      <c r="T59" s="329" t="s">
        <v>150</v>
      </c>
      <c r="U59" s="378"/>
      <c r="V59" s="329"/>
      <c r="W59" s="361"/>
      <c r="X59" s="329"/>
      <c r="Y59" s="330"/>
    </row>
    <row r="60" spans="19:25">
      <c r="S60" s="329" t="s">
        <v>701</v>
      </c>
      <c r="T60" s="329" t="s">
        <v>150</v>
      </c>
      <c r="U60" s="378"/>
      <c r="V60" s="329"/>
      <c r="W60" s="329"/>
      <c r="X60" s="329"/>
      <c r="Y60" s="330"/>
    </row>
    <row r="61" spans="19:25">
      <c r="S61" s="329" t="s">
        <v>702</v>
      </c>
      <c r="T61" s="329" t="s">
        <v>150</v>
      </c>
      <c r="U61" s="378"/>
      <c r="V61" s="329"/>
      <c r="W61" s="329"/>
      <c r="X61" s="329"/>
      <c r="Y61" s="330"/>
    </row>
    <row r="62" spans="19:25">
      <c r="S62" s="329" t="s">
        <v>703</v>
      </c>
      <c r="T62" s="329" t="s">
        <v>150</v>
      </c>
      <c r="U62" s="378"/>
      <c r="V62" s="329"/>
      <c r="W62" s="329"/>
      <c r="X62" s="329"/>
      <c r="Y62" s="330"/>
    </row>
    <row r="63" spans="19:25">
      <c r="S63" s="329" t="s">
        <v>704</v>
      </c>
      <c r="T63" s="329" t="s">
        <v>150</v>
      </c>
      <c r="U63" s="378"/>
      <c r="V63" s="329"/>
      <c r="W63" s="329"/>
      <c r="X63" s="329"/>
      <c r="Y63" s="330"/>
    </row>
    <row r="64" spans="19:25">
      <c r="S64" s="329" t="s">
        <v>705</v>
      </c>
      <c r="T64" s="329" t="s">
        <v>150</v>
      </c>
      <c r="U64" s="387"/>
      <c r="V64" s="305"/>
      <c r="W64" s="329"/>
      <c r="X64" s="329"/>
      <c r="Y64" s="330"/>
    </row>
    <row r="65" spans="19:25">
      <c r="S65" s="329" t="s">
        <v>706</v>
      </c>
      <c r="T65" s="329" t="s">
        <v>150</v>
      </c>
      <c r="U65" s="378"/>
      <c r="V65" s="329"/>
      <c r="W65" s="329"/>
      <c r="X65" s="329"/>
      <c r="Y65" s="330"/>
    </row>
    <row r="66" spans="19:25">
      <c r="S66" s="329" t="s">
        <v>707</v>
      </c>
      <c r="T66" s="329" t="s">
        <v>150</v>
      </c>
    </row>
    <row r="67" spans="19:25">
      <c r="S67" s="329" t="s">
        <v>708</v>
      </c>
      <c r="T67" s="329" t="s">
        <v>150</v>
      </c>
    </row>
    <row r="68" spans="19:25">
      <c r="S68" s="329" t="s">
        <v>709</v>
      </c>
      <c r="T68" s="329" t="s">
        <v>150</v>
      </c>
    </row>
    <row r="69" spans="19:25">
      <c r="S69" s="329" t="s">
        <v>710</v>
      </c>
      <c r="T69" s="329" t="s">
        <v>5</v>
      </c>
    </row>
    <row r="70" spans="19:25">
      <c r="S70" s="329" t="s">
        <v>711</v>
      </c>
      <c r="T70" s="329" t="s">
        <v>5</v>
      </c>
    </row>
    <row r="71" spans="19:25">
      <c r="S71" s="329" t="s">
        <v>712</v>
      </c>
      <c r="T71" s="329" t="s">
        <v>5</v>
      </c>
    </row>
    <row r="72" spans="19:25">
      <c r="S72" s="329" t="s">
        <v>713</v>
      </c>
      <c r="T72" s="329" t="s">
        <v>5</v>
      </c>
    </row>
    <row r="73" spans="19:25">
      <c r="S73" s="329" t="s">
        <v>714</v>
      </c>
      <c r="T73" s="329" t="s">
        <v>5</v>
      </c>
    </row>
    <row r="74" spans="19:25">
      <c r="S74" s="329" t="s">
        <v>715</v>
      </c>
      <c r="T74" s="329" t="s">
        <v>5</v>
      </c>
    </row>
    <row r="75" spans="19:25">
      <c r="S75" s="329" t="s">
        <v>717</v>
      </c>
      <c r="T75" s="329" t="s">
        <v>5</v>
      </c>
    </row>
    <row r="76" spans="19:25">
      <c r="S76" s="329" t="s">
        <v>719</v>
      </c>
      <c r="T76" s="329" t="s">
        <v>5</v>
      </c>
    </row>
    <row r="77" spans="19:25">
      <c r="S77" s="329" t="s">
        <v>720</v>
      </c>
      <c r="T77" s="329" t="s">
        <v>5</v>
      </c>
    </row>
    <row r="78" spans="19:25">
      <c r="S78" s="329" t="s">
        <v>721</v>
      </c>
      <c r="T78" s="329" t="s">
        <v>5</v>
      </c>
    </row>
    <row r="79" spans="19:25">
      <c r="S79" s="329" t="s">
        <v>722</v>
      </c>
      <c r="T79" s="329" t="s">
        <v>5</v>
      </c>
    </row>
    <row r="80" spans="19:25">
      <c r="S80" s="329" t="s">
        <v>723</v>
      </c>
      <c r="T80" s="329" t="s">
        <v>5</v>
      </c>
    </row>
    <row r="81" spans="19:20">
      <c r="S81" s="329" t="s">
        <v>724</v>
      </c>
      <c r="T81" s="329" t="s">
        <v>5</v>
      </c>
    </row>
    <row r="82" spans="19:20">
      <c r="S82" s="329" t="s">
        <v>725</v>
      </c>
      <c r="T82" s="329" t="s">
        <v>5</v>
      </c>
    </row>
    <row r="83" spans="19:20">
      <c r="S83" s="329" t="s">
        <v>726</v>
      </c>
      <c r="T83" s="329" t="s">
        <v>5</v>
      </c>
    </row>
    <row r="84" spans="19:20">
      <c r="S84" s="329" t="s">
        <v>727</v>
      </c>
      <c r="T84" s="329" t="s">
        <v>5</v>
      </c>
    </row>
    <row r="85" spans="19:20">
      <c r="S85" s="329" t="s">
        <v>728</v>
      </c>
      <c r="T85" s="329" t="s">
        <v>5</v>
      </c>
    </row>
    <row r="86" spans="19:20">
      <c r="S86" s="329" t="s">
        <v>729</v>
      </c>
      <c r="T86" s="329" t="s">
        <v>5</v>
      </c>
    </row>
    <row r="87" spans="19:20">
      <c r="S87" s="329" t="s">
        <v>731</v>
      </c>
      <c r="T87" s="329" t="s">
        <v>5</v>
      </c>
    </row>
    <row r="88" spans="19:20">
      <c r="S88" s="329" t="s">
        <v>733</v>
      </c>
      <c r="T88" s="329" t="s">
        <v>5</v>
      </c>
    </row>
    <row r="89" spans="19:20">
      <c r="S89" s="329" t="s">
        <v>735</v>
      </c>
      <c r="T89" s="329" t="s">
        <v>5</v>
      </c>
    </row>
    <row r="90" spans="19:20">
      <c r="S90" s="329" t="s">
        <v>737</v>
      </c>
      <c r="T90" s="329" t="s">
        <v>5</v>
      </c>
    </row>
    <row r="91" spans="19:20">
      <c r="S91" s="329" t="s">
        <v>738</v>
      </c>
      <c r="T91" s="329" t="s">
        <v>5</v>
      </c>
    </row>
    <row r="92" spans="19:20">
      <c r="S92" s="329" t="s">
        <v>739</v>
      </c>
      <c r="T92" s="329" t="s">
        <v>5</v>
      </c>
    </row>
    <row r="93" spans="19:20">
      <c r="S93" s="329" t="s">
        <v>232</v>
      </c>
      <c r="T93" s="329" t="s">
        <v>151</v>
      </c>
    </row>
    <row r="94" spans="19:20">
      <c r="S94" s="329" t="s">
        <v>740</v>
      </c>
      <c r="T94" s="329" t="s">
        <v>151</v>
      </c>
    </row>
    <row r="95" spans="19:20">
      <c r="S95" s="329" t="s">
        <v>235</v>
      </c>
      <c r="T95" s="329" t="s">
        <v>151</v>
      </c>
    </row>
    <row r="96" spans="19:20">
      <c r="S96" s="329" t="s">
        <v>237</v>
      </c>
      <c r="T96" s="329" t="s">
        <v>151</v>
      </c>
    </row>
    <row r="97" spans="19:20">
      <c r="S97" s="329" t="s">
        <v>239</v>
      </c>
      <c r="T97" s="329" t="s">
        <v>151</v>
      </c>
    </row>
    <row r="98" spans="19:20">
      <c r="S98" s="329" t="s">
        <v>243</v>
      </c>
      <c r="T98" s="329" t="s">
        <v>151</v>
      </c>
    </row>
    <row r="99" spans="19:20">
      <c r="S99" s="329" t="s">
        <v>245</v>
      </c>
      <c r="T99" s="329" t="s">
        <v>151</v>
      </c>
    </row>
    <row r="100" spans="19:20">
      <c r="S100" s="329" t="s">
        <v>247</v>
      </c>
      <c r="T100" s="329" t="s">
        <v>151</v>
      </c>
    </row>
    <row r="101" spans="19:20">
      <c r="S101" s="329" t="s">
        <v>248</v>
      </c>
      <c r="T101" s="329" t="s">
        <v>151</v>
      </c>
    </row>
    <row r="102" spans="19:20">
      <c r="S102" s="329" t="s">
        <v>252</v>
      </c>
      <c r="T102" s="329" t="s">
        <v>151</v>
      </c>
    </row>
    <row r="103" spans="19:20">
      <c r="S103" s="329" t="s">
        <v>741</v>
      </c>
      <c r="T103" s="329" t="s">
        <v>151</v>
      </c>
    </row>
    <row r="104" spans="19:20">
      <c r="S104" s="329" t="s">
        <v>742</v>
      </c>
      <c r="T104" s="329" t="s">
        <v>151</v>
      </c>
    </row>
    <row r="105" spans="19:20">
      <c r="S105" s="329" t="s">
        <v>743</v>
      </c>
      <c r="T105" s="329" t="s">
        <v>151</v>
      </c>
    </row>
    <row r="106" spans="19:20">
      <c r="S106" s="329" t="s">
        <v>254</v>
      </c>
      <c r="T106" s="329" t="s">
        <v>151</v>
      </c>
    </row>
    <row r="107" spans="19:20">
      <c r="S107" s="329" t="s">
        <v>256</v>
      </c>
      <c r="T107" s="329" t="s">
        <v>151</v>
      </c>
    </row>
    <row r="108" spans="19:20">
      <c r="S108" s="329" t="s">
        <v>746</v>
      </c>
      <c r="T108" s="329" t="s">
        <v>151</v>
      </c>
    </row>
    <row r="109" spans="19:20">
      <c r="S109" s="329" t="s">
        <v>747</v>
      </c>
      <c r="T109" s="329" t="s">
        <v>151</v>
      </c>
    </row>
    <row r="110" spans="19:20">
      <c r="S110" s="329" t="s">
        <v>259</v>
      </c>
      <c r="T110" s="329" t="s">
        <v>151</v>
      </c>
    </row>
    <row r="111" spans="19:20">
      <c r="S111" s="329" t="s">
        <v>748</v>
      </c>
      <c r="T111" s="329" t="s">
        <v>151</v>
      </c>
    </row>
    <row r="112" spans="19:20">
      <c r="S112" s="329" t="s">
        <v>749</v>
      </c>
      <c r="T112" s="329" t="s">
        <v>151</v>
      </c>
    </row>
    <row r="113" spans="19:20">
      <c r="S113" s="329" t="s">
        <v>750</v>
      </c>
      <c r="T113" s="329" t="s">
        <v>151</v>
      </c>
    </row>
    <row r="114" spans="19:20">
      <c r="S114" s="329" t="s">
        <v>751</v>
      </c>
      <c r="T114" s="329" t="s">
        <v>151</v>
      </c>
    </row>
    <row r="115" spans="19:20">
      <c r="S115" s="329" t="s">
        <v>264</v>
      </c>
      <c r="T115" s="329" t="s">
        <v>151</v>
      </c>
    </row>
    <row r="116" spans="19:20">
      <c r="S116" s="329" t="s">
        <v>266</v>
      </c>
      <c r="T116" s="329" t="s">
        <v>151</v>
      </c>
    </row>
    <row r="117" spans="19:20">
      <c r="S117" s="329" t="s">
        <v>269</v>
      </c>
      <c r="T117" s="329" t="s">
        <v>151</v>
      </c>
    </row>
    <row r="118" spans="19:20">
      <c r="S118" s="329" t="s">
        <v>270</v>
      </c>
      <c r="T118" s="329" t="s">
        <v>151</v>
      </c>
    </row>
    <row r="119" spans="19:20">
      <c r="S119" s="329" t="s">
        <v>754</v>
      </c>
      <c r="T119" s="329" t="s">
        <v>151</v>
      </c>
    </row>
    <row r="120" spans="19:20">
      <c r="S120" s="329" t="s">
        <v>271</v>
      </c>
      <c r="T120" s="329" t="s">
        <v>152</v>
      </c>
    </row>
    <row r="121" spans="19:20">
      <c r="S121" s="329" t="s">
        <v>272</v>
      </c>
      <c r="T121" s="329" t="s">
        <v>152</v>
      </c>
    </row>
    <row r="122" spans="19:20">
      <c r="S122" s="329" t="s">
        <v>273</v>
      </c>
      <c r="T122" s="329" t="s">
        <v>152</v>
      </c>
    </row>
    <row r="123" spans="19:20">
      <c r="S123" s="329" t="s">
        <v>274</v>
      </c>
      <c r="T123" s="329" t="s">
        <v>152</v>
      </c>
    </row>
    <row r="124" spans="19:20">
      <c r="S124" s="329" t="s">
        <v>755</v>
      </c>
      <c r="T124" s="329" t="s">
        <v>152</v>
      </c>
    </row>
    <row r="125" spans="19:20">
      <c r="S125" s="329" t="s">
        <v>756</v>
      </c>
      <c r="T125" s="329" t="s">
        <v>152</v>
      </c>
    </row>
    <row r="126" spans="19:20">
      <c r="S126" s="329" t="s">
        <v>757</v>
      </c>
      <c r="T126" s="329" t="s">
        <v>152</v>
      </c>
    </row>
    <row r="127" spans="19:20">
      <c r="S127" s="329" t="s">
        <v>275</v>
      </c>
      <c r="T127" s="329" t="s">
        <v>152</v>
      </c>
    </row>
    <row r="128" spans="19:20">
      <c r="S128" s="329" t="s">
        <v>276</v>
      </c>
      <c r="T128" s="329" t="s">
        <v>152</v>
      </c>
    </row>
    <row r="129" spans="19:20">
      <c r="S129" s="329" t="s">
        <v>758</v>
      </c>
      <c r="T129" s="329" t="s">
        <v>152</v>
      </c>
    </row>
    <row r="130" spans="19:20">
      <c r="S130" s="329" t="s">
        <v>759</v>
      </c>
      <c r="T130" s="329" t="s">
        <v>152</v>
      </c>
    </row>
    <row r="131" spans="19:20">
      <c r="S131" s="329" t="s">
        <v>277</v>
      </c>
      <c r="T131" s="329" t="s">
        <v>152</v>
      </c>
    </row>
    <row r="132" spans="19:20">
      <c r="S132" s="329" t="s">
        <v>760</v>
      </c>
      <c r="T132" s="329" t="s">
        <v>152</v>
      </c>
    </row>
    <row r="133" spans="19:20">
      <c r="S133" s="329" t="s">
        <v>761</v>
      </c>
      <c r="T133" s="329" t="s">
        <v>152</v>
      </c>
    </row>
    <row r="134" spans="19:20">
      <c r="S134" s="329" t="s">
        <v>762</v>
      </c>
      <c r="T134" s="329" t="s">
        <v>152</v>
      </c>
    </row>
    <row r="135" spans="19:20">
      <c r="S135" s="329" t="s">
        <v>763</v>
      </c>
      <c r="T135" s="329" t="s">
        <v>152</v>
      </c>
    </row>
    <row r="136" spans="19:20">
      <c r="S136" s="329" t="s">
        <v>278</v>
      </c>
      <c r="T136" s="329" t="s">
        <v>152</v>
      </c>
    </row>
    <row r="137" spans="19:20">
      <c r="S137" s="329" t="s">
        <v>279</v>
      </c>
      <c r="T137" s="329" t="s">
        <v>152</v>
      </c>
    </row>
    <row r="138" spans="19:20">
      <c r="S138" s="329" t="s">
        <v>280</v>
      </c>
      <c r="T138" s="329" t="s">
        <v>152</v>
      </c>
    </row>
    <row r="139" spans="19:20">
      <c r="S139" s="329" t="s">
        <v>281</v>
      </c>
      <c r="T139" s="329" t="s">
        <v>152</v>
      </c>
    </row>
    <row r="140" spans="19:20">
      <c r="S140" s="329" t="s">
        <v>766</v>
      </c>
      <c r="T140" s="329" t="s">
        <v>152</v>
      </c>
    </row>
    <row r="141" spans="19:20">
      <c r="S141" s="329" t="s">
        <v>344</v>
      </c>
      <c r="T141" s="329" t="s">
        <v>153</v>
      </c>
    </row>
    <row r="142" spans="19:20">
      <c r="S142" s="329" t="s">
        <v>346</v>
      </c>
      <c r="T142" s="329" t="s">
        <v>153</v>
      </c>
    </row>
    <row r="143" spans="19:20">
      <c r="S143" s="329" t="s">
        <v>348</v>
      </c>
      <c r="T143" s="329" t="s">
        <v>153</v>
      </c>
    </row>
    <row r="144" spans="19:20">
      <c r="S144" s="329" t="s">
        <v>350</v>
      </c>
      <c r="T144" s="329" t="s">
        <v>153</v>
      </c>
    </row>
    <row r="145" spans="19:20">
      <c r="S145" s="329" t="s">
        <v>352</v>
      </c>
      <c r="T145" s="329" t="s">
        <v>153</v>
      </c>
    </row>
    <row r="146" spans="19:20">
      <c r="S146" s="329" t="s">
        <v>354</v>
      </c>
      <c r="T146" s="329" t="s">
        <v>153</v>
      </c>
    </row>
    <row r="147" spans="19:20">
      <c r="S147" s="329" t="s">
        <v>356</v>
      </c>
      <c r="T147" s="329" t="s">
        <v>153</v>
      </c>
    </row>
    <row r="148" spans="19:20">
      <c r="S148" s="329" t="s">
        <v>357</v>
      </c>
      <c r="T148" s="329" t="s">
        <v>153</v>
      </c>
    </row>
    <row r="149" spans="19:20">
      <c r="S149" s="329" t="s">
        <v>358</v>
      </c>
      <c r="T149" s="329" t="s">
        <v>153</v>
      </c>
    </row>
    <row r="150" spans="19:20">
      <c r="S150" s="329" t="s">
        <v>359</v>
      </c>
      <c r="T150" s="329" t="s">
        <v>153</v>
      </c>
    </row>
    <row r="151" spans="19:20">
      <c r="S151" s="329" t="s">
        <v>360</v>
      </c>
      <c r="T151" s="329" t="s">
        <v>153</v>
      </c>
    </row>
    <row r="152" spans="19:20">
      <c r="S152" s="329" t="s">
        <v>361</v>
      </c>
      <c r="T152" s="329" t="s">
        <v>153</v>
      </c>
    </row>
    <row r="153" spans="19:20">
      <c r="S153" s="329" t="s">
        <v>362</v>
      </c>
      <c r="T153" s="329" t="s">
        <v>153</v>
      </c>
    </row>
    <row r="154" spans="19:20">
      <c r="S154" s="329" t="s">
        <v>363</v>
      </c>
      <c r="T154" s="329" t="s">
        <v>153</v>
      </c>
    </row>
    <row r="155" spans="19:20">
      <c r="S155" s="329" t="s">
        <v>364</v>
      </c>
      <c r="T155" s="329" t="s">
        <v>153</v>
      </c>
    </row>
    <row r="156" spans="19:20">
      <c r="S156" s="329" t="s">
        <v>365</v>
      </c>
      <c r="T156" s="329" t="s">
        <v>153</v>
      </c>
    </row>
    <row r="157" spans="19:20">
      <c r="S157" s="329" t="s">
        <v>767</v>
      </c>
      <c r="T157" s="329" t="s">
        <v>153</v>
      </c>
    </row>
    <row r="158" spans="19:20">
      <c r="S158" s="329" t="s">
        <v>768</v>
      </c>
      <c r="T158" s="329" t="s">
        <v>153</v>
      </c>
    </row>
    <row r="159" spans="19:20">
      <c r="S159" s="329" t="s">
        <v>608</v>
      </c>
      <c r="T159" s="329" t="s">
        <v>612</v>
      </c>
    </row>
    <row r="160" spans="19:20">
      <c r="S160" s="329" t="s">
        <v>609</v>
      </c>
      <c r="T160" s="329" t="s">
        <v>612</v>
      </c>
    </row>
    <row r="161" spans="19:20">
      <c r="S161" s="329" t="s">
        <v>611</v>
      </c>
      <c r="T161" s="329" t="s">
        <v>612</v>
      </c>
    </row>
    <row r="162" spans="19:20">
      <c r="S162" s="329" t="s">
        <v>610</v>
      </c>
      <c r="T162" s="329" t="s">
        <v>612</v>
      </c>
    </row>
    <row r="163" spans="19:20">
      <c r="S163" s="329" t="s">
        <v>570</v>
      </c>
      <c r="T163" s="329" t="s">
        <v>583</v>
      </c>
    </row>
    <row r="164" spans="19:20">
      <c r="S164" s="329" t="s">
        <v>571</v>
      </c>
      <c r="T164" s="329" t="s">
        <v>583</v>
      </c>
    </row>
    <row r="165" spans="19:20">
      <c r="S165" s="329" t="s">
        <v>572</v>
      </c>
      <c r="T165" s="329" t="s">
        <v>583</v>
      </c>
    </row>
    <row r="166" spans="19:20">
      <c r="S166" s="329" t="s">
        <v>573</v>
      </c>
      <c r="T166" s="329" t="s">
        <v>583</v>
      </c>
    </row>
    <row r="167" spans="19:20">
      <c r="S167" s="329" t="s">
        <v>574</v>
      </c>
      <c r="T167" s="329" t="s">
        <v>583</v>
      </c>
    </row>
    <row r="168" spans="19:20">
      <c r="S168" s="329" t="s">
        <v>575</v>
      </c>
      <c r="T168" s="329" t="s">
        <v>583</v>
      </c>
    </row>
    <row r="169" spans="19:20">
      <c r="S169" s="329" t="s">
        <v>576</v>
      </c>
      <c r="T169" s="329" t="s">
        <v>583</v>
      </c>
    </row>
    <row r="170" spans="19:20">
      <c r="S170" s="329" t="s">
        <v>577</v>
      </c>
      <c r="T170" s="329" t="s">
        <v>583</v>
      </c>
    </row>
    <row r="171" spans="19:20">
      <c r="S171" s="329" t="s">
        <v>578</v>
      </c>
      <c r="T171" s="329" t="s">
        <v>583</v>
      </c>
    </row>
    <row r="172" spans="19:20">
      <c r="S172" s="329" t="s">
        <v>579</v>
      </c>
      <c r="T172" s="329" t="s">
        <v>583</v>
      </c>
    </row>
    <row r="173" spans="19:20">
      <c r="S173" s="329" t="s">
        <v>580</v>
      </c>
      <c r="T173" s="329" t="s">
        <v>583</v>
      </c>
    </row>
    <row r="174" spans="19:20">
      <c r="S174" s="329" t="s">
        <v>581</v>
      </c>
      <c r="T174" s="329" t="s">
        <v>583</v>
      </c>
    </row>
    <row r="175" spans="19:20">
      <c r="S175" s="329" t="s">
        <v>582</v>
      </c>
      <c r="T175" s="329" t="s">
        <v>583</v>
      </c>
    </row>
    <row r="176" spans="19:20">
      <c r="S176" s="329" t="s">
        <v>775</v>
      </c>
      <c r="T176" s="329" t="s">
        <v>583</v>
      </c>
    </row>
    <row r="177" spans="19:20">
      <c r="S177" s="329" t="s">
        <v>777</v>
      </c>
      <c r="T177" s="329" t="s">
        <v>583</v>
      </c>
    </row>
    <row r="178" spans="19:20">
      <c r="S178" s="329" t="s">
        <v>779</v>
      </c>
      <c r="T178" s="329" t="s">
        <v>583</v>
      </c>
    </row>
    <row r="179" spans="19:20">
      <c r="S179" s="329" t="s">
        <v>781</v>
      </c>
      <c r="T179" s="329" t="s">
        <v>583</v>
      </c>
    </row>
  </sheetData>
  <mergeCells count="27">
    <mergeCell ref="G24:I24"/>
    <mergeCell ref="C26:K26"/>
    <mergeCell ref="C27:K27"/>
    <mergeCell ref="E28:K28"/>
    <mergeCell ref="A17:B17"/>
    <mergeCell ref="A20:G20"/>
    <mergeCell ref="I20:M20"/>
    <mergeCell ref="B21:G21"/>
    <mergeCell ref="I21:M21"/>
    <mergeCell ref="I17:J18"/>
    <mergeCell ref="G17:G18"/>
    <mergeCell ref="L17:N18"/>
    <mergeCell ref="B19:N19"/>
    <mergeCell ref="B9:C9"/>
    <mergeCell ref="I9:O9"/>
    <mergeCell ref="A15:B15"/>
    <mergeCell ref="G15:G16"/>
    <mergeCell ref="H15:H16"/>
    <mergeCell ref="I15:J16"/>
    <mergeCell ref="A16:B16"/>
    <mergeCell ref="C2:O2"/>
    <mergeCell ref="C3:O3"/>
    <mergeCell ref="C4:O4"/>
    <mergeCell ref="C6:O6"/>
    <mergeCell ref="B8:C8"/>
    <mergeCell ref="E8:F8"/>
    <mergeCell ref="I8:O8"/>
  </mergeCells>
  <dataValidations count="2">
    <dataValidation type="list" allowBlank="1" showInputMessage="1" showErrorMessage="1" sqref="B10:B14">
      <formula1>$S$3:$S$183</formula1>
    </dataValidation>
    <dataValidation type="list" allowBlank="1" showInputMessage="1" showErrorMessage="1" sqref="I9:J9">
      <formula1>$U$4:$U$65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Nhân Sự</vt:lpstr>
      <vt:lpstr>MA SO</vt:lpstr>
      <vt:lpstr>DATA PHOI TRON</vt:lpstr>
      <vt:lpstr>DATA N-X-T</vt:lpstr>
      <vt:lpstr>DATA VAN HANH</vt:lpstr>
      <vt:lpstr>IN CA 2</vt:lpstr>
      <vt:lpstr>IN CA 1</vt:lpstr>
      <vt:lpstr>BC NHAN SU</vt:lpstr>
      <vt:lpstr>BC XCG</vt:lpstr>
      <vt:lpstr>BC PHOI TRON</vt:lpstr>
      <vt:lpstr>DANH GIA XE XUC</vt:lpstr>
      <vt:lpstr>Data DL XCG</vt:lpstr>
      <vt:lpstr>XCG</vt:lpstr>
      <vt:lpstr>BC N-X-T</vt:lpstr>
      <vt:lpstr>VHM</vt:lpstr>
      <vt:lpstr>'DATA VAN HANH'!Print_Area</vt:lpstr>
      <vt:lpstr>'MA SO'!Print_Area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Xuan Tran</cp:lastModifiedBy>
  <cp:lastPrinted>2019-03-02T03:46:30Z</cp:lastPrinted>
  <dcterms:created xsi:type="dcterms:W3CDTF">2018-07-11T13:00:59Z</dcterms:created>
  <dcterms:modified xsi:type="dcterms:W3CDTF">2019-09-27T11:11:02Z</dcterms:modified>
</cp:coreProperties>
</file>