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Tribat\Documents\Requirements\FACTORY\"/>
    </mc:Choice>
  </mc:AlternateContent>
  <bookViews>
    <workbookView xWindow="0" yWindow="460" windowWidth="25600" windowHeight="14100" tabRatio="500"/>
  </bookViews>
  <sheets>
    <sheet name="Danh gia XCG" sheetId="2" r:id="rId1"/>
    <sheet name="Do thi" sheetId="6" r:id="rId2"/>
    <sheet name="Dinh muc" sheetId="3" r:id="rId3"/>
    <sheet name="chi phi XCG" sheetId="7" r:id="rId4"/>
  </sheets>
  <definedNames>
    <definedName name="_xlnm._FilterDatabase" localSheetId="0" hidden="1">'Danh gia XCG'!$A$4:$M$14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8" i="2" l="1"/>
  <c r="H398" i="2"/>
  <c r="I398" i="2"/>
  <c r="G399" i="2"/>
  <c r="H399" i="2"/>
  <c r="I399" i="2"/>
  <c r="G400" i="2"/>
  <c r="H400" i="2"/>
  <c r="I400" i="2"/>
  <c r="G401" i="2"/>
  <c r="H401" i="2"/>
  <c r="I401" i="2"/>
  <c r="G402" i="2"/>
  <c r="H402" i="2"/>
  <c r="I402" i="2"/>
  <c r="I403" i="2"/>
  <c r="L398" i="2"/>
  <c r="L399" i="2"/>
  <c r="L400" i="2"/>
  <c r="L401" i="2"/>
  <c r="L402" i="2"/>
  <c r="L403" i="2"/>
  <c r="I25" i="3"/>
  <c r="K398" i="2"/>
  <c r="K399" i="2"/>
  <c r="K400" i="2"/>
  <c r="K401" i="2"/>
  <c r="K402" i="2"/>
  <c r="K403" i="2"/>
  <c r="M403" i="2"/>
  <c r="O397" i="2"/>
  <c r="O403" i="2"/>
  <c r="P387" i="2"/>
  <c r="P397" i="2"/>
  <c r="P403" i="2"/>
  <c r="Q403" i="2"/>
  <c r="R398" i="2"/>
  <c r="O4" i="3"/>
  <c r="T365" i="2"/>
  <c r="T398" i="2"/>
  <c r="C39" i="7"/>
  <c r="U398" i="2"/>
  <c r="V398" i="2"/>
  <c r="X398" i="2"/>
  <c r="Y398" i="2"/>
  <c r="G387" i="2"/>
  <c r="H387" i="2"/>
  <c r="I387" i="2"/>
  <c r="G388" i="2"/>
  <c r="H388" i="2"/>
  <c r="I388" i="2"/>
  <c r="G389" i="2"/>
  <c r="H389" i="2"/>
  <c r="I389" i="2"/>
  <c r="G390" i="2"/>
  <c r="H390" i="2"/>
  <c r="I390" i="2"/>
  <c r="G391" i="2"/>
  <c r="H391" i="2"/>
  <c r="I391" i="2"/>
  <c r="G392" i="2"/>
  <c r="H392" i="2"/>
  <c r="I392" i="2"/>
  <c r="G393" i="2"/>
  <c r="H393" i="2"/>
  <c r="I393" i="2"/>
  <c r="G394" i="2"/>
  <c r="H394" i="2"/>
  <c r="I394" i="2"/>
  <c r="G395" i="2"/>
  <c r="H395" i="2"/>
  <c r="I395" i="2"/>
  <c r="G396" i="2"/>
  <c r="H396" i="2"/>
  <c r="I396" i="2"/>
  <c r="I397" i="2"/>
  <c r="L387" i="2"/>
  <c r="L388" i="2"/>
  <c r="L389" i="2"/>
  <c r="L390" i="2"/>
  <c r="L391" i="2"/>
  <c r="L392" i="2"/>
  <c r="L393" i="2"/>
  <c r="L394" i="2"/>
  <c r="L395" i="2"/>
  <c r="L396" i="2"/>
  <c r="L397" i="2"/>
  <c r="I37" i="3"/>
  <c r="K387" i="2"/>
  <c r="I26" i="3"/>
  <c r="I27" i="3"/>
  <c r="K388" i="2"/>
  <c r="K389" i="2"/>
  <c r="K390" i="2"/>
  <c r="K391" i="2"/>
  <c r="K392" i="2"/>
  <c r="K393" i="2"/>
  <c r="K394" i="2"/>
  <c r="K395" i="2"/>
  <c r="K396" i="2"/>
  <c r="K397" i="2"/>
  <c r="M397" i="2"/>
  <c r="Q397" i="2"/>
  <c r="R387" i="2"/>
  <c r="T376" i="2"/>
  <c r="T387" i="2"/>
  <c r="C38" i="7"/>
  <c r="U387" i="2"/>
  <c r="V387" i="2"/>
  <c r="X387" i="2"/>
  <c r="Y387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80" i="2"/>
  <c r="H380" i="2"/>
  <c r="I380" i="2"/>
  <c r="G381" i="2"/>
  <c r="H381" i="2"/>
  <c r="I381" i="2"/>
  <c r="G382" i="2"/>
  <c r="H382" i="2"/>
  <c r="I382" i="2"/>
  <c r="G383" i="2"/>
  <c r="H383" i="2"/>
  <c r="I383" i="2"/>
  <c r="G384" i="2"/>
  <c r="H384" i="2"/>
  <c r="I384" i="2"/>
  <c r="G385" i="2"/>
  <c r="H385" i="2"/>
  <c r="I385" i="2"/>
  <c r="I386" i="2"/>
  <c r="L376" i="2"/>
  <c r="L377" i="2"/>
  <c r="L378" i="2"/>
  <c r="L379" i="2"/>
  <c r="L380" i="2"/>
  <c r="L381" i="2"/>
  <c r="L382" i="2"/>
  <c r="L383" i="2"/>
  <c r="L384" i="2"/>
  <c r="L385" i="2"/>
  <c r="L386" i="2"/>
  <c r="K376" i="2"/>
  <c r="K377" i="2"/>
  <c r="I32" i="3"/>
  <c r="K378" i="2"/>
  <c r="I17" i="3"/>
  <c r="K379" i="2"/>
  <c r="K380" i="2"/>
  <c r="K381" i="2"/>
  <c r="K382" i="2"/>
  <c r="K383" i="2"/>
  <c r="K384" i="2"/>
  <c r="K385" i="2"/>
  <c r="K386" i="2"/>
  <c r="M386" i="2"/>
  <c r="O386" i="2"/>
  <c r="P376" i="2"/>
  <c r="P386" i="2"/>
  <c r="Q386" i="2"/>
  <c r="R376" i="2"/>
  <c r="C37" i="7"/>
  <c r="U376" i="2"/>
  <c r="V376" i="2"/>
  <c r="X376" i="2"/>
  <c r="Y376" i="2"/>
  <c r="G365" i="2"/>
  <c r="H365" i="2"/>
  <c r="I365" i="2"/>
  <c r="G366" i="2"/>
  <c r="H366" i="2"/>
  <c r="I366" i="2"/>
  <c r="G367" i="2"/>
  <c r="H367" i="2"/>
  <c r="I367" i="2"/>
  <c r="G368" i="2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74" i="2"/>
  <c r="H374" i="2"/>
  <c r="I374" i="2"/>
  <c r="I375" i="2"/>
  <c r="L365" i="2"/>
  <c r="L366" i="2"/>
  <c r="L367" i="2"/>
  <c r="L368" i="2"/>
  <c r="L369" i="2"/>
  <c r="L370" i="2"/>
  <c r="L371" i="2"/>
  <c r="L372" i="2"/>
  <c r="L373" i="2"/>
  <c r="L374" i="2"/>
  <c r="L375" i="2"/>
  <c r="K365" i="2"/>
  <c r="I14" i="3"/>
  <c r="K366" i="2"/>
  <c r="I12" i="3"/>
  <c r="K367" i="2"/>
  <c r="K368" i="2"/>
  <c r="K369" i="2"/>
  <c r="K370" i="2"/>
  <c r="K371" i="2"/>
  <c r="K372" i="2"/>
  <c r="K373" i="2"/>
  <c r="K374" i="2"/>
  <c r="K375" i="2"/>
  <c r="M375" i="2"/>
  <c r="O375" i="2"/>
  <c r="P365" i="2"/>
  <c r="P375" i="2"/>
  <c r="Q375" i="2"/>
  <c r="R365" i="2"/>
  <c r="C36" i="7"/>
  <c r="U365" i="2"/>
  <c r="V365" i="2"/>
  <c r="X365" i="2"/>
  <c r="Y365" i="2"/>
  <c r="G354" i="2"/>
  <c r="H354" i="2"/>
  <c r="I354" i="2"/>
  <c r="G355" i="2"/>
  <c r="H355" i="2"/>
  <c r="I355" i="2"/>
  <c r="G356" i="2"/>
  <c r="H356" i="2"/>
  <c r="I356" i="2"/>
  <c r="G357" i="2"/>
  <c r="H357" i="2"/>
  <c r="I357" i="2"/>
  <c r="G358" i="2"/>
  <c r="H358" i="2"/>
  <c r="I358" i="2"/>
  <c r="G359" i="2"/>
  <c r="H359" i="2"/>
  <c r="I359" i="2"/>
  <c r="G360" i="2"/>
  <c r="H360" i="2"/>
  <c r="I360" i="2"/>
  <c r="G361" i="2"/>
  <c r="H361" i="2"/>
  <c r="I361" i="2"/>
  <c r="G362" i="2"/>
  <c r="H362" i="2"/>
  <c r="I362" i="2"/>
  <c r="G363" i="2"/>
  <c r="H363" i="2"/>
  <c r="I363" i="2"/>
  <c r="I364" i="2"/>
  <c r="L354" i="2"/>
  <c r="L355" i="2"/>
  <c r="L356" i="2"/>
  <c r="L357" i="2"/>
  <c r="L358" i="2"/>
  <c r="L359" i="2"/>
  <c r="L360" i="2"/>
  <c r="L361" i="2"/>
  <c r="L362" i="2"/>
  <c r="L363" i="2"/>
  <c r="L364" i="2"/>
  <c r="K354" i="2"/>
  <c r="K355" i="2"/>
  <c r="I19" i="3"/>
  <c r="K356" i="2"/>
  <c r="K357" i="2"/>
  <c r="I28" i="3"/>
  <c r="K358" i="2"/>
  <c r="K359" i="2"/>
  <c r="K360" i="2"/>
  <c r="K361" i="2"/>
  <c r="K362" i="2"/>
  <c r="K363" i="2"/>
  <c r="K364" i="2"/>
  <c r="M364" i="2"/>
  <c r="O364" i="2"/>
  <c r="P354" i="2"/>
  <c r="P364" i="2"/>
  <c r="Q364" i="2"/>
  <c r="R354" i="2"/>
  <c r="T354" i="2"/>
  <c r="C35" i="7"/>
  <c r="U354" i="2"/>
  <c r="V354" i="2"/>
  <c r="X354" i="2"/>
  <c r="Y354" i="2"/>
  <c r="G347" i="2"/>
  <c r="H347" i="2"/>
  <c r="I347" i="2"/>
  <c r="G348" i="2"/>
  <c r="H348" i="2"/>
  <c r="I348" i="2"/>
  <c r="G349" i="2"/>
  <c r="H349" i="2"/>
  <c r="I349" i="2"/>
  <c r="G350" i="2"/>
  <c r="H350" i="2"/>
  <c r="I350" i="2"/>
  <c r="G351" i="2"/>
  <c r="H351" i="2"/>
  <c r="I351" i="2"/>
  <c r="G352" i="2"/>
  <c r="H352" i="2"/>
  <c r="I352" i="2"/>
  <c r="I353" i="2"/>
  <c r="L347" i="2"/>
  <c r="L348" i="2"/>
  <c r="L349" i="2"/>
  <c r="L350" i="2"/>
  <c r="L351" i="2"/>
  <c r="L352" i="2"/>
  <c r="L353" i="2"/>
  <c r="H5" i="3"/>
  <c r="K347" i="2"/>
  <c r="K348" i="2"/>
  <c r="K349" i="2"/>
  <c r="K350" i="2"/>
  <c r="H37" i="3"/>
  <c r="K351" i="2"/>
  <c r="K352" i="2"/>
  <c r="K353" i="2"/>
  <c r="M353" i="2"/>
  <c r="O353" i="2"/>
  <c r="P347" i="2"/>
  <c r="P353" i="2"/>
  <c r="Q353" i="2"/>
  <c r="R347" i="2"/>
  <c r="N4" i="3"/>
  <c r="T347" i="2"/>
  <c r="C34" i="7"/>
  <c r="U347" i="2"/>
  <c r="V347" i="2"/>
  <c r="X347" i="2"/>
  <c r="Y347" i="2"/>
  <c r="G336" i="2"/>
  <c r="H336" i="2"/>
  <c r="I336" i="2"/>
  <c r="G337" i="2"/>
  <c r="H337" i="2"/>
  <c r="I337" i="2"/>
  <c r="G338" i="2"/>
  <c r="H338" i="2"/>
  <c r="I338" i="2"/>
  <c r="G339" i="2"/>
  <c r="H339" i="2"/>
  <c r="I339" i="2"/>
  <c r="G340" i="2"/>
  <c r="H340" i="2"/>
  <c r="I340" i="2"/>
  <c r="G341" i="2"/>
  <c r="H341" i="2"/>
  <c r="I341" i="2"/>
  <c r="G342" i="2"/>
  <c r="H342" i="2"/>
  <c r="I342" i="2"/>
  <c r="G343" i="2"/>
  <c r="H343" i="2"/>
  <c r="I343" i="2"/>
  <c r="G344" i="2"/>
  <c r="H344" i="2"/>
  <c r="I344" i="2"/>
  <c r="G345" i="2"/>
  <c r="H345" i="2"/>
  <c r="I345" i="2"/>
  <c r="I346" i="2"/>
  <c r="L336" i="2"/>
  <c r="L337" i="2"/>
  <c r="L338" i="2"/>
  <c r="L339" i="2"/>
  <c r="L340" i="2"/>
  <c r="L341" i="2"/>
  <c r="L342" i="2"/>
  <c r="L343" i="2"/>
  <c r="L344" i="2"/>
  <c r="L345" i="2"/>
  <c r="L346" i="2"/>
  <c r="F37" i="3"/>
  <c r="K336" i="2"/>
  <c r="F9" i="3"/>
  <c r="K337" i="2"/>
  <c r="F4" i="3"/>
  <c r="K338" i="2"/>
  <c r="F30" i="3"/>
  <c r="K339" i="2"/>
  <c r="K340" i="2"/>
  <c r="F22" i="3"/>
  <c r="K341" i="2"/>
  <c r="K342" i="2"/>
  <c r="K343" i="2"/>
  <c r="K344" i="2"/>
  <c r="K345" i="2"/>
  <c r="K346" i="2"/>
  <c r="M346" i="2"/>
  <c r="O346" i="2"/>
  <c r="P336" i="2"/>
  <c r="P346" i="2"/>
  <c r="Q346" i="2"/>
  <c r="R336" i="2"/>
  <c r="J4" i="3"/>
  <c r="T248" i="2"/>
  <c r="T259" i="2"/>
  <c r="T270" i="2"/>
  <c r="T281" i="2"/>
  <c r="T292" i="2"/>
  <c r="T303" i="2"/>
  <c r="T314" i="2"/>
  <c r="T325" i="2"/>
  <c r="T336" i="2"/>
  <c r="C33" i="7"/>
  <c r="U336" i="2"/>
  <c r="V336" i="2"/>
  <c r="X336" i="2"/>
  <c r="Y336" i="2"/>
  <c r="G325" i="2"/>
  <c r="H325" i="2"/>
  <c r="I325" i="2"/>
  <c r="G326" i="2"/>
  <c r="H326" i="2"/>
  <c r="I326" i="2"/>
  <c r="G327" i="2"/>
  <c r="H327" i="2"/>
  <c r="I327" i="2"/>
  <c r="G328" i="2"/>
  <c r="H328" i="2"/>
  <c r="I328" i="2"/>
  <c r="G329" i="2"/>
  <c r="H329" i="2"/>
  <c r="I329" i="2"/>
  <c r="G330" i="2"/>
  <c r="H330" i="2"/>
  <c r="I330" i="2"/>
  <c r="G331" i="2"/>
  <c r="H331" i="2"/>
  <c r="I331" i="2"/>
  <c r="G332" i="2"/>
  <c r="H332" i="2"/>
  <c r="I332" i="2"/>
  <c r="G333" i="2"/>
  <c r="H333" i="2"/>
  <c r="I333" i="2"/>
  <c r="G334" i="2"/>
  <c r="H334" i="2"/>
  <c r="I334" i="2"/>
  <c r="I335" i="2"/>
  <c r="L325" i="2"/>
  <c r="L326" i="2"/>
  <c r="L327" i="2"/>
  <c r="L328" i="2"/>
  <c r="L329" i="2"/>
  <c r="L330" i="2"/>
  <c r="L331" i="2"/>
  <c r="L332" i="2"/>
  <c r="L333" i="2"/>
  <c r="L334" i="2"/>
  <c r="L335" i="2"/>
  <c r="K325" i="2"/>
  <c r="F19" i="3"/>
  <c r="K326" i="2"/>
  <c r="F17" i="3"/>
  <c r="K327" i="2"/>
  <c r="F18" i="3"/>
  <c r="K328" i="2"/>
  <c r="K329" i="2"/>
  <c r="K330" i="2"/>
  <c r="K331" i="2"/>
  <c r="K332" i="2"/>
  <c r="K333" i="2"/>
  <c r="K334" i="2"/>
  <c r="K335" i="2"/>
  <c r="M335" i="2"/>
  <c r="O335" i="2"/>
  <c r="P325" i="2"/>
  <c r="P335" i="2"/>
  <c r="Q335" i="2"/>
  <c r="R325" i="2"/>
  <c r="C32" i="7"/>
  <c r="U325" i="2"/>
  <c r="V325" i="2"/>
  <c r="X325" i="2"/>
  <c r="Y325" i="2"/>
  <c r="G314" i="2"/>
  <c r="H314" i="2"/>
  <c r="I314" i="2"/>
  <c r="G315" i="2"/>
  <c r="H315" i="2"/>
  <c r="I315" i="2"/>
  <c r="G316" i="2"/>
  <c r="H316" i="2"/>
  <c r="I316" i="2"/>
  <c r="G317" i="2"/>
  <c r="H317" i="2"/>
  <c r="I317" i="2"/>
  <c r="G318" i="2"/>
  <c r="H318" i="2"/>
  <c r="I318" i="2"/>
  <c r="G319" i="2"/>
  <c r="H319" i="2"/>
  <c r="I319" i="2"/>
  <c r="G320" i="2"/>
  <c r="H320" i="2"/>
  <c r="I320" i="2"/>
  <c r="G321" i="2"/>
  <c r="H321" i="2"/>
  <c r="I321" i="2"/>
  <c r="G322" i="2"/>
  <c r="H322" i="2"/>
  <c r="I322" i="2"/>
  <c r="G323" i="2"/>
  <c r="H323" i="2"/>
  <c r="I323" i="2"/>
  <c r="I324" i="2"/>
  <c r="L314" i="2"/>
  <c r="L315" i="2"/>
  <c r="L316" i="2"/>
  <c r="L317" i="2"/>
  <c r="L318" i="2"/>
  <c r="L319" i="2"/>
  <c r="L320" i="2"/>
  <c r="L321" i="2"/>
  <c r="L322" i="2"/>
  <c r="L323" i="2"/>
  <c r="L324" i="2"/>
  <c r="K314" i="2"/>
  <c r="K315" i="2"/>
  <c r="F15" i="3"/>
  <c r="K316" i="2"/>
  <c r="K317" i="2"/>
  <c r="K318" i="2"/>
  <c r="K319" i="2"/>
  <c r="K320" i="2"/>
  <c r="K321" i="2"/>
  <c r="K322" i="2"/>
  <c r="K323" i="2"/>
  <c r="K324" i="2"/>
  <c r="M324" i="2"/>
  <c r="O324" i="2"/>
  <c r="P314" i="2"/>
  <c r="P324" i="2"/>
  <c r="Q324" i="2"/>
  <c r="R314" i="2"/>
  <c r="C31" i="7"/>
  <c r="U314" i="2"/>
  <c r="V314" i="2"/>
  <c r="X314" i="2"/>
  <c r="Y314" i="2"/>
  <c r="G303" i="2"/>
  <c r="H303" i="2"/>
  <c r="I303" i="2"/>
  <c r="G304" i="2"/>
  <c r="H304" i="2"/>
  <c r="I304" i="2"/>
  <c r="G305" i="2"/>
  <c r="H305" i="2"/>
  <c r="I305" i="2"/>
  <c r="G306" i="2"/>
  <c r="H306" i="2"/>
  <c r="I306" i="2"/>
  <c r="G307" i="2"/>
  <c r="H307" i="2"/>
  <c r="I307" i="2"/>
  <c r="G308" i="2"/>
  <c r="H308" i="2"/>
  <c r="I308" i="2"/>
  <c r="G309" i="2"/>
  <c r="H309" i="2"/>
  <c r="I309" i="2"/>
  <c r="G310" i="2"/>
  <c r="H310" i="2"/>
  <c r="I310" i="2"/>
  <c r="G311" i="2"/>
  <c r="H311" i="2"/>
  <c r="I311" i="2"/>
  <c r="G312" i="2"/>
  <c r="H312" i="2"/>
  <c r="I312" i="2"/>
  <c r="I313" i="2"/>
  <c r="L303" i="2"/>
  <c r="L304" i="2"/>
  <c r="L305" i="2"/>
  <c r="L306" i="2"/>
  <c r="L307" i="2"/>
  <c r="L308" i="2"/>
  <c r="L309" i="2"/>
  <c r="L310" i="2"/>
  <c r="L311" i="2"/>
  <c r="L312" i="2"/>
  <c r="L313" i="2"/>
  <c r="K303" i="2"/>
  <c r="K304" i="2"/>
  <c r="K305" i="2"/>
  <c r="K306" i="2"/>
  <c r="K307" i="2"/>
  <c r="K308" i="2"/>
  <c r="K309" i="2"/>
  <c r="K310" i="2"/>
  <c r="K311" i="2"/>
  <c r="K312" i="2"/>
  <c r="K313" i="2"/>
  <c r="M313" i="2"/>
  <c r="O313" i="2"/>
  <c r="P303" i="2"/>
  <c r="P313" i="2"/>
  <c r="Q313" i="2"/>
  <c r="R303" i="2"/>
  <c r="C30" i="7"/>
  <c r="U303" i="2"/>
  <c r="V303" i="2"/>
  <c r="X303" i="2"/>
  <c r="Y303" i="2"/>
  <c r="G292" i="2"/>
  <c r="H292" i="2"/>
  <c r="I292" i="2"/>
  <c r="G293" i="2"/>
  <c r="H293" i="2"/>
  <c r="I293" i="2"/>
  <c r="G294" i="2"/>
  <c r="H294" i="2"/>
  <c r="I294" i="2"/>
  <c r="G295" i="2"/>
  <c r="H295" i="2"/>
  <c r="I295" i="2"/>
  <c r="G296" i="2"/>
  <c r="H296" i="2"/>
  <c r="I296" i="2"/>
  <c r="G297" i="2"/>
  <c r="H297" i="2"/>
  <c r="I297" i="2"/>
  <c r="G298" i="2"/>
  <c r="H298" i="2"/>
  <c r="I298" i="2"/>
  <c r="G299" i="2"/>
  <c r="H299" i="2"/>
  <c r="I299" i="2"/>
  <c r="G300" i="2"/>
  <c r="H300" i="2"/>
  <c r="I300" i="2"/>
  <c r="G301" i="2"/>
  <c r="H301" i="2"/>
  <c r="I301" i="2"/>
  <c r="I302" i="2"/>
  <c r="L292" i="2"/>
  <c r="L293" i="2"/>
  <c r="L294" i="2"/>
  <c r="L295" i="2"/>
  <c r="L296" i="2"/>
  <c r="L297" i="2"/>
  <c r="L298" i="2"/>
  <c r="L299" i="2"/>
  <c r="L300" i="2"/>
  <c r="L301" i="2"/>
  <c r="L302" i="2"/>
  <c r="K292" i="2"/>
  <c r="K293" i="2"/>
  <c r="F28" i="3"/>
  <c r="K294" i="2"/>
  <c r="K295" i="2"/>
  <c r="K296" i="2"/>
  <c r="K297" i="2"/>
  <c r="K298" i="2"/>
  <c r="K299" i="2"/>
  <c r="K300" i="2"/>
  <c r="K301" i="2"/>
  <c r="K302" i="2"/>
  <c r="M302" i="2"/>
  <c r="O302" i="2"/>
  <c r="P292" i="2"/>
  <c r="P302" i="2"/>
  <c r="Q302" i="2"/>
  <c r="R292" i="2"/>
  <c r="C29" i="7"/>
  <c r="U292" i="2"/>
  <c r="V292" i="2"/>
  <c r="X292" i="2"/>
  <c r="Y292" i="2"/>
  <c r="G281" i="2"/>
  <c r="H281" i="2"/>
  <c r="I281" i="2"/>
  <c r="G282" i="2"/>
  <c r="H282" i="2"/>
  <c r="I282" i="2"/>
  <c r="G283" i="2"/>
  <c r="H283" i="2"/>
  <c r="I283" i="2"/>
  <c r="G284" i="2"/>
  <c r="H284" i="2"/>
  <c r="I284" i="2"/>
  <c r="G285" i="2"/>
  <c r="H285" i="2"/>
  <c r="I285" i="2"/>
  <c r="G286" i="2"/>
  <c r="H286" i="2"/>
  <c r="I286" i="2"/>
  <c r="G287" i="2"/>
  <c r="H287" i="2"/>
  <c r="I287" i="2"/>
  <c r="G288" i="2"/>
  <c r="H288" i="2"/>
  <c r="I288" i="2"/>
  <c r="G289" i="2"/>
  <c r="H289" i="2"/>
  <c r="I289" i="2"/>
  <c r="G290" i="2"/>
  <c r="H290" i="2"/>
  <c r="I290" i="2"/>
  <c r="I291" i="2"/>
  <c r="L281" i="2"/>
  <c r="L282" i="2"/>
  <c r="L283" i="2"/>
  <c r="L284" i="2"/>
  <c r="L285" i="2"/>
  <c r="L286" i="2"/>
  <c r="L287" i="2"/>
  <c r="L288" i="2"/>
  <c r="L289" i="2"/>
  <c r="L290" i="2"/>
  <c r="L291" i="2"/>
  <c r="K281" i="2"/>
  <c r="F32" i="3"/>
  <c r="K282" i="2"/>
  <c r="K283" i="2"/>
  <c r="K284" i="2"/>
  <c r="K285" i="2"/>
  <c r="K286" i="2"/>
  <c r="K287" i="2"/>
  <c r="K288" i="2"/>
  <c r="K289" i="2"/>
  <c r="K290" i="2"/>
  <c r="K291" i="2"/>
  <c r="M291" i="2"/>
  <c r="O291" i="2"/>
  <c r="P281" i="2"/>
  <c r="P291" i="2"/>
  <c r="Q291" i="2"/>
  <c r="R281" i="2"/>
  <c r="C28" i="7"/>
  <c r="U281" i="2"/>
  <c r="V281" i="2"/>
  <c r="X281" i="2"/>
  <c r="Y281" i="2"/>
  <c r="G270" i="2"/>
  <c r="H270" i="2"/>
  <c r="I270" i="2"/>
  <c r="G271" i="2"/>
  <c r="H271" i="2"/>
  <c r="I271" i="2"/>
  <c r="G272" i="2"/>
  <c r="H272" i="2"/>
  <c r="I272" i="2"/>
  <c r="G273" i="2"/>
  <c r="H273" i="2"/>
  <c r="I273" i="2"/>
  <c r="G274" i="2"/>
  <c r="H274" i="2"/>
  <c r="I274" i="2"/>
  <c r="G275" i="2"/>
  <c r="H275" i="2"/>
  <c r="I275" i="2"/>
  <c r="G276" i="2"/>
  <c r="H276" i="2"/>
  <c r="I276" i="2"/>
  <c r="G277" i="2"/>
  <c r="H277" i="2"/>
  <c r="I277" i="2"/>
  <c r="G278" i="2"/>
  <c r="H278" i="2"/>
  <c r="I278" i="2"/>
  <c r="G279" i="2"/>
  <c r="H279" i="2"/>
  <c r="I279" i="2"/>
  <c r="I280" i="2"/>
  <c r="L270" i="2"/>
  <c r="L271" i="2"/>
  <c r="L272" i="2"/>
  <c r="L273" i="2"/>
  <c r="L274" i="2"/>
  <c r="L275" i="2"/>
  <c r="L276" i="2"/>
  <c r="L277" i="2"/>
  <c r="L278" i="2"/>
  <c r="L279" i="2"/>
  <c r="L280" i="2"/>
  <c r="K270" i="2"/>
  <c r="K271" i="2"/>
  <c r="F16" i="3"/>
  <c r="K272" i="2"/>
  <c r="K273" i="2"/>
  <c r="K274" i="2"/>
  <c r="K275" i="2"/>
  <c r="K276" i="2"/>
  <c r="K277" i="2"/>
  <c r="K278" i="2"/>
  <c r="K279" i="2"/>
  <c r="K280" i="2"/>
  <c r="M280" i="2"/>
  <c r="O280" i="2"/>
  <c r="P270" i="2"/>
  <c r="P280" i="2"/>
  <c r="Q280" i="2"/>
  <c r="R270" i="2"/>
  <c r="C27" i="7"/>
  <c r="U270" i="2"/>
  <c r="V270" i="2"/>
  <c r="X270" i="2"/>
  <c r="Y270" i="2"/>
  <c r="G259" i="2"/>
  <c r="H259" i="2"/>
  <c r="I259" i="2"/>
  <c r="G260" i="2"/>
  <c r="H260" i="2"/>
  <c r="I260" i="2"/>
  <c r="G261" i="2"/>
  <c r="H261" i="2"/>
  <c r="I261" i="2"/>
  <c r="G262" i="2"/>
  <c r="H262" i="2"/>
  <c r="I262" i="2"/>
  <c r="G263" i="2"/>
  <c r="H263" i="2"/>
  <c r="I263" i="2"/>
  <c r="G264" i="2"/>
  <c r="H264" i="2"/>
  <c r="I264" i="2"/>
  <c r="G265" i="2"/>
  <c r="H265" i="2"/>
  <c r="I265" i="2"/>
  <c r="G266" i="2"/>
  <c r="H266" i="2"/>
  <c r="I266" i="2"/>
  <c r="G267" i="2"/>
  <c r="H267" i="2"/>
  <c r="I267" i="2"/>
  <c r="G268" i="2"/>
  <c r="H268" i="2"/>
  <c r="I268" i="2"/>
  <c r="I269" i="2"/>
  <c r="L259" i="2"/>
  <c r="L260" i="2"/>
  <c r="L261" i="2"/>
  <c r="L262" i="2"/>
  <c r="L263" i="2"/>
  <c r="L264" i="2"/>
  <c r="L265" i="2"/>
  <c r="L266" i="2"/>
  <c r="L267" i="2"/>
  <c r="L268" i="2"/>
  <c r="L269" i="2"/>
  <c r="K259" i="2"/>
  <c r="F6" i="3"/>
  <c r="K260" i="2"/>
  <c r="F7" i="3"/>
  <c r="K261" i="2"/>
  <c r="F8" i="3"/>
  <c r="K262" i="2"/>
  <c r="K263" i="2"/>
  <c r="K264" i="2"/>
  <c r="K265" i="2"/>
  <c r="K266" i="2"/>
  <c r="K267" i="2"/>
  <c r="K268" i="2"/>
  <c r="K269" i="2"/>
  <c r="M269" i="2"/>
  <c r="O269" i="2"/>
  <c r="P259" i="2"/>
  <c r="P269" i="2"/>
  <c r="Q269" i="2"/>
  <c r="R259" i="2"/>
  <c r="C26" i="7"/>
  <c r="U259" i="2"/>
  <c r="V259" i="2"/>
  <c r="X259" i="2"/>
  <c r="Y259" i="2"/>
  <c r="G248" i="2"/>
  <c r="H248" i="2"/>
  <c r="I248" i="2"/>
  <c r="G249" i="2"/>
  <c r="H249" i="2"/>
  <c r="I249" i="2"/>
  <c r="G250" i="2"/>
  <c r="H250" i="2"/>
  <c r="I250" i="2"/>
  <c r="G251" i="2"/>
  <c r="H251" i="2"/>
  <c r="I251" i="2"/>
  <c r="G252" i="2"/>
  <c r="H252" i="2"/>
  <c r="I252" i="2"/>
  <c r="G253" i="2"/>
  <c r="H253" i="2"/>
  <c r="I253" i="2"/>
  <c r="G254" i="2"/>
  <c r="H254" i="2"/>
  <c r="I254" i="2"/>
  <c r="G255" i="2"/>
  <c r="H255" i="2"/>
  <c r="I255" i="2"/>
  <c r="G256" i="2"/>
  <c r="H256" i="2"/>
  <c r="I256" i="2"/>
  <c r="G257" i="2"/>
  <c r="H257" i="2"/>
  <c r="I257" i="2"/>
  <c r="I258" i="2"/>
  <c r="L248" i="2"/>
  <c r="L249" i="2"/>
  <c r="L250" i="2"/>
  <c r="L251" i="2"/>
  <c r="L252" i="2"/>
  <c r="L253" i="2"/>
  <c r="L254" i="2"/>
  <c r="L255" i="2"/>
  <c r="L256" i="2"/>
  <c r="L257" i="2"/>
  <c r="L258" i="2"/>
  <c r="K248" i="2"/>
  <c r="K249" i="2"/>
  <c r="K250" i="2"/>
  <c r="K251" i="2"/>
  <c r="K252" i="2"/>
  <c r="K253" i="2"/>
  <c r="K254" i="2"/>
  <c r="K255" i="2"/>
  <c r="K256" i="2"/>
  <c r="K257" i="2"/>
  <c r="K258" i="2"/>
  <c r="M258" i="2"/>
  <c r="O258" i="2"/>
  <c r="P248" i="2"/>
  <c r="P258" i="2"/>
  <c r="Q258" i="2"/>
  <c r="R248" i="2"/>
  <c r="C25" i="7"/>
  <c r="U248" i="2"/>
  <c r="V248" i="2"/>
  <c r="X248" i="2"/>
  <c r="Y248" i="2"/>
  <c r="G237" i="2"/>
  <c r="H237" i="2"/>
  <c r="I237" i="2"/>
  <c r="G238" i="2"/>
  <c r="H238" i="2"/>
  <c r="I238" i="2"/>
  <c r="G239" i="2"/>
  <c r="H239" i="2"/>
  <c r="I239" i="2"/>
  <c r="G240" i="2"/>
  <c r="H240" i="2"/>
  <c r="I240" i="2"/>
  <c r="G241" i="2"/>
  <c r="H241" i="2"/>
  <c r="I241" i="2"/>
  <c r="G242" i="2"/>
  <c r="H242" i="2"/>
  <c r="I242" i="2"/>
  <c r="G243" i="2"/>
  <c r="H243" i="2"/>
  <c r="I243" i="2"/>
  <c r="G244" i="2"/>
  <c r="H244" i="2"/>
  <c r="I244" i="2"/>
  <c r="G245" i="2"/>
  <c r="H245" i="2"/>
  <c r="I245" i="2"/>
  <c r="G246" i="2"/>
  <c r="H246" i="2"/>
  <c r="I246" i="2"/>
  <c r="I247" i="2"/>
  <c r="L237" i="2"/>
  <c r="L238" i="2"/>
  <c r="L239" i="2"/>
  <c r="L240" i="2"/>
  <c r="L241" i="2"/>
  <c r="L242" i="2"/>
  <c r="L243" i="2"/>
  <c r="L244" i="2"/>
  <c r="L245" i="2"/>
  <c r="L246" i="2"/>
  <c r="L247" i="2"/>
  <c r="K237" i="2"/>
  <c r="K238" i="2"/>
  <c r="K239" i="2"/>
  <c r="F31" i="3"/>
  <c r="K240" i="2"/>
  <c r="K241" i="2"/>
  <c r="K242" i="2"/>
  <c r="K243" i="2"/>
  <c r="K244" i="2"/>
  <c r="K245" i="2"/>
  <c r="K246" i="2"/>
  <c r="K247" i="2"/>
  <c r="M247" i="2"/>
  <c r="O247" i="2"/>
  <c r="P237" i="2"/>
  <c r="P247" i="2"/>
  <c r="Q247" i="2"/>
  <c r="R237" i="2"/>
  <c r="K4" i="3"/>
  <c r="T204" i="2"/>
  <c r="T215" i="2"/>
  <c r="T226" i="2"/>
  <c r="T237" i="2"/>
  <c r="C24" i="7"/>
  <c r="U237" i="2"/>
  <c r="V237" i="2"/>
  <c r="X237" i="2"/>
  <c r="Y237" i="2"/>
  <c r="G226" i="2"/>
  <c r="H226" i="2"/>
  <c r="I226" i="2"/>
  <c r="G227" i="2"/>
  <c r="H227" i="2"/>
  <c r="I227" i="2"/>
  <c r="G228" i="2"/>
  <c r="H228" i="2"/>
  <c r="I228" i="2"/>
  <c r="G229" i="2"/>
  <c r="H229" i="2"/>
  <c r="I229" i="2"/>
  <c r="G230" i="2"/>
  <c r="H230" i="2"/>
  <c r="I230" i="2"/>
  <c r="G231" i="2"/>
  <c r="H231" i="2"/>
  <c r="I231" i="2"/>
  <c r="G232" i="2"/>
  <c r="H232" i="2"/>
  <c r="I232" i="2"/>
  <c r="G233" i="2"/>
  <c r="H233" i="2"/>
  <c r="I233" i="2"/>
  <c r="G234" i="2"/>
  <c r="H234" i="2"/>
  <c r="I234" i="2"/>
  <c r="G235" i="2"/>
  <c r="H235" i="2"/>
  <c r="I235" i="2"/>
  <c r="I236" i="2"/>
  <c r="L226" i="2"/>
  <c r="L227" i="2"/>
  <c r="L228" i="2"/>
  <c r="L229" i="2"/>
  <c r="L230" i="2"/>
  <c r="L231" i="2"/>
  <c r="L232" i="2"/>
  <c r="L233" i="2"/>
  <c r="L234" i="2"/>
  <c r="L235" i="2"/>
  <c r="L236" i="2"/>
  <c r="K226" i="2"/>
  <c r="K227" i="2"/>
  <c r="K228" i="2"/>
  <c r="K229" i="2"/>
  <c r="K230" i="2"/>
  <c r="K231" i="2"/>
  <c r="K232" i="2"/>
  <c r="K233" i="2"/>
  <c r="K234" i="2"/>
  <c r="K235" i="2"/>
  <c r="K236" i="2"/>
  <c r="M236" i="2"/>
  <c r="O236" i="2"/>
  <c r="P226" i="2"/>
  <c r="P236" i="2"/>
  <c r="Q236" i="2"/>
  <c r="R226" i="2"/>
  <c r="C23" i="7"/>
  <c r="U226" i="2"/>
  <c r="V226" i="2"/>
  <c r="X226" i="2"/>
  <c r="Y226" i="2"/>
  <c r="G215" i="2"/>
  <c r="H215" i="2"/>
  <c r="I215" i="2"/>
  <c r="G216" i="2"/>
  <c r="H216" i="2"/>
  <c r="I216" i="2"/>
  <c r="G217" i="2"/>
  <c r="H217" i="2"/>
  <c r="I217" i="2"/>
  <c r="G218" i="2"/>
  <c r="H218" i="2"/>
  <c r="I218" i="2"/>
  <c r="G219" i="2"/>
  <c r="H219" i="2"/>
  <c r="I219" i="2"/>
  <c r="G220" i="2"/>
  <c r="H220" i="2"/>
  <c r="I220" i="2"/>
  <c r="G221" i="2"/>
  <c r="H221" i="2"/>
  <c r="I221" i="2"/>
  <c r="G222" i="2"/>
  <c r="H222" i="2"/>
  <c r="I222" i="2"/>
  <c r="G223" i="2"/>
  <c r="H223" i="2"/>
  <c r="I223" i="2"/>
  <c r="G224" i="2"/>
  <c r="H224" i="2"/>
  <c r="I224" i="2"/>
  <c r="I225" i="2"/>
  <c r="L215" i="2"/>
  <c r="L216" i="2"/>
  <c r="L217" i="2"/>
  <c r="L218" i="2"/>
  <c r="L219" i="2"/>
  <c r="L220" i="2"/>
  <c r="L221" i="2"/>
  <c r="L222" i="2"/>
  <c r="L223" i="2"/>
  <c r="L224" i="2"/>
  <c r="L225" i="2"/>
  <c r="K215" i="2"/>
  <c r="K216" i="2"/>
  <c r="K217" i="2"/>
  <c r="K218" i="2"/>
  <c r="K219" i="2"/>
  <c r="K220" i="2"/>
  <c r="K221" i="2"/>
  <c r="K222" i="2"/>
  <c r="K223" i="2"/>
  <c r="K224" i="2"/>
  <c r="K225" i="2"/>
  <c r="M225" i="2"/>
  <c r="O225" i="2"/>
  <c r="P215" i="2"/>
  <c r="P225" i="2"/>
  <c r="Q225" i="2"/>
  <c r="R215" i="2"/>
  <c r="C22" i="7"/>
  <c r="U215" i="2"/>
  <c r="V215" i="2"/>
  <c r="X215" i="2"/>
  <c r="Y215" i="2"/>
  <c r="G204" i="2"/>
  <c r="H204" i="2"/>
  <c r="I204" i="2"/>
  <c r="G205" i="2"/>
  <c r="H205" i="2"/>
  <c r="I205" i="2"/>
  <c r="G206" i="2"/>
  <c r="H206" i="2"/>
  <c r="I206" i="2"/>
  <c r="G207" i="2"/>
  <c r="H207" i="2"/>
  <c r="I207" i="2"/>
  <c r="G208" i="2"/>
  <c r="H208" i="2"/>
  <c r="I208" i="2"/>
  <c r="G209" i="2"/>
  <c r="H209" i="2"/>
  <c r="I209" i="2"/>
  <c r="G210" i="2"/>
  <c r="H210" i="2"/>
  <c r="I210" i="2"/>
  <c r="G211" i="2"/>
  <c r="H211" i="2"/>
  <c r="I211" i="2"/>
  <c r="G212" i="2"/>
  <c r="H212" i="2"/>
  <c r="I212" i="2"/>
  <c r="G213" i="2"/>
  <c r="H213" i="2"/>
  <c r="I213" i="2"/>
  <c r="I214" i="2"/>
  <c r="L204" i="2"/>
  <c r="L205" i="2"/>
  <c r="L206" i="2"/>
  <c r="L207" i="2"/>
  <c r="L208" i="2"/>
  <c r="L209" i="2"/>
  <c r="L210" i="2"/>
  <c r="L211" i="2"/>
  <c r="L212" i="2"/>
  <c r="L213" i="2"/>
  <c r="L214" i="2"/>
  <c r="K204" i="2"/>
  <c r="K205" i="2"/>
  <c r="K206" i="2"/>
  <c r="K207" i="2"/>
  <c r="K208" i="2"/>
  <c r="K209" i="2"/>
  <c r="K210" i="2"/>
  <c r="K211" i="2"/>
  <c r="K212" i="2"/>
  <c r="K213" i="2"/>
  <c r="K214" i="2"/>
  <c r="M214" i="2"/>
  <c r="O214" i="2"/>
  <c r="P204" i="2"/>
  <c r="P214" i="2"/>
  <c r="Q214" i="2"/>
  <c r="R204" i="2"/>
  <c r="C21" i="7"/>
  <c r="U204" i="2"/>
  <c r="V204" i="2"/>
  <c r="X204" i="2"/>
  <c r="Y204" i="2"/>
  <c r="G193" i="2"/>
  <c r="H193" i="2"/>
  <c r="I193" i="2"/>
  <c r="G194" i="2"/>
  <c r="H194" i="2"/>
  <c r="I194" i="2"/>
  <c r="G195" i="2"/>
  <c r="H195" i="2"/>
  <c r="I195" i="2"/>
  <c r="G196" i="2"/>
  <c r="H196" i="2"/>
  <c r="I196" i="2"/>
  <c r="G197" i="2"/>
  <c r="H197" i="2"/>
  <c r="I197" i="2"/>
  <c r="G198" i="2"/>
  <c r="H198" i="2"/>
  <c r="I198" i="2"/>
  <c r="G199" i="2"/>
  <c r="H199" i="2"/>
  <c r="I199" i="2"/>
  <c r="G200" i="2"/>
  <c r="H200" i="2"/>
  <c r="I200" i="2"/>
  <c r="G201" i="2"/>
  <c r="H201" i="2"/>
  <c r="I201" i="2"/>
  <c r="G202" i="2"/>
  <c r="H202" i="2"/>
  <c r="I202" i="2"/>
  <c r="I203" i="2"/>
  <c r="L193" i="2"/>
  <c r="L194" i="2"/>
  <c r="L195" i="2"/>
  <c r="L196" i="2"/>
  <c r="L197" i="2"/>
  <c r="L198" i="2"/>
  <c r="L199" i="2"/>
  <c r="L200" i="2"/>
  <c r="L201" i="2"/>
  <c r="L202" i="2"/>
  <c r="L203" i="2"/>
  <c r="F10" i="3"/>
  <c r="K193" i="2"/>
  <c r="K194" i="2"/>
  <c r="K195" i="2"/>
  <c r="K196" i="2"/>
  <c r="K197" i="2"/>
  <c r="K198" i="2"/>
  <c r="K199" i="2"/>
  <c r="K200" i="2"/>
  <c r="K201" i="2"/>
  <c r="K202" i="2"/>
  <c r="K203" i="2"/>
  <c r="M203" i="2"/>
  <c r="O203" i="2"/>
  <c r="P193" i="2"/>
  <c r="P203" i="2"/>
  <c r="Q203" i="2"/>
  <c r="R193" i="2"/>
  <c r="L4" i="3"/>
  <c r="T193" i="2"/>
  <c r="C20" i="7"/>
  <c r="U193" i="2"/>
  <c r="V193" i="2"/>
  <c r="X193" i="2"/>
  <c r="Y193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H189" i="2"/>
  <c r="I189" i="2"/>
  <c r="G190" i="2"/>
  <c r="H190" i="2"/>
  <c r="I190" i="2"/>
  <c r="G191" i="2"/>
  <c r="H191" i="2"/>
  <c r="I191" i="2"/>
  <c r="I192" i="2"/>
  <c r="L182" i="2"/>
  <c r="L183" i="2"/>
  <c r="L184" i="2"/>
  <c r="L185" i="2"/>
  <c r="L186" i="2"/>
  <c r="L187" i="2"/>
  <c r="L188" i="2"/>
  <c r="L189" i="2"/>
  <c r="L190" i="2"/>
  <c r="L191" i="2"/>
  <c r="L192" i="2"/>
  <c r="G37" i="3"/>
  <c r="K182" i="2"/>
  <c r="G12" i="3"/>
  <c r="K183" i="2"/>
  <c r="K184" i="2"/>
  <c r="K185" i="2"/>
  <c r="K186" i="2"/>
  <c r="K187" i="2"/>
  <c r="K188" i="2"/>
  <c r="K189" i="2"/>
  <c r="K190" i="2"/>
  <c r="K191" i="2"/>
  <c r="K192" i="2"/>
  <c r="M192" i="2"/>
  <c r="O192" i="2"/>
  <c r="P182" i="2"/>
  <c r="P192" i="2"/>
  <c r="Q192" i="2"/>
  <c r="R182" i="2"/>
  <c r="M4" i="3"/>
  <c r="T5" i="2"/>
  <c r="T16" i="2"/>
  <c r="T27" i="2"/>
  <c r="T38" i="2"/>
  <c r="T49" i="2"/>
  <c r="T60" i="2"/>
  <c r="T71" i="2"/>
  <c r="T82" i="2"/>
  <c r="T93" i="2"/>
  <c r="T104" i="2"/>
  <c r="T115" i="2"/>
  <c r="T126" i="2"/>
  <c r="T137" i="2"/>
  <c r="T148" i="2"/>
  <c r="T160" i="2"/>
  <c r="T171" i="2"/>
  <c r="T182" i="2"/>
  <c r="C19" i="7"/>
  <c r="U182" i="2"/>
  <c r="V182" i="2"/>
  <c r="X182" i="2"/>
  <c r="Y182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I181" i="2"/>
  <c r="L171" i="2"/>
  <c r="L172" i="2"/>
  <c r="L173" i="2"/>
  <c r="L174" i="2"/>
  <c r="L175" i="2"/>
  <c r="L176" i="2"/>
  <c r="L177" i="2"/>
  <c r="L178" i="2"/>
  <c r="L179" i="2"/>
  <c r="L180" i="2"/>
  <c r="L181" i="2"/>
  <c r="G32" i="3"/>
  <c r="K171" i="2"/>
  <c r="G17" i="3"/>
  <c r="K172" i="2"/>
  <c r="G18" i="3"/>
  <c r="K173" i="2"/>
  <c r="K174" i="2"/>
  <c r="K175" i="2"/>
  <c r="K176" i="2"/>
  <c r="K177" i="2"/>
  <c r="K178" i="2"/>
  <c r="K179" i="2"/>
  <c r="K180" i="2"/>
  <c r="K181" i="2"/>
  <c r="M181" i="2"/>
  <c r="O181" i="2"/>
  <c r="P171" i="2"/>
  <c r="P181" i="2"/>
  <c r="Q181" i="2"/>
  <c r="R171" i="2"/>
  <c r="C18" i="7"/>
  <c r="U171" i="2"/>
  <c r="V171" i="2"/>
  <c r="X171" i="2"/>
  <c r="Y171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I170" i="2"/>
  <c r="L160" i="2"/>
  <c r="L161" i="2"/>
  <c r="L162" i="2"/>
  <c r="L163" i="2"/>
  <c r="L164" i="2"/>
  <c r="L165" i="2"/>
  <c r="L166" i="2"/>
  <c r="L167" i="2"/>
  <c r="L168" i="2"/>
  <c r="L169" i="2"/>
  <c r="L170" i="2"/>
  <c r="K160" i="2"/>
  <c r="K161" i="2"/>
  <c r="K162" i="2"/>
  <c r="K163" i="2"/>
  <c r="K164" i="2"/>
  <c r="K165" i="2"/>
  <c r="K166" i="2"/>
  <c r="K167" i="2"/>
  <c r="K168" i="2"/>
  <c r="K169" i="2"/>
  <c r="K170" i="2"/>
  <c r="M170" i="2"/>
  <c r="O170" i="2"/>
  <c r="P160" i="2"/>
  <c r="P170" i="2"/>
  <c r="Q170" i="2"/>
  <c r="R160" i="2"/>
  <c r="C17" i="7"/>
  <c r="U160" i="2"/>
  <c r="V160" i="2"/>
  <c r="X160" i="2"/>
  <c r="Y160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I159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K148" i="2"/>
  <c r="K149" i="2"/>
  <c r="G15" i="3"/>
  <c r="K150" i="2"/>
  <c r="G28" i="3"/>
  <c r="K151" i="2"/>
  <c r="G24" i="3"/>
  <c r="K152" i="2"/>
  <c r="K153" i="2"/>
  <c r="K154" i="2"/>
  <c r="K155" i="2"/>
  <c r="K156" i="2"/>
  <c r="K157" i="2"/>
  <c r="K158" i="2"/>
  <c r="K159" i="2"/>
  <c r="M159" i="2"/>
  <c r="O159" i="2"/>
  <c r="P148" i="2"/>
  <c r="P159" i="2"/>
  <c r="Q159" i="2"/>
  <c r="R148" i="2"/>
  <c r="C16" i="7"/>
  <c r="U148" i="2"/>
  <c r="V148" i="2"/>
  <c r="X148" i="2"/>
  <c r="Y148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I147" i="2"/>
  <c r="L137" i="2"/>
  <c r="L138" i="2"/>
  <c r="L139" i="2"/>
  <c r="L140" i="2"/>
  <c r="L141" i="2"/>
  <c r="L142" i="2"/>
  <c r="L143" i="2"/>
  <c r="L144" i="2"/>
  <c r="L145" i="2"/>
  <c r="L146" i="2"/>
  <c r="L147" i="2"/>
  <c r="K137" i="2"/>
  <c r="K138" i="2"/>
  <c r="K139" i="2"/>
  <c r="K140" i="2"/>
  <c r="K141" i="2"/>
  <c r="K142" i="2"/>
  <c r="K143" i="2"/>
  <c r="K144" i="2"/>
  <c r="K145" i="2"/>
  <c r="K146" i="2"/>
  <c r="K147" i="2"/>
  <c r="M147" i="2"/>
  <c r="O147" i="2"/>
  <c r="P137" i="2"/>
  <c r="P147" i="2"/>
  <c r="Q147" i="2"/>
  <c r="R137" i="2"/>
  <c r="C15" i="7"/>
  <c r="U137" i="2"/>
  <c r="V137" i="2"/>
  <c r="X137" i="2"/>
  <c r="Y137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I136" i="2"/>
  <c r="L126" i="2"/>
  <c r="L127" i="2"/>
  <c r="L128" i="2"/>
  <c r="L129" i="2"/>
  <c r="L130" i="2"/>
  <c r="L131" i="2"/>
  <c r="L132" i="2"/>
  <c r="L133" i="2"/>
  <c r="L134" i="2"/>
  <c r="L135" i="2"/>
  <c r="L136" i="2"/>
  <c r="K126" i="2"/>
  <c r="K127" i="2"/>
  <c r="K128" i="2"/>
  <c r="K129" i="2"/>
  <c r="K130" i="2"/>
  <c r="K131" i="2"/>
  <c r="K132" i="2"/>
  <c r="K133" i="2"/>
  <c r="K134" i="2"/>
  <c r="K135" i="2"/>
  <c r="K136" i="2"/>
  <c r="M136" i="2"/>
  <c r="O136" i="2"/>
  <c r="P126" i="2"/>
  <c r="P136" i="2"/>
  <c r="Q136" i="2"/>
  <c r="R126" i="2"/>
  <c r="C14" i="7"/>
  <c r="U126" i="2"/>
  <c r="V126" i="2"/>
  <c r="X126" i="2"/>
  <c r="Y126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I125" i="2"/>
  <c r="L115" i="2"/>
  <c r="L116" i="2"/>
  <c r="L117" i="2"/>
  <c r="L118" i="2"/>
  <c r="L119" i="2"/>
  <c r="L120" i="2"/>
  <c r="L121" i="2"/>
  <c r="L122" i="2"/>
  <c r="L123" i="2"/>
  <c r="L124" i="2"/>
  <c r="L125" i="2"/>
  <c r="K115" i="2"/>
  <c r="K116" i="2"/>
  <c r="K117" i="2"/>
  <c r="K118" i="2"/>
  <c r="K119" i="2"/>
  <c r="K120" i="2"/>
  <c r="K121" i="2"/>
  <c r="K122" i="2"/>
  <c r="K123" i="2"/>
  <c r="K124" i="2"/>
  <c r="K125" i="2"/>
  <c r="M125" i="2"/>
  <c r="O125" i="2"/>
  <c r="P115" i="2"/>
  <c r="P125" i="2"/>
  <c r="Q125" i="2"/>
  <c r="R115" i="2"/>
  <c r="C13" i="7"/>
  <c r="U115" i="2"/>
  <c r="V115" i="2"/>
  <c r="X115" i="2"/>
  <c r="Y115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I114" i="2"/>
  <c r="L104" i="2"/>
  <c r="L105" i="2"/>
  <c r="L106" i="2"/>
  <c r="L107" i="2"/>
  <c r="L108" i="2"/>
  <c r="L109" i="2"/>
  <c r="L110" i="2"/>
  <c r="L111" i="2"/>
  <c r="L112" i="2"/>
  <c r="L113" i="2"/>
  <c r="L114" i="2"/>
  <c r="K104" i="2"/>
  <c r="G9" i="3"/>
  <c r="K105" i="2"/>
  <c r="G4" i="3"/>
  <c r="K106" i="2"/>
  <c r="K107" i="2"/>
  <c r="K108" i="2"/>
  <c r="K109" i="2"/>
  <c r="K110" i="2"/>
  <c r="K111" i="2"/>
  <c r="K112" i="2"/>
  <c r="K113" i="2"/>
  <c r="K114" i="2"/>
  <c r="M114" i="2"/>
  <c r="O114" i="2"/>
  <c r="P104" i="2"/>
  <c r="P114" i="2"/>
  <c r="Q114" i="2"/>
  <c r="R104" i="2"/>
  <c r="C12" i="7"/>
  <c r="U104" i="2"/>
  <c r="V104" i="2"/>
  <c r="X104" i="2"/>
  <c r="Y104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I103" i="2"/>
  <c r="L93" i="2"/>
  <c r="L94" i="2"/>
  <c r="L95" i="2"/>
  <c r="L96" i="2"/>
  <c r="L97" i="2"/>
  <c r="L98" i="2"/>
  <c r="L99" i="2"/>
  <c r="L100" i="2"/>
  <c r="L101" i="2"/>
  <c r="L102" i="2"/>
  <c r="L103" i="2"/>
  <c r="K93" i="2"/>
  <c r="K94" i="2"/>
  <c r="K95" i="2"/>
  <c r="K96" i="2"/>
  <c r="K97" i="2"/>
  <c r="K98" i="2"/>
  <c r="K99" i="2"/>
  <c r="K100" i="2"/>
  <c r="K101" i="2"/>
  <c r="K102" i="2"/>
  <c r="K103" i="2"/>
  <c r="M103" i="2"/>
  <c r="O103" i="2"/>
  <c r="P93" i="2"/>
  <c r="P103" i="2"/>
  <c r="Q103" i="2"/>
  <c r="R93" i="2"/>
  <c r="C11" i="7"/>
  <c r="U93" i="2"/>
  <c r="V93" i="2"/>
  <c r="X93" i="2"/>
  <c r="Y93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I92" i="2"/>
  <c r="L82" i="2"/>
  <c r="L83" i="2"/>
  <c r="L84" i="2"/>
  <c r="L85" i="2"/>
  <c r="L86" i="2"/>
  <c r="L87" i="2"/>
  <c r="L88" i="2"/>
  <c r="L89" i="2"/>
  <c r="L90" i="2"/>
  <c r="L91" i="2"/>
  <c r="L92" i="2"/>
  <c r="K82" i="2"/>
  <c r="K83" i="2"/>
  <c r="K84" i="2"/>
  <c r="K85" i="2"/>
  <c r="K86" i="2"/>
  <c r="K87" i="2"/>
  <c r="K88" i="2"/>
  <c r="K89" i="2"/>
  <c r="K90" i="2"/>
  <c r="K91" i="2"/>
  <c r="K92" i="2"/>
  <c r="M92" i="2"/>
  <c r="O92" i="2"/>
  <c r="P82" i="2"/>
  <c r="P92" i="2"/>
  <c r="Q92" i="2"/>
  <c r="R82" i="2"/>
  <c r="C10" i="7"/>
  <c r="U82" i="2"/>
  <c r="V82" i="2"/>
  <c r="X82" i="2"/>
  <c r="Y82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I81" i="2"/>
  <c r="L71" i="2"/>
  <c r="L72" i="2"/>
  <c r="L73" i="2"/>
  <c r="L74" i="2"/>
  <c r="L75" i="2"/>
  <c r="L76" i="2"/>
  <c r="L77" i="2"/>
  <c r="L78" i="2"/>
  <c r="L79" i="2"/>
  <c r="L80" i="2"/>
  <c r="L81" i="2"/>
  <c r="K71" i="2"/>
  <c r="K72" i="2"/>
  <c r="K73" i="2"/>
  <c r="K74" i="2"/>
  <c r="K75" i="2"/>
  <c r="K76" i="2"/>
  <c r="K77" i="2"/>
  <c r="K78" i="2"/>
  <c r="K79" i="2"/>
  <c r="K80" i="2"/>
  <c r="K81" i="2"/>
  <c r="M81" i="2"/>
  <c r="O81" i="2"/>
  <c r="P71" i="2"/>
  <c r="P81" i="2"/>
  <c r="Q81" i="2"/>
  <c r="R71" i="2"/>
  <c r="C9" i="7"/>
  <c r="U71" i="2"/>
  <c r="V71" i="2"/>
  <c r="X71" i="2"/>
  <c r="Y71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I70" i="2"/>
  <c r="L60" i="2"/>
  <c r="L61" i="2"/>
  <c r="L62" i="2"/>
  <c r="L63" i="2"/>
  <c r="L64" i="2"/>
  <c r="L65" i="2"/>
  <c r="L66" i="2"/>
  <c r="L67" i="2"/>
  <c r="L68" i="2"/>
  <c r="L69" i="2"/>
  <c r="L70" i="2"/>
  <c r="K60" i="2"/>
  <c r="K61" i="2"/>
  <c r="K62" i="2"/>
  <c r="K63" i="2"/>
  <c r="K64" i="2"/>
  <c r="K65" i="2"/>
  <c r="K66" i="2"/>
  <c r="K67" i="2"/>
  <c r="K68" i="2"/>
  <c r="K69" i="2"/>
  <c r="K70" i="2"/>
  <c r="M70" i="2"/>
  <c r="O70" i="2"/>
  <c r="P60" i="2"/>
  <c r="P70" i="2"/>
  <c r="Q70" i="2"/>
  <c r="R60" i="2"/>
  <c r="C8" i="7"/>
  <c r="U60" i="2"/>
  <c r="V60" i="2"/>
  <c r="X60" i="2"/>
  <c r="Y60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5" i="2"/>
  <c r="H55" i="2"/>
  <c r="I55" i="2"/>
  <c r="G56" i="2"/>
  <c r="H56" i="2"/>
  <c r="I56" i="2"/>
  <c r="G57" i="2"/>
  <c r="H57" i="2"/>
  <c r="I57" i="2"/>
  <c r="G58" i="2"/>
  <c r="H58" i="2"/>
  <c r="I58" i="2"/>
  <c r="I59" i="2"/>
  <c r="L49" i="2"/>
  <c r="L50" i="2"/>
  <c r="L51" i="2"/>
  <c r="L52" i="2"/>
  <c r="L53" i="2"/>
  <c r="L54" i="2"/>
  <c r="L55" i="2"/>
  <c r="L56" i="2"/>
  <c r="L57" i="2"/>
  <c r="L58" i="2"/>
  <c r="L59" i="2"/>
  <c r="K49" i="2"/>
  <c r="K50" i="2"/>
  <c r="K51" i="2"/>
  <c r="K52" i="2"/>
  <c r="K53" i="2"/>
  <c r="K54" i="2"/>
  <c r="K55" i="2"/>
  <c r="K56" i="2"/>
  <c r="K57" i="2"/>
  <c r="K58" i="2"/>
  <c r="K59" i="2"/>
  <c r="M59" i="2"/>
  <c r="O59" i="2"/>
  <c r="P49" i="2"/>
  <c r="P59" i="2"/>
  <c r="Q59" i="2"/>
  <c r="R49" i="2"/>
  <c r="C7" i="7"/>
  <c r="U49" i="2"/>
  <c r="V49" i="2"/>
  <c r="X49" i="2"/>
  <c r="Y49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I48" i="2"/>
  <c r="L38" i="2"/>
  <c r="L39" i="2"/>
  <c r="L40" i="2"/>
  <c r="L41" i="2"/>
  <c r="L42" i="2"/>
  <c r="L43" i="2"/>
  <c r="L44" i="2"/>
  <c r="L45" i="2"/>
  <c r="L46" i="2"/>
  <c r="L47" i="2"/>
  <c r="L48" i="2"/>
  <c r="K38" i="2"/>
  <c r="K39" i="2"/>
  <c r="K40" i="2"/>
  <c r="K41" i="2"/>
  <c r="K42" i="2"/>
  <c r="K43" i="2"/>
  <c r="K44" i="2"/>
  <c r="K45" i="2"/>
  <c r="K46" i="2"/>
  <c r="K47" i="2"/>
  <c r="K48" i="2"/>
  <c r="M48" i="2"/>
  <c r="O48" i="2"/>
  <c r="P38" i="2"/>
  <c r="P48" i="2"/>
  <c r="Q48" i="2"/>
  <c r="R38" i="2"/>
  <c r="C6" i="7"/>
  <c r="U38" i="2"/>
  <c r="V38" i="2"/>
  <c r="X38" i="2"/>
  <c r="Y38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3" i="2"/>
  <c r="H33" i="2"/>
  <c r="I33" i="2"/>
  <c r="G34" i="2"/>
  <c r="H34" i="2"/>
  <c r="I34" i="2"/>
  <c r="G35" i="2"/>
  <c r="H35" i="2"/>
  <c r="I35" i="2"/>
  <c r="G36" i="2"/>
  <c r="H36" i="2"/>
  <c r="I36" i="2"/>
  <c r="I37" i="2"/>
  <c r="L27" i="2"/>
  <c r="L28" i="2"/>
  <c r="L29" i="2"/>
  <c r="L30" i="2"/>
  <c r="L31" i="2"/>
  <c r="L32" i="2"/>
  <c r="L33" i="2"/>
  <c r="L34" i="2"/>
  <c r="L35" i="2"/>
  <c r="L36" i="2"/>
  <c r="L37" i="2"/>
  <c r="K27" i="2"/>
  <c r="K28" i="2"/>
  <c r="K29" i="2"/>
  <c r="K30" i="2"/>
  <c r="K31" i="2"/>
  <c r="K32" i="2"/>
  <c r="K33" i="2"/>
  <c r="K34" i="2"/>
  <c r="K35" i="2"/>
  <c r="K36" i="2"/>
  <c r="K37" i="2"/>
  <c r="M37" i="2"/>
  <c r="O37" i="2"/>
  <c r="P27" i="2"/>
  <c r="P37" i="2"/>
  <c r="Q37" i="2"/>
  <c r="R27" i="2"/>
  <c r="C5" i="7"/>
  <c r="U27" i="2"/>
  <c r="V27" i="2"/>
  <c r="X27" i="2"/>
  <c r="Y27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I26" i="2"/>
  <c r="L16" i="2"/>
  <c r="L17" i="2"/>
  <c r="L18" i="2"/>
  <c r="L19" i="2"/>
  <c r="L20" i="2"/>
  <c r="L21" i="2"/>
  <c r="L22" i="2"/>
  <c r="L23" i="2"/>
  <c r="L24" i="2"/>
  <c r="L25" i="2"/>
  <c r="L26" i="2"/>
  <c r="K16" i="2"/>
  <c r="G19" i="3"/>
  <c r="K17" i="2"/>
  <c r="K18" i="2"/>
  <c r="K19" i="2"/>
  <c r="K20" i="2"/>
  <c r="K21" i="2"/>
  <c r="K22" i="2"/>
  <c r="K23" i="2"/>
  <c r="K24" i="2"/>
  <c r="K25" i="2"/>
  <c r="K26" i="2"/>
  <c r="M26" i="2"/>
  <c r="O26" i="2"/>
  <c r="P16" i="2"/>
  <c r="P26" i="2"/>
  <c r="Q26" i="2"/>
  <c r="R16" i="2"/>
  <c r="C4" i="7"/>
  <c r="U16" i="2"/>
  <c r="V16" i="2"/>
  <c r="X16" i="2"/>
  <c r="Y16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I15" i="2"/>
  <c r="L5" i="2"/>
  <c r="L6" i="2"/>
  <c r="L7" i="2"/>
  <c r="L8" i="2"/>
  <c r="L9" i="2"/>
  <c r="L10" i="2"/>
  <c r="L11" i="2"/>
  <c r="L12" i="2"/>
  <c r="L13" i="2"/>
  <c r="L14" i="2"/>
  <c r="L15" i="2"/>
  <c r="K5" i="2"/>
  <c r="K6" i="2"/>
  <c r="K7" i="2"/>
  <c r="K8" i="2"/>
  <c r="K9" i="2"/>
  <c r="K10" i="2"/>
  <c r="K11" i="2"/>
  <c r="K12" i="2"/>
  <c r="K13" i="2"/>
  <c r="K14" i="2"/>
  <c r="K15" i="2"/>
  <c r="M15" i="2"/>
  <c r="O15" i="2"/>
  <c r="P5" i="2"/>
  <c r="P15" i="2"/>
  <c r="Q15" i="2"/>
  <c r="R5" i="2"/>
  <c r="C3" i="7"/>
  <c r="U5" i="2"/>
  <c r="V5" i="2"/>
  <c r="X5" i="2"/>
  <c r="Y5" i="2"/>
  <c r="F12" i="3"/>
  <c r="G32" i="2"/>
  <c r="H32" i="2"/>
  <c r="G54" i="2"/>
  <c r="H54" i="2"/>
  <c r="Q398" i="2"/>
  <c r="C39" i="6"/>
  <c r="C40" i="6"/>
  <c r="C41" i="6"/>
  <c r="C42" i="6"/>
  <c r="C38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22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I4" i="3"/>
  <c r="I22" i="3"/>
  <c r="I34" i="3"/>
  <c r="I9" i="3"/>
  <c r="I13" i="3"/>
  <c r="I35" i="3"/>
  <c r="I11" i="3"/>
  <c r="G22" i="3"/>
  <c r="G13" i="3"/>
  <c r="F33" i="3"/>
  <c r="F29" i="3"/>
  <c r="F20" i="3"/>
  <c r="F14" i="3"/>
  <c r="G35" i="3"/>
  <c r="G11" i="3"/>
  <c r="G34" i="3"/>
  <c r="G20" i="3"/>
  <c r="F35" i="3"/>
  <c r="F34" i="3"/>
  <c r="I24" i="3"/>
  <c r="F24" i="3"/>
  <c r="I23" i="3"/>
  <c r="G23" i="3"/>
  <c r="F23" i="3"/>
  <c r="F21" i="3"/>
  <c r="I18" i="3"/>
  <c r="F13" i="3"/>
  <c r="F11" i="3"/>
  <c r="I33" i="3"/>
</calcChain>
</file>

<file path=xl/sharedStrings.xml><?xml version="1.0" encoding="utf-8"?>
<sst xmlns="http://schemas.openxmlformats.org/spreadsheetml/2006/main" count="372" uniqueCount="117">
  <si>
    <t>Cuốc 03 (Kobelo) - ĐS</t>
  </si>
  <si>
    <t>Cuốc 05 (2) - Kobelco -BRSG</t>
  </si>
  <si>
    <t>Cuốc 07 - 2 (Hitachi 07) - ĐS</t>
  </si>
  <si>
    <t>Cuốc 07 - A (Komatsu 07) - ĐS</t>
  </si>
  <si>
    <t>Xe ủi D31 (Komatsu D31) - ĐS</t>
  </si>
  <si>
    <t>Xúc Hitachi đỏ (1) - Nhà máy</t>
  </si>
  <si>
    <t>Cấp liệu máy phối trộn bùn (Bình Hưng)</t>
  </si>
  <si>
    <t>Xúc Hitachi đen (3) - Nhà máy</t>
  </si>
  <si>
    <t>Xúc Komatsu (4) - Nhà máy</t>
  </si>
  <si>
    <t>Cấp liệu sàng ĐS - PB</t>
  </si>
  <si>
    <t>Cuốc 07 (3) - Kobelco 011268 - CKC</t>
  </si>
  <si>
    <t>Xúc carter 02 - ĐS</t>
  </si>
  <si>
    <t>Cuốc 07 (4) - SUMITOMO -TG</t>
  </si>
  <si>
    <t>Cắt lớp nguyên liệu</t>
  </si>
  <si>
    <t>Cuốc 05 (1) - SUMITO S265 - BRSG</t>
  </si>
  <si>
    <t>Cuốc 07 (2) - Kobelco - BRSG</t>
  </si>
  <si>
    <t>Cuốc 07 (5) - Hitachi 3495 - CQ</t>
  </si>
  <si>
    <t>Cuốc 07 (6) - Hitachi - NQ</t>
  </si>
  <si>
    <t>Công tác khác</t>
  </si>
  <si>
    <t>Ben 15T (1) - 93C - 00197- TÈO</t>
  </si>
  <si>
    <t>Ben 15T (10) - 62L - 5068 - TG</t>
  </si>
  <si>
    <t>Ben 15T (11) - 57M - 3697 - TG</t>
  </si>
  <si>
    <t>Ben 15T (12) - 62C - 06623 -TG</t>
  </si>
  <si>
    <t>Ben 15T (13) - 57M-1314 -TG</t>
  </si>
  <si>
    <t>Ben 15T (14) - 92C - 07302 - TG</t>
  </si>
  <si>
    <t>Ben 15T (2) - 51C - 13823- TÈO</t>
  </si>
  <si>
    <t>Ben 15T (3) - 60M - 2878 - TÈO</t>
  </si>
  <si>
    <t>Ben 15T (36M - 0007) (thuê) - ĐS</t>
  </si>
  <si>
    <t>Ben 15T (4) - 57K - 0397 - TÈO</t>
  </si>
  <si>
    <t>Ben 15T (51C - 29606) (thuê) ĐS</t>
  </si>
  <si>
    <t>Ben 15T (6) - 51C - 51816 - TÈO</t>
  </si>
  <si>
    <t>Ben 15T (7) - 61C -18663 - XL</t>
  </si>
  <si>
    <t>Ben 15T (8) - 61C - 10456 - XL</t>
  </si>
  <si>
    <t>Ben 15T (9) - 57M- 3293 - TG</t>
  </si>
  <si>
    <t>Ben 5T (51C - 79320) - ĐS</t>
  </si>
  <si>
    <t>Cuốc 05 (4) - Hitachi - Nhà Máy</t>
  </si>
  <si>
    <t>Đảo trộn Compost ủ hiếu khí (ngoài trời)</t>
  </si>
  <si>
    <t>Đảo trộn lần 1</t>
  </si>
  <si>
    <t>Đảo trộn lần 2</t>
  </si>
  <si>
    <t>Đảo trộn lần 3</t>
  </si>
  <si>
    <t>Đảo trộn phân bò khi ủ</t>
  </si>
  <si>
    <t>Di dời đống ủ trong nhà cấp khí</t>
  </si>
  <si>
    <t>Tách rác lớn và hạ ẩm</t>
  </si>
  <si>
    <t>Vận chuyển BTP đi sàng</t>
  </si>
  <si>
    <t>Vận chuyển NL đảo trộn</t>
  </si>
  <si>
    <t>Vận chuyển rác bùn tư nhân (bao)</t>
  </si>
  <si>
    <t>VC BTP đi đóng gói</t>
  </si>
  <si>
    <t xml:space="preserve">VC bùn Duy Tu đi san lấp </t>
  </si>
  <si>
    <t>Ben 15T (5) - 60C - 10871 - TÈO</t>
  </si>
  <si>
    <t>VC bùn duy tu sàng tách cát</t>
  </si>
  <si>
    <t>VC bùn HCT đi san lấp</t>
  </si>
  <si>
    <t>VC bun kênh rạch tới sân phơi</t>
  </si>
  <si>
    <t>VC bùn từ sân phơi đi tách rác nhỏ</t>
  </si>
  <si>
    <t>VC Compost ra ngoài nhà cấp khí</t>
  </si>
  <si>
    <t>VC Compost vào nhà cấp khi (vào vị trí)</t>
  </si>
  <si>
    <t>VC NL đi phối trộn XLB Kênh rạch</t>
  </si>
  <si>
    <t>VC phân bò đi sàng</t>
  </si>
  <si>
    <t>VC phân T- O đi đùn</t>
  </si>
  <si>
    <t>VC rác lớn đi san lấp</t>
  </si>
  <si>
    <t>Cuố 07 ( 9) - Kobelco- CQ</t>
  </si>
  <si>
    <t>VC rác nhỏ đi san lấp</t>
  </si>
  <si>
    <t>VC rác sau sàng ĐS</t>
  </si>
  <si>
    <t>Xổ bao bùn HCT</t>
  </si>
  <si>
    <t>CÔNG VIỆC</t>
  </si>
  <si>
    <t>CHỦNG LOẠI XE</t>
  </si>
  <si>
    <t>THỜI GIAN LÀM VIỆC</t>
  </si>
  <si>
    <t>DẦU</t>
  </si>
  <si>
    <t>SỐ CHUYẾN</t>
  </si>
  <si>
    <t>Công đoạn</t>
  </si>
  <si>
    <t>Phối trộn bùn kênh rạch với NL</t>
  </si>
  <si>
    <t>VC NL đi phối trộn XLB HCC</t>
  </si>
  <si>
    <t>VC nguyên liệu đi phối trộn XLB</t>
  </si>
  <si>
    <t>Điểm công đoạn</t>
  </si>
  <si>
    <t>Xe cuốc</t>
  </si>
  <si>
    <t>Xe ben</t>
  </si>
  <si>
    <t>Xe ủi</t>
  </si>
  <si>
    <t>Xe xúc</t>
  </si>
  <si>
    <t>Năng suất</t>
  </si>
  <si>
    <t>Cấp liệu tách rác nhỏ (KR) + xúc rác nhỏ lên ben</t>
  </si>
  <si>
    <t>Vận hành</t>
  </si>
  <si>
    <t>Trọng số đánh giá</t>
  </si>
  <si>
    <t>Điểm đánh giá công đoạn</t>
  </si>
  <si>
    <t>Xe hư</t>
  </si>
  <si>
    <t>Tỷ trọng công đoạn</t>
  </si>
  <si>
    <t>Tiêu chuẩn công đoạn</t>
  </si>
  <si>
    <t>Thực tế</t>
  </si>
  <si>
    <t>Tiêu hao dầu</t>
  </si>
  <si>
    <t>Xếp hạng XCG</t>
  </si>
  <si>
    <t>ĐÁNH GIÁ XE CƠ GIỚI TUẦN 27</t>
  </si>
  <si>
    <t>Vận chuyển HCT sân phơi</t>
  </si>
  <si>
    <t>VC Mụn Dừa ra sân phơi XLNT</t>
  </si>
  <si>
    <t>VC compost BH ra ngoài nhà cấp khí</t>
  </si>
  <si>
    <t>VC compost HCC ( Tư Nhân ) ra ngoài nhà cấp khí</t>
  </si>
  <si>
    <t>VC rác HCC</t>
  </si>
  <si>
    <t>VC NVL đi Phối trộn</t>
  </si>
  <si>
    <t>Cuốc 07 (10) - Hitachi (-5) - Nhà máy</t>
  </si>
  <si>
    <t>Cuốc 05 (5) - Hitachi (-5)- Nhà Máy</t>
  </si>
  <si>
    <t>Xổ bao bùn HCC tư nhân</t>
  </si>
  <si>
    <t>Xổ bao bùn HCT tư nhân</t>
  </si>
  <si>
    <t>Xúc Kawasaki (2) - Nhà máy</t>
  </si>
  <si>
    <t>Công đoạn vận hành</t>
  </si>
  <si>
    <t>Đánh giá tổng thể</t>
  </si>
  <si>
    <t>Trọng số</t>
  </si>
  <si>
    <t>Điểm vận hành XCG</t>
  </si>
  <si>
    <t>Chi phí</t>
  </si>
  <si>
    <t>Điểm chi phí XCG</t>
  </si>
  <si>
    <t>Điểm công đoạn vận hành</t>
  </si>
  <si>
    <t xml:space="preserve"> Điểm Năng suất /1h</t>
  </si>
  <si>
    <t>Chủng loại xe</t>
  </si>
  <si>
    <t>Chi phí/tháng</t>
  </si>
  <si>
    <t>Chi phí/1h</t>
  </si>
  <si>
    <t>Có VAT 10%</t>
  </si>
  <si>
    <t>Lương tài xế 10,000,000 xe nhà, 8h/1 ngày</t>
  </si>
  <si>
    <t>Tiêu chuẩn</t>
  </si>
  <si>
    <t>Xe cuốc 07</t>
  </si>
  <si>
    <t>Xe cuốc 05</t>
  </si>
  <si>
    <t>Xe cuốc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</si>
</sst>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h]:mm:ss;@"/>
    <numFmt numFmtId="165" formatCode="0.0%"/>
    <numFmt numFmtId="166" formatCode="_(* #,##0.0_);_(* \(#,##0.0\);_(* &quot;-&quot;??_);_(@_)"/>
    <numFmt numFmtId="167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</font>
    <font>
      <b/>
      <sz val="20"/>
      <color theme="1"/>
      <name val="Arial"/>
    </font>
    <font>
      <b/>
      <sz val="12"/>
      <color theme="1"/>
      <name val="Arial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4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b/>
      <sz val="16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0" fontId="7" fillId="6" borderId="1" xfId="0" applyFont="1" applyFill="1" applyBorder="1"/>
    <xf numFmtId="0" fontId="7" fillId="7" borderId="1" xfId="0" applyFont="1" applyFill="1" applyBorder="1"/>
    <xf numFmtId="0" fontId="7" fillId="0" borderId="1" xfId="0" applyFont="1" applyBorder="1"/>
    <xf numFmtId="0" fontId="0" fillId="0" borderId="1" xfId="0" applyBorder="1"/>
    <xf numFmtId="0" fontId="7" fillId="0" borderId="1" xfId="0" applyFont="1" applyFill="1" applyBorder="1"/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0" borderId="1" xfId="0" applyFill="1" applyBorder="1"/>
    <xf numFmtId="166" fontId="6" fillId="8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/>
    <xf numFmtId="166" fontId="0" fillId="0" borderId="0" xfId="1" applyNumberFormat="1" applyFont="1"/>
    <xf numFmtId="166" fontId="0" fillId="0" borderId="1" xfId="0" applyNumberFormat="1" applyBorder="1"/>
    <xf numFmtId="43" fontId="4" fillId="9" borderId="1" xfId="1" applyFont="1" applyFill="1" applyBorder="1" applyAlignment="1">
      <alignment horizontal="center" vertical="center" wrapText="1"/>
    </xf>
    <xf numFmtId="43" fontId="4" fillId="8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43" fontId="2" fillId="3" borderId="1" xfId="1" applyFont="1" applyFill="1" applyBorder="1" applyAlignment="1">
      <alignment horizontal="right" vertical="center" wrapText="1"/>
    </xf>
    <xf numFmtId="43" fontId="2" fillId="4" borderId="1" xfId="1" applyFont="1" applyFill="1" applyBorder="1" applyAlignment="1">
      <alignment horizontal="center" vertical="center" wrapText="1"/>
    </xf>
    <xf numFmtId="43" fontId="5" fillId="4" borderId="1" xfId="1" applyFont="1" applyFill="1" applyBorder="1" applyAlignment="1">
      <alignment horizontal="center" vertical="center" wrapText="1"/>
    </xf>
    <xf numFmtId="43" fontId="5" fillId="3" borderId="1" xfId="1" applyFont="1" applyFill="1" applyBorder="1" applyAlignment="1">
      <alignment horizontal="center" vertical="center" wrapText="1"/>
    </xf>
    <xf numFmtId="167" fontId="4" fillId="2" borderId="1" xfId="1" applyNumberFormat="1" applyFont="1" applyFill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167" fontId="2" fillId="3" borderId="1" xfId="1" applyNumberFormat="1" applyFont="1" applyFill="1" applyBorder="1" applyAlignment="1">
      <alignment horizontal="center" vertical="center" wrapText="1"/>
    </xf>
    <xf numFmtId="167" fontId="2" fillId="0" borderId="0" xfId="1" applyNumberFormat="1" applyFont="1" applyAlignment="1">
      <alignment wrapText="1"/>
    </xf>
    <xf numFmtId="0" fontId="2" fillId="3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43" fontId="2" fillId="0" borderId="0" xfId="0" applyNumberFormat="1" applyFont="1"/>
    <xf numFmtId="0" fontId="9" fillId="0" borderId="1" xfId="0" applyFont="1" applyBorder="1"/>
    <xf numFmtId="43" fontId="9" fillId="0" borderId="1" xfId="1" applyFont="1" applyBorder="1"/>
    <xf numFmtId="0" fontId="9" fillId="0" borderId="1" xfId="0" applyFont="1" applyBorder="1" applyAlignment="1">
      <alignment horizontal="center"/>
    </xf>
    <xf numFmtId="0" fontId="9" fillId="0" borderId="0" xfId="0" applyFont="1"/>
    <xf numFmtId="43" fontId="9" fillId="0" borderId="0" xfId="1" applyFont="1"/>
    <xf numFmtId="167" fontId="2" fillId="0" borderId="0" xfId="1" applyNumberFormat="1" applyFont="1"/>
    <xf numFmtId="0" fontId="5" fillId="4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2" xfId="0" applyFont="1" applyBorder="1" applyAlignment="1">
      <alignment vertical="center"/>
    </xf>
    <xf numFmtId="167" fontId="12" fillId="0" borderId="0" xfId="1" applyNumberFormat="1" applyFont="1"/>
    <xf numFmtId="167" fontId="6" fillId="8" borderId="1" xfId="1" applyNumberFormat="1" applyFont="1" applyFill="1" applyBorder="1" applyAlignment="1">
      <alignment horizontal="center" vertical="center"/>
    </xf>
    <xf numFmtId="167" fontId="0" fillId="0" borderId="0" xfId="1" applyNumberFormat="1" applyFont="1"/>
    <xf numFmtId="43" fontId="12" fillId="0" borderId="0" xfId="0" applyNumberFormat="1" applyFont="1"/>
    <xf numFmtId="0" fontId="12" fillId="0" borderId="3" xfId="0" applyFont="1" applyBorder="1" applyAlignment="1">
      <alignment vertical="center"/>
    </xf>
    <xf numFmtId="0" fontId="13" fillId="5" borderId="1" xfId="0" applyFont="1" applyFill="1" applyBorder="1"/>
    <xf numFmtId="167" fontId="0" fillId="0" borderId="2" xfId="1" applyNumberFormat="1" applyFont="1" applyBorder="1" applyAlignment="1">
      <alignment vertical="center"/>
    </xf>
    <xf numFmtId="167" fontId="0" fillId="0" borderId="3" xfId="1" applyNumberFormat="1" applyFont="1" applyBorder="1" applyAlignment="1">
      <alignment vertical="center"/>
    </xf>
    <xf numFmtId="167" fontId="0" fillId="0" borderId="4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167" fontId="3" fillId="0" borderId="1" xfId="1" applyNumberFormat="1" applyFont="1" applyBorder="1" applyAlignment="1"/>
    <xf numFmtId="0" fontId="5" fillId="10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 wrapText="1"/>
    </xf>
    <xf numFmtId="43" fontId="5" fillId="0" borderId="1" xfId="1" applyFont="1" applyBorder="1" applyAlignment="1">
      <alignment vertical="center" wrapText="1"/>
    </xf>
    <xf numFmtId="167" fontId="2" fillId="0" borderId="1" xfId="1" applyNumberFormat="1" applyFont="1" applyBorder="1"/>
    <xf numFmtId="165" fontId="2" fillId="0" borderId="1" xfId="2" applyNumberFormat="1" applyFont="1" applyBorder="1" applyAlignment="1">
      <alignment horizontal="right"/>
    </xf>
    <xf numFmtId="43" fontId="2" fillId="0" borderId="1" xfId="1" applyFont="1" applyBorder="1"/>
    <xf numFmtId="43" fontId="2" fillId="0" borderId="1" xfId="1" applyNumberFormat="1" applyFont="1" applyBorder="1"/>
    <xf numFmtId="2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vertical="center"/>
    </xf>
    <xf numFmtId="2" fontId="2" fillId="0" borderId="1" xfId="0" applyNumberFormat="1" applyFont="1" applyBorder="1" applyAlignment="1">
      <alignment vertical="center" wrapText="1"/>
    </xf>
    <xf numFmtId="43" fontId="5" fillId="0" borderId="1" xfId="1" applyFont="1" applyBorder="1" applyAlignment="1">
      <alignment vertical="center"/>
    </xf>
    <xf numFmtId="43" fontId="5" fillId="0" borderId="1" xfId="1" applyFont="1" applyBorder="1" applyAlignment="1">
      <alignment horizontal="center" vertical="center" wrapText="1"/>
    </xf>
    <xf numFmtId="43" fontId="5" fillId="9" borderId="1" xfId="1" applyFont="1" applyFill="1" applyBorder="1" applyAlignment="1">
      <alignment vertical="center"/>
    </xf>
    <xf numFmtId="0" fontId="2" fillId="10" borderId="1" xfId="0" applyFont="1" applyFill="1" applyBorder="1"/>
    <xf numFmtId="165" fontId="2" fillId="0" borderId="1" xfId="2" applyNumberFormat="1" applyFont="1" applyBorder="1" applyAlignment="1">
      <alignment horizontal="right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0" borderId="1" xfId="1" applyFont="1" applyBorder="1" applyAlignment="1"/>
    <xf numFmtId="43" fontId="5" fillId="0" borderId="1" xfId="1" applyFont="1" applyBorder="1" applyAlignment="1">
      <alignment horizontal="center" vertical="center"/>
    </xf>
    <xf numFmtId="166" fontId="2" fillId="0" borderId="1" xfId="1" applyNumberFormat="1" applyFont="1" applyBorder="1"/>
    <xf numFmtId="43" fontId="2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167" fontId="2" fillId="0" borderId="1" xfId="1" applyNumberFormat="1" applyFont="1" applyBorder="1" applyAlignment="1">
      <alignment vertical="center" wrapText="1"/>
    </xf>
    <xf numFmtId="43" fontId="2" fillId="0" borderId="1" xfId="1" applyFont="1" applyBorder="1" applyAlignment="1">
      <alignment horizontal="center" vertical="center"/>
    </xf>
    <xf numFmtId="167" fontId="5" fillId="8" borderId="1" xfId="1" applyNumberFormat="1" applyFont="1" applyFill="1" applyBorder="1" applyAlignment="1">
      <alignment vertical="center"/>
    </xf>
    <xf numFmtId="167" fontId="2" fillId="0" borderId="1" xfId="1" applyNumberFormat="1" applyFont="1" applyBorder="1" applyAlignment="1">
      <alignment vertical="center"/>
    </xf>
    <xf numFmtId="167" fontId="5" fillId="0" borderId="1" xfId="1" applyNumberFormat="1" applyFont="1" applyBorder="1" applyAlignment="1">
      <alignment vertical="center"/>
    </xf>
    <xf numFmtId="167" fontId="2" fillId="10" borderId="1" xfId="1" applyNumberFormat="1" applyFont="1" applyFill="1" applyBorder="1"/>
    <xf numFmtId="167" fontId="5" fillId="0" borderId="1" xfId="1" applyNumberFormat="1" applyFont="1" applyBorder="1" applyAlignment="1">
      <alignment horizontal="center" vertical="center"/>
    </xf>
    <xf numFmtId="167" fontId="5" fillId="0" borderId="1" xfId="1" applyNumberFormat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" fontId="2" fillId="0" borderId="1" xfId="0" applyNumberFormat="1" applyFont="1" applyBorder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3"/>
  <sheetViews>
    <sheetView tabSelected="1" topLeftCell="O1" zoomScale="92" zoomScaleNormal="70" zoomScalePageLayoutView="70" workbookViewId="0">
      <selection activeCell="U9" sqref="U9"/>
    </sheetView>
  </sheetViews>
  <sheetFormatPr defaultColWidth="10.83203125" defaultRowHeight="18" x14ac:dyDescent="0.4"/>
  <cols>
    <col min="1" max="1" width="42" style="36" bestFit="1" customWidth="1"/>
    <col min="2" max="2" width="54.5" style="1" bestFit="1" customWidth="1"/>
    <col min="3" max="3" width="21.6640625" style="5" bestFit="1" customWidth="1"/>
    <col min="4" max="4" width="13.5" style="34" bestFit="1" customWidth="1"/>
    <col min="5" max="5" width="9.6640625" style="5" bestFit="1" customWidth="1"/>
    <col min="6" max="6" width="12.5" style="37" customWidth="1"/>
    <col min="7" max="7" width="12.5" style="1" customWidth="1"/>
    <col min="8" max="8" width="12.5" style="26" customWidth="1"/>
    <col min="9" max="9" width="12.5" style="1" customWidth="1"/>
    <col min="10" max="10" width="13.6640625" style="37" customWidth="1"/>
    <col min="11" max="11" width="13.6640625" style="1" customWidth="1"/>
    <col min="12" max="12" width="10" style="1" bestFit="1" customWidth="1"/>
    <col min="13" max="13" width="13.6640625" style="1" customWidth="1"/>
    <col min="14" max="14" width="13.6640625" style="37" customWidth="1"/>
    <col min="15" max="15" width="13.6640625" style="1" customWidth="1"/>
    <col min="16" max="16" width="9.33203125" style="1" customWidth="1"/>
    <col min="17" max="17" width="13.6640625" style="1" customWidth="1"/>
    <col min="18" max="18" width="13.1640625" style="59" customWidth="1"/>
    <col min="19" max="19" width="11.1640625" style="1" customWidth="1"/>
    <col min="20" max="20" width="13.5" style="1" bestFit="1" customWidth="1"/>
    <col min="21" max="21" width="11.33203125" style="44" bestFit="1" customWidth="1"/>
    <col min="22" max="22" width="12.5" style="59" customWidth="1"/>
    <col min="23" max="23" width="11.1640625" style="1" bestFit="1" customWidth="1"/>
    <col min="24" max="24" width="20.83203125" style="1" bestFit="1" customWidth="1"/>
    <col min="25" max="25" width="17.6640625" style="59" bestFit="1" customWidth="1"/>
    <col min="26" max="16384" width="10.83203125" style="1"/>
  </cols>
  <sheetData>
    <row r="1" spans="1:25" ht="30" x14ac:dyDescent="0.6">
      <c r="A1" s="101" t="s">
        <v>88</v>
      </c>
      <c r="B1" s="101"/>
      <c r="C1" s="101"/>
      <c r="D1" s="101"/>
      <c r="E1" s="101"/>
      <c r="K1" s="38"/>
    </row>
    <row r="2" spans="1:25" s="109" customFormat="1" ht="17.5" x14ac:dyDescent="0.35">
      <c r="A2" s="109">
        <v>0</v>
      </c>
      <c r="B2" s="109">
        <v>1</v>
      </c>
      <c r="C2" s="109">
        <v>2</v>
      </c>
      <c r="D2" s="109">
        <v>3</v>
      </c>
      <c r="E2" s="109">
        <v>4</v>
      </c>
      <c r="F2" s="109">
        <v>5</v>
      </c>
      <c r="G2" s="109">
        <v>6</v>
      </c>
      <c r="H2" s="109">
        <v>7</v>
      </c>
      <c r="I2" s="109">
        <v>8</v>
      </c>
      <c r="J2" s="109">
        <v>9</v>
      </c>
      <c r="K2" s="109">
        <v>10</v>
      </c>
      <c r="L2" s="109">
        <v>11</v>
      </c>
      <c r="M2" s="109">
        <v>12</v>
      </c>
      <c r="N2" s="109">
        <v>13</v>
      </c>
      <c r="O2" s="109">
        <v>14</v>
      </c>
      <c r="P2" s="109">
        <v>15</v>
      </c>
      <c r="Q2" s="109">
        <v>16</v>
      </c>
      <c r="R2" s="109">
        <v>17</v>
      </c>
      <c r="S2" s="109">
        <v>18</v>
      </c>
      <c r="T2" s="109">
        <v>19</v>
      </c>
      <c r="U2" s="109">
        <v>20</v>
      </c>
      <c r="V2" s="109">
        <v>21</v>
      </c>
      <c r="W2" s="109">
        <v>22</v>
      </c>
      <c r="X2" s="109">
        <v>23</v>
      </c>
      <c r="Y2" s="109">
        <v>24</v>
      </c>
    </row>
    <row r="3" spans="1:25" ht="25" x14ac:dyDescent="0.5">
      <c r="A3" s="62"/>
      <c r="B3" s="63"/>
      <c r="C3" s="63"/>
      <c r="D3" s="64"/>
      <c r="E3" s="63"/>
      <c r="F3" s="100" t="s">
        <v>100</v>
      </c>
      <c r="G3" s="100"/>
      <c r="H3" s="100"/>
      <c r="I3" s="100"/>
      <c r="J3" s="105" t="s">
        <v>77</v>
      </c>
      <c r="K3" s="105"/>
      <c r="L3" s="105"/>
      <c r="M3" s="105"/>
      <c r="N3" s="100" t="s">
        <v>86</v>
      </c>
      <c r="O3" s="100"/>
      <c r="P3" s="100"/>
      <c r="Q3" s="100"/>
      <c r="R3" s="103" t="s">
        <v>79</v>
      </c>
      <c r="S3" s="103"/>
      <c r="T3" s="104" t="s">
        <v>104</v>
      </c>
      <c r="U3" s="104"/>
      <c r="V3" s="104"/>
      <c r="W3" s="104"/>
      <c r="X3" s="65"/>
      <c r="Y3" s="60"/>
    </row>
    <row r="4" spans="1:25" s="4" customFormat="1" ht="46.5" x14ac:dyDescent="0.35">
      <c r="A4" s="6" t="s">
        <v>64</v>
      </c>
      <c r="B4" s="6" t="s">
        <v>63</v>
      </c>
      <c r="C4" s="7" t="s">
        <v>65</v>
      </c>
      <c r="D4" s="31" t="s">
        <v>67</v>
      </c>
      <c r="E4" s="7" t="s">
        <v>66</v>
      </c>
      <c r="F4" s="24" t="s">
        <v>80</v>
      </c>
      <c r="G4" s="24" t="s">
        <v>72</v>
      </c>
      <c r="H4" s="24" t="s">
        <v>83</v>
      </c>
      <c r="I4" s="24" t="s">
        <v>81</v>
      </c>
      <c r="J4" s="25" t="s">
        <v>80</v>
      </c>
      <c r="K4" s="25" t="s">
        <v>84</v>
      </c>
      <c r="L4" s="25" t="s">
        <v>85</v>
      </c>
      <c r="M4" s="25" t="s">
        <v>81</v>
      </c>
      <c r="N4" s="24" t="s">
        <v>80</v>
      </c>
      <c r="O4" s="24" t="s">
        <v>84</v>
      </c>
      <c r="P4" s="24" t="s">
        <v>85</v>
      </c>
      <c r="Q4" s="24" t="s">
        <v>81</v>
      </c>
      <c r="R4" s="99" t="s">
        <v>103</v>
      </c>
      <c r="S4" s="65" t="s">
        <v>102</v>
      </c>
      <c r="T4" s="66" t="s">
        <v>113</v>
      </c>
      <c r="U4" s="90" t="s">
        <v>85</v>
      </c>
      <c r="V4" s="97" t="s">
        <v>105</v>
      </c>
      <c r="W4" s="66" t="s">
        <v>102</v>
      </c>
      <c r="X4" s="65" t="s">
        <v>101</v>
      </c>
      <c r="Y4" s="60" t="s">
        <v>87</v>
      </c>
    </row>
    <row r="5" spans="1:25" x14ac:dyDescent="0.35">
      <c r="A5" s="46" t="s">
        <v>19</v>
      </c>
      <c r="B5" s="2" t="s">
        <v>51</v>
      </c>
      <c r="C5" s="3">
        <v>1.2916666666666667</v>
      </c>
      <c r="D5" s="32">
        <v>102</v>
      </c>
      <c r="E5" s="67">
        <v>240</v>
      </c>
      <c r="F5" s="68">
        <v>0.5</v>
      </c>
      <c r="G5" s="69">
        <f>IFERROR(VLOOKUP($B5,'Dinh muc'!$A$2:$I$40,3,0),0)</f>
        <v>10</v>
      </c>
      <c r="H5" s="70">
        <f t="shared" ref="H5:H14" si="0">(C5*24)/(SUM($C$5:$C$14)*24)</f>
        <v>0.81578947368421051</v>
      </c>
      <c r="I5" s="71">
        <f>G5*H5</f>
        <v>8.1578947368421044</v>
      </c>
      <c r="J5" s="68">
        <v>0.25</v>
      </c>
      <c r="K5" s="72">
        <f>IFERROR(VLOOKUP($B5,'Dinh muc'!$A$2:$I$40,7,0),0)</f>
        <v>3.25</v>
      </c>
      <c r="L5" s="71">
        <f t="shared" ref="L5:L14" si="1">IFERROR(D5/(C5*24),0)</f>
        <v>3.2903225806451615</v>
      </c>
      <c r="M5" s="73"/>
      <c r="N5" s="68">
        <v>0.25</v>
      </c>
      <c r="O5" s="74">
        <v>3.5</v>
      </c>
      <c r="P5" s="75">
        <f>(SUM(E5:E14)/((SUM(C5:C13)*24)))</f>
        <v>6.3157894736842106</v>
      </c>
      <c r="Q5" s="73"/>
      <c r="R5" s="83">
        <f>F5*I15+J5*M15+N5*Q15</f>
        <v>8.0396240290552683</v>
      </c>
      <c r="S5" s="76">
        <v>0.7</v>
      </c>
      <c r="T5" s="69">
        <f>'Dinh muc'!M4</f>
        <v>164835.16483516482</v>
      </c>
      <c r="U5" s="91">
        <f>IFERROR(VLOOKUP(A5,'chi phi XCG'!$A$2:$C$39,3,0),0)</f>
        <v>193406.5934065934</v>
      </c>
      <c r="V5" s="83">
        <f>(T5*8)/U5</f>
        <v>6.8181818181818175</v>
      </c>
      <c r="W5" s="77">
        <v>0.3</v>
      </c>
      <c r="X5" s="78">
        <f>R5*S5+V5*W5</f>
        <v>7.6731913657932322</v>
      </c>
      <c r="Y5" s="47" t="str">
        <f>IF(X5&gt;=10,"A++",IF(X5&gt;=9,"A+",IF(X5&gt;=8,"A",IF(X5&gt;=7,"B","C"))))</f>
        <v>B</v>
      </c>
    </row>
    <row r="6" spans="1:25" x14ac:dyDescent="0.35">
      <c r="A6" s="46"/>
      <c r="B6" s="2" t="s">
        <v>58</v>
      </c>
      <c r="C6" s="3">
        <v>0.29166666666666669</v>
      </c>
      <c r="D6" s="32">
        <v>23</v>
      </c>
      <c r="E6" s="67"/>
      <c r="F6" s="68"/>
      <c r="G6" s="69">
        <f>IFERROR(VLOOKUP($B6,'Dinh muc'!$A$2:$I$40,3,0),0)</f>
        <v>9</v>
      </c>
      <c r="H6" s="70">
        <f t="shared" si="0"/>
        <v>0.18421052631578946</v>
      </c>
      <c r="I6" s="71">
        <f t="shared" ref="I6:I11" si="2">G6*H6</f>
        <v>1.6578947368421051</v>
      </c>
      <c r="J6" s="68"/>
      <c r="K6" s="72">
        <f>IFERROR(VLOOKUP($B6,'Dinh muc'!$A$2:$I$40,7,0),0)</f>
        <v>3.25</v>
      </c>
      <c r="L6" s="71">
        <f t="shared" si="1"/>
        <v>3.2857142857142856</v>
      </c>
      <c r="M6" s="73"/>
      <c r="N6" s="68"/>
      <c r="O6" s="74"/>
      <c r="P6" s="75"/>
      <c r="Q6" s="73"/>
      <c r="R6" s="83"/>
      <c r="S6" s="76"/>
      <c r="T6" s="76"/>
      <c r="U6" s="92"/>
      <c r="V6" s="83"/>
      <c r="W6" s="76"/>
      <c r="X6" s="76"/>
      <c r="Y6" s="47"/>
    </row>
    <row r="7" spans="1:25" x14ac:dyDescent="0.35">
      <c r="A7" s="46"/>
      <c r="B7" s="2"/>
      <c r="C7" s="3"/>
      <c r="D7" s="32"/>
      <c r="E7" s="67"/>
      <c r="F7" s="68"/>
      <c r="G7" s="69">
        <f>IFERROR(VLOOKUP($B7,'Dinh muc'!$A$2:$I$40,3,0),0)</f>
        <v>0</v>
      </c>
      <c r="H7" s="70">
        <f t="shared" si="0"/>
        <v>0</v>
      </c>
      <c r="I7" s="71">
        <f t="shared" si="2"/>
        <v>0</v>
      </c>
      <c r="J7" s="68"/>
      <c r="K7" s="72">
        <f>IFERROR(VLOOKUP($B7,'Dinh muc'!$A$2:$I$40,7,0),0)</f>
        <v>0</v>
      </c>
      <c r="L7" s="71">
        <f t="shared" si="1"/>
        <v>0</v>
      </c>
      <c r="M7" s="73"/>
      <c r="N7" s="68"/>
      <c r="O7" s="74"/>
      <c r="P7" s="75"/>
      <c r="Q7" s="73"/>
      <c r="R7" s="83"/>
      <c r="S7" s="76"/>
      <c r="T7" s="76"/>
      <c r="U7" s="92"/>
      <c r="V7" s="83"/>
      <c r="W7" s="76"/>
      <c r="X7" s="76"/>
      <c r="Y7" s="47"/>
    </row>
    <row r="8" spans="1:25" x14ac:dyDescent="0.35">
      <c r="A8" s="46"/>
      <c r="B8" s="2"/>
      <c r="C8" s="3"/>
      <c r="D8" s="32"/>
      <c r="E8" s="67"/>
      <c r="F8" s="68"/>
      <c r="G8" s="69">
        <f>IFERROR(VLOOKUP($B8,'Dinh muc'!$A$2:$I$40,3,0),0)</f>
        <v>0</v>
      </c>
      <c r="H8" s="70">
        <f t="shared" si="0"/>
        <v>0</v>
      </c>
      <c r="I8" s="71">
        <f t="shared" si="2"/>
        <v>0</v>
      </c>
      <c r="J8" s="68"/>
      <c r="K8" s="72">
        <f>IFERROR(VLOOKUP($B8,'Dinh muc'!$A$2:$I$40,7,0),0)</f>
        <v>0</v>
      </c>
      <c r="L8" s="71">
        <f t="shared" si="1"/>
        <v>0</v>
      </c>
      <c r="M8" s="73"/>
      <c r="N8" s="68"/>
      <c r="O8" s="74"/>
      <c r="P8" s="75"/>
      <c r="Q8" s="73"/>
      <c r="R8" s="83"/>
      <c r="S8" s="76"/>
      <c r="T8" s="76"/>
      <c r="U8" s="92"/>
      <c r="V8" s="83"/>
      <c r="W8" s="76"/>
      <c r="X8" s="76"/>
      <c r="Y8" s="47"/>
    </row>
    <row r="9" spans="1:25" x14ac:dyDescent="0.35">
      <c r="A9" s="46"/>
      <c r="B9" s="2"/>
      <c r="C9" s="3"/>
      <c r="D9" s="32"/>
      <c r="E9" s="67"/>
      <c r="F9" s="68"/>
      <c r="G9" s="69">
        <f>IFERROR(VLOOKUP($B9,'Dinh muc'!$A$2:$I$40,3,0),0)</f>
        <v>0</v>
      </c>
      <c r="H9" s="70">
        <f t="shared" si="0"/>
        <v>0</v>
      </c>
      <c r="I9" s="71">
        <f t="shared" si="2"/>
        <v>0</v>
      </c>
      <c r="J9" s="68"/>
      <c r="K9" s="72">
        <f>IFERROR(VLOOKUP($B9,'Dinh muc'!$A$2:$I$40,7,0),0)</f>
        <v>0</v>
      </c>
      <c r="L9" s="71">
        <f t="shared" si="1"/>
        <v>0</v>
      </c>
      <c r="M9" s="73"/>
      <c r="N9" s="68"/>
      <c r="O9" s="74"/>
      <c r="P9" s="75"/>
      <c r="Q9" s="73"/>
      <c r="R9" s="83"/>
      <c r="S9" s="76"/>
      <c r="T9" s="76"/>
      <c r="U9" s="92"/>
      <c r="V9" s="83"/>
      <c r="W9" s="76"/>
      <c r="X9" s="76"/>
      <c r="Y9" s="47"/>
    </row>
    <row r="10" spans="1:25" x14ac:dyDescent="0.35">
      <c r="A10" s="46"/>
      <c r="B10" s="2"/>
      <c r="C10" s="3"/>
      <c r="D10" s="32"/>
      <c r="E10" s="67"/>
      <c r="F10" s="68"/>
      <c r="G10" s="69">
        <f>IFERROR(VLOOKUP($B10,'Dinh muc'!$A$2:$I$40,3,0),0)</f>
        <v>0</v>
      </c>
      <c r="H10" s="70">
        <f t="shared" si="0"/>
        <v>0</v>
      </c>
      <c r="I10" s="71">
        <f t="shared" si="2"/>
        <v>0</v>
      </c>
      <c r="J10" s="68"/>
      <c r="K10" s="72">
        <f>IFERROR(VLOOKUP($B10,'Dinh muc'!$A$2:$I$40,7,0),0)</f>
        <v>0</v>
      </c>
      <c r="L10" s="71">
        <f t="shared" si="1"/>
        <v>0</v>
      </c>
      <c r="M10" s="73"/>
      <c r="N10" s="68"/>
      <c r="O10" s="74"/>
      <c r="P10" s="75"/>
      <c r="Q10" s="73"/>
      <c r="R10" s="83"/>
      <c r="S10" s="76"/>
      <c r="T10" s="76"/>
      <c r="U10" s="92"/>
      <c r="V10" s="83"/>
      <c r="W10" s="76"/>
      <c r="X10" s="76"/>
      <c r="Y10" s="47"/>
    </row>
    <row r="11" spans="1:25" x14ac:dyDescent="0.35">
      <c r="A11" s="46"/>
      <c r="B11" s="2"/>
      <c r="C11" s="3"/>
      <c r="D11" s="32"/>
      <c r="E11" s="67"/>
      <c r="F11" s="68"/>
      <c r="G11" s="69">
        <f>IFERROR(VLOOKUP($B11,'Dinh muc'!$A$2:$I$40,3,0),0)</f>
        <v>0</v>
      </c>
      <c r="H11" s="70">
        <f t="shared" si="0"/>
        <v>0</v>
      </c>
      <c r="I11" s="71">
        <f t="shared" si="2"/>
        <v>0</v>
      </c>
      <c r="J11" s="68"/>
      <c r="K11" s="72">
        <f>IFERROR(VLOOKUP($B11,'Dinh muc'!$A$2:$I$40,7,0),0)</f>
        <v>0</v>
      </c>
      <c r="L11" s="71">
        <f t="shared" si="1"/>
        <v>0</v>
      </c>
      <c r="M11" s="73"/>
      <c r="N11" s="68"/>
      <c r="O11" s="74"/>
      <c r="P11" s="75"/>
      <c r="Q11" s="73"/>
      <c r="R11" s="83"/>
      <c r="S11" s="76"/>
      <c r="T11" s="76"/>
      <c r="U11" s="92"/>
      <c r="V11" s="83"/>
      <c r="W11" s="76"/>
      <c r="X11" s="76"/>
      <c r="Y11" s="47"/>
    </row>
    <row r="12" spans="1:25" x14ac:dyDescent="0.35">
      <c r="A12" s="46"/>
      <c r="B12" s="2"/>
      <c r="C12" s="3"/>
      <c r="D12" s="32"/>
      <c r="E12" s="67"/>
      <c r="F12" s="68"/>
      <c r="G12" s="69">
        <f>IFERROR(VLOOKUP($B12,'Dinh muc'!$A$2:$I$40,3,0),0)</f>
        <v>0</v>
      </c>
      <c r="H12" s="70">
        <f t="shared" si="0"/>
        <v>0</v>
      </c>
      <c r="I12" s="71">
        <f t="shared" ref="I12:I14" si="3">G12*H12</f>
        <v>0</v>
      </c>
      <c r="J12" s="68"/>
      <c r="K12" s="72">
        <f>IFERROR(VLOOKUP($B12,'Dinh muc'!$A$2:$I$40,7,0),0)</f>
        <v>0</v>
      </c>
      <c r="L12" s="71">
        <f t="shared" si="1"/>
        <v>0</v>
      </c>
      <c r="M12" s="73"/>
      <c r="N12" s="68"/>
      <c r="O12" s="74"/>
      <c r="P12" s="75"/>
      <c r="Q12" s="73"/>
      <c r="R12" s="83"/>
      <c r="S12" s="76"/>
      <c r="T12" s="76"/>
      <c r="U12" s="92"/>
      <c r="V12" s="83"/>
      <c r="W12" s="76"/>
      <c r="X12" s="76"/>
      <c r="Y12" s="47"/>
    </row>
    <row r="13" spans="1:25" x14ac:dyDescent="0.35">
      <c r="A13" s="46"/>
      <c r="B13" s="2"/>
      <c r="C13" s="3"/>
      <c r="D13" s="32"/>
      <c r="E13" s="67"/>
      <c r="F13" s="68"/>
      <c r="G13" s="69">
        <f>IFERROR(VLOOKUP($B13,'Dinh muc'!$A$2:$I$40,3,0),0)</f>
        <v>0</v>
      </c>
      <c r="H13" s="70">
        <f t="shared" si="0"/>
        <v>0</v>
      </c>
      <c r="I13" s="71">
        <f t="shared" si="3"/>
        <v>0</v>
      </c>
      <c r="J13" s="68"/>
      <c r="K13" s="72">
        <f>IFERROR(VLOOKUP($B13,'Dinh muc'!$A$2:$I$40,7,0),0)</f>
        <v>0</v>
      </c>
      <c r="L13" s="71">
        <f t="shared" si="1"/>
        <v>0</v>
      </c>
      <c r="M13" s="73"/>
      <c r="N13" s="68"/>
      <c r="O13" s="74"/>
      <c r="P13" s="75"/>
      <c r="Q13" s="73"/>
      <c r="R13" s="83"/>
      <c r="S13" s="76"/>
      <c r="T13" s="76"/>
      <c r="U13" s="92"/>
      <c r="V13" s="83"/>
      <c r="W13" s="76"/>
      <c r="X13" s="76"/>
      <c r="Y13" s="47"/>
    </row>
    <row r="14" spans="1:25" x14ac:dyDescent="0.35">
      <c r="A14" s="46"/>
      <c r="B14" s="2" t="s">
        <v>82</v>
      </c>
      <c r="C14" s="3"/>
      <c r="D14" s="32"/>
      <c r="E14" s="67"/>
      <c r="F14" s="68"/>
      <c r="G14" s="69">
        <f>IFERROR(VLOOKUP($B14,'Dinh muc'!$A$2:$I$40,3,0),0)</f>
        <v>-20</v>
      </c>
      <c r="H14" s="70">
        <f t="shared" si="0"/>
        <v>0</v>
      </c>
      <c r="I14" s="71">
        <f t="shared" si="3"/>
        <v>0</v>
      </c>
      <c r="J14" s="68"/>
      <c r="K14" s="72">
        <f>IFERROR(VLOOKUP($B14,'Dinh muc'!$A$2:$I$40,7,0),0)</f>
        <v>0</v>
      </c>
      <c r="L14" s="71">
        <f t="shared" si="1"/>
        <v>0</v>
      </c>
      <c r="M14" s="73"/>
      <c r="N14" s="68"/>
      <c r="O14" s="74"/>
      <c r="P14" s="75"/>
      <c r="Q14" s="73"/>
      <c r="R14" s="83"/>
      <c r="S14" s="76"/>
      <c r="T14" s="76"/>
      <c r="U14" s="92"/>
      <c r="V14" s="83"/>
      <c r="W14" s="76"/>
      <c r="X14" s="76"/>
      <c r="Y14" s="47"/>
    </row>
    <row r="15" spans="1:25" x14ac:dyDescent="0.35">
      <c r="A15" s="35"/>
      <c r="B15" s="8"/>
      <c r="C15" s="9"/>
      <c r="D15" s="33"/>
      <c r="E15" s="10"/>
      <c r="F15" s="30"/>
      <c r="G15" s="11"/>
      <c r="H15" s="27"/>
      <c r="I15" s="29">
        <f>SUM(I5:I14)</f>
        <v>9.8157894736842088</v>
      </c>
      <c r="J15" s="30"/>
      <c r="K15" s="30">
        <f>AVERAGE(K5:K14)</f>
        <v>0.65</v>
      </c>
      <c r="L15" s="30">
        <f>AVERAGE(L5:L14)</f>
        <v>0.65760368663594471</v>
      </c>
      <c r="M15" s="29">
        <f>(L15*8)/K15</f>
        <v>8.0935838355193184</v>
      </c>
      <c r="N15" s="30"/>
      <c r="O15" s="30">
        <f>AVERAGE(O5:O14)</f>
        <v>3.5</v>
      </c>
      <c r="P15" s="30">
        <f>AVERAGE(P5:P14)</f>
        <v>6.3157894736842106</v>
      </c>
      <c r="Q15" s="29">
        <f>(O15*8)/P15</f>
        <v>4.4333333333333336</v>
      </c>
      <c r="R15" s="98"/>
      <c r="S15" s="79"/>
      <c r="T15" s="79"/>
      <c r="U15" s="93"/>
      <c r="V15" s="98"/>
      <c r="W15" s="79"/>
      <c r="X15" s="79"/>
      <c r="Y15" s="61"/>
    </row>
    <row r="16" spans="1:25" x14ac:dyDescent="0.35">
      <c r="A16" s="46" t="s">
        <v>20</v>
      </c>
      <c r="B16" s="2" t="s">
        <v>18</v>
      </c>
      <c r="C16" s="3">
        <v>1.0416666666666666E-2</v>
      </c>
      <c r="D16" s="32">
        <v>1</v>
      </c>
      <c r="E16" s="67">
        <v>330</v>
      </c>
      <c r="F16" s="68">
        <v>0.5</v>
      </c>
      <c r="G16" s="69">
        <f>IFERROR(VLOOKUP($B16,'Dinh muc'!$A$2:$I$40,3,0),0)</f>
        <v>7</v>
      </c>
      <c r="H16" s="80">
        <f t="shared" ref="H16:H25" si="4">(C16*24)/(SUM($C$16:$C$25)*24)</f>
        <v>6.4516129032258064E-3</v>
      </c>
      <c r="I16" s="81">
        <f>G16*H16</f>
        <v>4.5161290322580643E-2</v>
      </c>
      <c r="J16" s="68">
        <v>0.25</v>
      </c>
      <c r="K16" s="71">
        <f>IFERROR(VLOOKUP($B16,'Dinh muc'!$A$2:$I$40,7,0),0)</f>
        <v>4.125</v>
      </c>
      <c r="L16" s="71">
        <f t="shared" ref="L16:L25" si="5">IFERROR(D16/(C16*24),0)</f>
        <v>4</v>
      </c>
      <c r="M16" s="67"/>
      <c r="N16" s="68">
        <v>0.25</v>
      </c>
      <c r="O16" s="74">
        <v>3.5</v>
      </c>
      <c r="P16" s="74">
        <f>(SUM(E16:E25)/(SUM(C16:C24)*24))</f>
        <v>10.323253388946821</v>
      </c>
      <c r="Q16" s="82"/>
      <c r="R16" s="83">
        <f>F16*I26+J16*M26+N16*Q26</f>
        <v>5.2124250144215276</v>
      </c>
      <c r="S16" s="76">
        <v>0.7</v>
      </c>
      <c r="T16" s="69">
        <f>T5</f>
        <v>164835.16483516482</v>
      </c>
      <c r="U16" s="91">
        <f>IFERROR(VLOOKUP(A16,'chi phi XCG'!$A$2:$C$39,3,0),0)</f>
        <v>181318.68131868137</v>
      </c>
      <c r="V16" s="83">
        <f>(T16*8)/U16</f>
        <v>7.2727272727272698</v>
      </c>
      <c r="W16" s="77">
        <v>0.3</v>
      </c>
      <c r="X16" s="78">
        <f>R16*S16+V16*W16</f>
        <v>5.8305156919132504</v>
      </c>
      <c r="Y16" s="47" t="str">
        <f>IF(X16&gt;=10,"A++",IF(X16&gt;=9,"A+",IF(X16&gt;=8,"A",IF(X16&gt;=7,"B","C"))))</f>
        <v>C</v>
      </c>
    </row>
    <row r="17" spans="1:25" x14ac:dyDescent="0.35">
      <c r="A17" s="46"/>
      <c r="B17" s="2" t="s">
        <v>50</v>
      </c>
      <c r="C17" s="3">
        <v>2.4305555555555556E-2</v>
      </c>
      <c r="D17" s="32">
        <v>2</v>
      </c>
      <c r="E17" s="67"/>
      <c r="F17" s="68"/>
      <c r="G17" s="69">
        <f>IFERROR(VLOOKUP($B17,'Dinh muc'!$A$2:$I$40,3,0),0)</f>
        <v>8</v>
      </c>
      <c r="H17" s="80">
        <f t="shared" si="4"/>
        <v>1.5053763440860216E-2</v>
      </c>
      <c r="I17" s="81">
        <f t="shared" ref="I17:I25" si="6">G17*H17</f>
        <v>0.12043010752688173</v>
      </c>
      <c r="J17" s="68"/>
      <c r="K17" s="71">
        <f>IFERROR(VLOOKUP($B17,'Dinh muc'!$A$2:$I$40,7,0),0)</f>
        <v>3.25</v>
      </c>
      <c r="L17" s="71">
        <f t="shared" si="5"/>
        <v>3.4285714285714284</v>
      </c>
      <c r="M17" s="67"/>
      <c r="N17" s="68"/>
      <c r="O17" s="74"/>
      <c r="P17" s="74"/>
      <c r="Q17" s="82"/>
      <c r="R17" s="83"/>
      <c r="S17" s="76"/>
      <c r="T17" s="83"/>
      <c r="U17" s="94"/>
      <c r="V17" s="83"/>
      <c r="W17" s="83"/>
      <c r="X17" s="83"/>
      <c r="Y17" s="47"/>
    </row>
    <row r="18" spans="1:25" x14ac:dyDescent="0.35">
      <c r="A18" s="46"/>
      <c r="B18" s="2" t="s">
        <v>53</v>
      </c>
      <c r="C18" s="3">
        <v>0.22569444444444445</v>
      </c>
      <c r="D18" s="32">
        <v>30</v>
      </c>
      <c r="E18" s="67"/>
      <c r="F18" s="68"/>
      <c r="G18" s="69">
        <f>IFERROR(VLOOKUP($B18,'Dinh muc'!$A$2:$I$40,3,0),0)</f>
        <v>8</v>
      </c>
      <c r="H18" s="80">
        <f t="shared" si="4"/>
        <v>0.13978494623655915</v>
      </c>
      <c r="I18" s="81">
        <f t="shared" si="6"/>
        <v>1.1182795698924732</v>
      </c>
      <c r="J18" s="68"/>
      <c r="K18" s="71">
        <f>IFERROR(VLOOKUP($B18,'Dinh muc'!$A$2:$I$40,7,0),0)</f>
        <v>3.25</v>
      </c>
      <c r="L18" s="71">
        <f t="shared" si="5"/>
        <v>5.5384615384615383</v>
      </c>
      <c r="M18" s="67"/>
      <c r="N18" s="68"/>
      <c r="O18" s="74"/>
      <c r="P18" s="74"/>
      <c r="Q18" s="82"/>
      <c r="R18" s="83"/>
      <c r="S18" s="76"/>
      <c r="T18" s="83"/>
      <c r="U18" s="94"/>
      <c r="V18" s="83"/>
      <c r="W18" s="83"/>
      <c r="X18" s="83"/>
      <c r="Y18" s="47"/>
    </row>
    <row r="19" spans="1:25" x14ac:dyDescent="0.35">
      <c r="A19" s="46"/>
      <c r="B19" s="2" t="s">
        <v>60</v>
      </c>
      <c r="C19" s="3">
        <v>1.0020833333333332</v>
      </c>
      <c r="D19" s="32">
        <v>100</v>
      </c>
      <c r="E19" s="67"/>
      <c r="F19" s="68"/>
      <c r="G19" s="69">
        <f>IFERROR(VLOOKUP($B19,'Dinh muc'!$A$2:$I$40,3,0),0)</f>
        <v>8</v>
      </c>
      <c r="H19" s="80">
        <f t="shared" si="4"/>
        <v>0.62064516129032254</v>
      </c>
      <c r="I19" s="81">
        <f t="shared" si="6"/>
        <v>4.9651612903225804</v>
      </c>
      <c r="J19" s="68"/>
      <c r="K19" s="71">
        <f>IFERROR(VLOOKUP($B19,'Dinh muc'!$A$2:$I$40,7,0),0)</f>
        <v>3.25</v>
      </c>
      <c r="L19" s="71">
        <f t="shared" si="5"/>
        <v>4.1580041580041582</v>
      </c>
      <c r="M19" s="67"/>
      <c r="N19" s="68"/>
      <c r="O19" s="74"/>
      <c r="P19" s="74"/>
      <c r="Q19" s="82"/>
      <c r="R19" s="83"/>
      <c r="S19" s="76"/>
      <c r="T19" s="83"/>
      <c r="U19" s="94"/>
      <c r="V19" s="83"/>
      <c r="W19" s="83"/>
      <c r="X19" s="83"/>
      <c r="Y19" s="47"/>
    </row>
    <row r="20" spans="1:25" x14ac:dyDescent="0.35">
      <c r="A20" s="46"/>
      <c r="B20" s="2" t="s">
        <v>90</v>
      </c>
      <c r="C20" s="3">
        <v>6.9444444444444448E-2</v>
      </c>
      <c r="D20" s="32">
        <v>8</v>
      </c>
      <c r="E20" s="67"/>
      <c r="F20" s="68"/>
      <c r="G20" s="69">
        <f>IFERROR(VLOOKUP($B20,'Dinh muc'!$A$2:$I$40,3,0),0)</f>
        <v>0</v>
      </c>
      <c r="H20" s="80">
        <f t="shared" si="4"/>
        <v>4.3010752688172046E-2</v>
      </c>
      <c r="I20" s="81">
        <f t="shared" si="6"/>
        <v>0</v>
      </c>
      <c r="J20" s="68"/>
      <c r="K20" s="71">
        <f>IFERROR(VLOOKUP($B20,'Dinh muc'!$A$2:$I$40,7,0),0)</f>
        <v>0</v>
      </c>
      <c r="L20" s="71">
        <f t="shared" si="5"/>
        <v>4.8</v>
      </c>
      <c r="M20" s="67"/>
      <c r="N20" s="68"/>
      <c r="O20" s="74"/>
      <c r="P20" s="74"/>
      <c r="Q20" s="82"/>
      <c r="R20" s="83"/>
      <c r="S20" s="76"/>
      <c r="T20" s="83"/>
      <c r="U20" s="94"/>
      <c r="V20" s="83"/>
      <c r="W20" s="83"/>
      <c r="X20" s="83"/>
      <c r="Y20" s="47"/>
    </row>
    <row r="21" spans="1:25" x14ac:dyDescent="0.35">
      <c r="A21" s="46"/>
      <c r="B21" s="2"/>
      <c r="C21" s="3"/>
      <c r="D21" s="32"/>
      <c r="E21" s="67"/>
      <c r="F21" s="68"/>
      <c r="G21" s="69">
        <f>IFERROR(VLOOKUP($B21,'Dinh muc'!$A$2:$I$40,3,0),0)</f>
        <v>0</v>
      </c>
      <c r="H21" s="80">
        <f t="shared" si="4"/>
        <v>0</v>
      </c>
      <c r="I21" s="81">
        <f t="shared" si="6"/>
        <v>0</v>
      </c>
      <c r="J21" s="68"/>
      <c r="K21" s="71">
        <f>IFERROR(VLOOKUP($B21,'Dinh muc'!$A$2:$I$40,7,0),0)</f>
        <v>0</v>
      </c>
      <c r="L21" s="71">
        <f t="shared" si="5"/>
        <v>0</v>
      </c>
      <c r="M21" s="67"/>
      <c r="N21" s="68"/>
      <c r="O21" s="74"/>
      <c r="P21" s="74"/>
      <c r="Q21" s="82"/>
      <c r="R21" s="83"/>
      <c r="S21" s="76"/>
      <c r="T21" s="83"/>
      <c r="U21" s="94"/>
      <c r="V21" s="83"/>
      <c r="W21" s="83"/>
      <c r="X21" s="83"/>
      <c r="Y21" s="47"/>
    </row>
    <row r="22" spans="1:25" x14ac:dyDescent="0.35">
      <c r="A22" s="46"/>
      <c r="B22" s="2"/>
      <c r="C22" s="3"/>
      <c r="D22" s="32"/>
      <c r="E22" s="67"/>
      <c r="F22" s="68"/>
      <c r="G22" s="69">
        <f>IFERROR(VLOOKUP($B22,'Dinh muc'!$A$2:$I$40,3,0),0)</f>
        <v>0</v>
      </c>
      <c r="H22" s="80">
        <f t="shared" si="4"/>
        <v>0</v>
      </c>
      <c r="I22" s="81">
        <f t="shared" si="6"/>
        <v>0</v>
      </c>
      <c r="J22" s="68"/>
      <c r="K22" s="71">
        <f>IFERROR(VLOOKUP($B22,'Dinh muc'!$A$2:$I$40,7,0),0)</f>
        <v>0</v>
      </c>
      <c r="L22" s="71">
        <f t="shared" si="5"/>
        <v>0</v>
      </c>
      <c r="M22" s="67"/>
      <c r="N22" s="68"/>
      <c r="O22" s="74"/>
      <c r="P22" s="74"/>
      <c r="Q22" s="82"/>
      <c r="R22" s="83"/>
      <c r="S22" s="76"/>
      <c r="T22" s="83"/>
      <c r="U22" s="94"/>
      <c r="V22" s="83"/>
      <c r="W22" s="83"/>
      <c r="X22" s="83"/>
      <c r="Y22" s="47"/>
    </row>
    <row r="23" spans="1:25" x14ac:dyDescent="0.35">
      <c r="A23" s="46"/>
      <c r="B23" s="2"/>
      <c r="C23" s="3"/>
      <c r="D23" s="32"/>
      <c r="E23" s="67"/>
      <c r="F23" s="68"/>
      <c r="G23" s="69">
        <f>IFERROR(VLOOKUP($B23,'Dinh muc'!$A$2:$I$40,3,0),0)</f>
        <v>0</v>
      </c>
      <c r="H23" s="80">
        <f t="shared" si="4"/>
        <v>0</v>
      </c>
      <c r="I23" s="81">
        <f t="shared" si="6"/>
        <v>0</v>
      </c>
      <c r="J23" s="68"/>
      <c r="K23" s="71">
        <f>IFERROR(VLOOKUP($B23,'Dinh muc'!$A$2:$I$40,7,0),0)</f>
        <v>0</v>
      </c>
      <c r="L23" s="71">
        <f t="shared" si="5"/>
        <v>0</v>
      </c>
      <c r="M23" s="67"/>
      <c r="N23" s="68"/>
      <c r="O23" s="74"/>
      <c r="P23" s="74"/>
      <c r="Q23" s="82"/>
      <c r="R23" s="83"/>
      <c r="S23" s="76"/>
      <c r="T23" s="83"/>
      <c r="U23" s="94"/>
      <c r="V23" s="83"/>
      <c r="W23" s="83"/>
      <c r="X23" s="83"/>
      <c r="Y23" s="47"/>
    </row>
    <row r="24" spans="1:25" x14ac:dyDescent="0.35">
      <c r="A24" s="46"/>
      <c r="B24" s="2"/>
      <c r="C24" s="3"/>
      <c r="D24" s="32"/>
      <c r="E24" s="67"/>
      <c r="F24" s="68"/>
      <c r="G24" s="69">
        <f>IFERROR(VLOOKUP($B24,'Dinh muc'!$A$2:$I$40,3,0),0)</f>
        <v>0</v>
      </c>
      <c r="H24" s="80">
        <f t="shared" si="4"/>
        <v>0</v>
      </c>
      <c r="I24" s="81">
        <f t="shared" si="6"/>
        <v>0</v>
      </c>
      <c r="J24" s="68"/>
      <c r="K24" s="71">
        <f>IFERROR(VLOOKUP($B24,'Dinh muc'!$A$2:$I$40,7,0),0)</f>
        <v>0</v>
      </c>
      <c r="L24" s="71">
        <f t="shared" si="5"/>
        <v>0</v>
      </c>
      <c r="M24" s="67"/>
      <c r="N24" s="68"/>
      <c r="O24" s="74"/>
      <c r="P24" s="74"/>
      <c r="Q24" s="82"/>
      <c r="R24" s="83"/>
      <c r="S24" s="76"/>
      <c r="T24" s="83"/>
      <c r="U24" s="94"/>
      <c r="V24" s="83"/>
      <c r="W24" s="83"/>
      <c r="X24" s="83"/>
      <c r="Y24" s="47"/>
    </row>
    <row r="25" spans="1:25" x14ac:dyDescent="0.35">
      <c r="A25" s="46"/>
      <c r="B25" s="2" t="s">
        <v>82</v>
      </c>
      <c r="C25" s="3">
        <v>0.28263888888888888</v>
      </c>
      <c r="D25" s="32"/>
      <c r="E25" s="67"/>
      <c r="F25" s="68"/>
      <c r="G25" s="69">
        <f>IFERROR(VLOOKUP($B25,'Dinh muc'!$A$2:$I$40,3,0),0)</f>
        <v>-20</v>
      </c>
      <c r="H25" s="80">
        <f t="shared" si="4"/>
        <v>0.17505376344086021</v>
      </c>
      <c r="I25" s="81">
        <f t="shared" si="6"/>
        <v>-3.5010752688172042</v>
      </c>
      <c r="J25" s="68"/>
      <c r="K25" s="71">
        <f>IFERROR(VLOOKUP($B25,'Dinh muc'!$A$2:$I$40,7,0),0)</f>
        <v>0</v>
      </c>
      <c r="L25" s="71">
        <f t="shared" si="5"/>
        <v>0</v>
      </c>
      <c r="M25" s="67"/>
      <c r="N25" s="68"/>
      <c r="O25" s="74"/>
      <c r="P25" s="74"/>
      <c r="Q25" s="82"/>
      <c r="R25" s="83"/>
      <c r="S25" s="76"/>
      <c r="T25" s="83"/>
      <c r="U25" s="94"/>
      <c r="V25" s="83"/>
      <c r="W25" s="83"/>
      <c r="X25" s="83"/>
      <c r="Y25" s="47"/>
    </row>
    <row r="26" spans="1:25" x14ac:dyDescent="0.35">
      <c r="A26" s="35"/>
      <c r="B26" s="8"/>
      <c r="C26" s="9"/>
      <c r="D26" s="33"/>
      <c r="E26" s="10"/>
      <c r="F26" s="30"/>
      <c r="G26" s="11"/>
      <c r="H26" s="27"/>
      <c r="I26" s="29">
        <f>SUM(I16:I25)</f>
        <v>2.7479569892473119</v>
      </c>
      <c r="J26" s="30"/>
      <c r="K26" s="30">
        <f>AVERAGE(K16:K25)</f>
        <v>1.3875</v>
      </c>
      <c r="L26" s="30">
        <f>AVERAGE(L16:L25)</f>
        <v>2.1925037125037123</v>
      </c>
      <c r="M26" s="29">
        <f>(L26*8)/K26</f>
        <v>12.641462846868253</v>
      </c>
      <c r="N26" s="30"/>
      <c r="O26" s="30">
        <f>AVERAGE(O16:O25)</f>
        <v>3.5</v>
      </c>
      <c r="P26" s="30">
        <f>AVERAGE(P16:P25)</f>
        <v>10.323253388946821</v>
      </c>
      <c r="Q26" s="29">
        <f>(O26*8)/P26</f>
        <v>2.7123232323232318</v>
      </c>
      <c r="R26" s="98"/>
      <c r="S26" s="79"/>
      <c r="T26" s="79"/>
      <c r="U26" s="93"/>
      <c r="V26" s="98"/>
      <c r="W26" s="79"/>
      <c r="X26" s="79"/>
      <c r="Y26" s="61"/>
    </row>
    <row r="27" spans="1:25" x14ac:dyDescent="0.35">
      <c r="A27" s="46" t="s">
        <v>21</v>
      </c>
      <c r="B27" s="2" t="s">
        <v>60</v>
      </c>
      <c r="C27" s="3">
        <v>2.0034722222222223</v>
      </c>
      <c r="D27" s="32">
        <v>165</v>
      </c>
      <c r="E27" s="67">
        <v>363</v>
      </c>
      <c r="F27" s="68">
        <v>0.5</v>
      </c>
      <c r="G27" s="69">
        <f>IFERROR(VLOOKUP($B27,'Dinh muc'!$A$2:$I$40,3,0),0)</f>
        <v>8</v>
      </c>
      <c r="H27" s="70">
        <f t="shared" ref="H27:H36" si="7">(C27*24)/(SUM($C$27:$C$36)*24)</f>
        <v>0.9880136986301371</v>
      </c>
      <c r="I27" s="84">
        <f>G27*H27</f>
        <v>7.9041095890410968</v>
      </c>
      <c r="J27" s="68">
        <v>0.25</v>
      </c>
      <c r="K27" s="71">
        <f>IFERROR(VLOOKUP($B27,'Dinh muc'!$A$2:$I$40,7,0),0)</f>
        <v>3.25</v>
      </c>
      <c r="L27" s="71">
        <f t="shared" ref="L27:L36" si="8">IFERROR(D27/(C27*24),0)</f>
        <v>3.4315424610051992</v>
      </c>
      <c r="M27" s="2"/>
      <c r="N27" s="68">
        <v>0.25</v>
      </c>
      <c r="O27" s="85">
        <v>3.5</v>
      </c>
      <c r="P27" s="74">
        <f>(SUM(E27:E36)/(SUM(C27:C35)*24))</f>
        <v>7.5493934142114378</v>
      </c>
      <c r="Q27" s="85"/>
      <c r="R27" s="77">
        <f>F27*I37+J27*M37+N27*Q37</f>
        <v>6.8711370319540288</v>
      </c>
      <c r="S27" s="76">
        <v>0.7</v>
      </c>
      <c r="T27" s="69">
        <f>T16</f>
        <v>164835.16483516482</v>
      </c>
      <c r="U27" s="91">
        <f>IFERROR(VLOOKUP(A27,'chi phi XCG'!$A$2:$C$39,3,0),0)</f>
        <v>181318.68131868137</v>
      </c>
      <c r="V27" s="83">
        <f>(T27*8)/U27</f>
        <v>7.2727272727272698</v>
      </c>
      <c r="W27" s="77">
        <v>0.3</v>
      </c>
      <c r="X27" s="78">
        <f>R27*S27+V27*W27</f>
        <v>6.9916141041860005</v>
      </c>
      <c r="Y27" s="47" t="str">
        <f>IF(X27&gt;=10,"A++",IF(X27&gt;=9,"A+",IF(X27&gt;=8,"A",IF(X27&gt;=7,"B","C"))))</f>
        <v>C</v>
      </c>
    </row>
    <row r="28" spans="1:25" x14ac:dyDescent="0.35">
      <c r="A28" s="46"/>
      <c r="B28" s="2"/>
      <c r="C28" s="3"/>
      <c r="D28" s="32"/>
      <c r="E28" s="67"/>
      <c r="F28" s="68"/>
      <c r="G28" s="69">
        <f>IFERROR(VLOOKUP($B28,'Dinh muc'!$A$2:$I$40,3,0),0)</f>
        <v>0</v>
      </c>
      <c r="H28" s="70">
        <f t="shared" si="7"/>
        <v>0</v>
      </c>
      <c r="I28" s="84">
        <f t="shared" ref="I28:I38" si="9">G28*H28</f>
        <v>0</v>
      </c>
      <c r="J28" s="68"/>
      <c r="K28" s="71">
        <f>IFERROR(VLOOKUP($B28,'Dinh muc'!$A$2:$I$40,7,0),0)</f>
        <v>0</v>
      </c>
      <c r="L28" s="71">
        <f t="shared" si="8"/>
        <v>0</v>
      </c>
      <c r="M28" s="2"/>
      <c r="N28" s="68"/>
      <c r="O28" s="85"/>
      <c r="P28" s="74"/>
      <c r="Q28" s="85"/>
      <c r="R28" s="77"/>
      <c r="S28" s="68"/>
      <c r="T28" s="77"/>
      <c r="U28" s="95"/>
      <c r="V28" s="77"/>
      <c r="W28" s="77"/>
      <c r="X28" s="77"/>
      <c r="Y28" s="47"/>
    </row>
    <row r="29" spans="1:25" x14ac:dyDescent="0.35">
      <c r="A29" s="46"/>
      <c r="B29" s="2"/>
      <c r="C29" s="3"/>
      <c r="D29" s="32"/>
      <c r="E29" s="67"/>
      <c r="F29" s="68"/>
      <c r="G29" s="69">
        <f>IFERROR(VLOOKUP($B29,'Dinh muc'!$A$2:$I$40,3,0),0)</f>
        <v>0</v>
      </c>
      <c r="H29" s="70">
        <f t="shared" si="7"/>
        <v>0</v>
      </c>
      <c r="I29" s="84">
        <f t="shared" si="9"/>
        <v>0</v>
      </c>
      <c r="J29" s="68"/>
      <c r="K29" s="71">
        <f>IFERROR(VLOOKUP($B29,'Dinh muc'!$A$2:$I$40,7,0),0)</f>
        <v>0</v>
      </c>
      <c r="L29" s="71">
        <f t="shared" si="8"/>
        <v>0</v>
      </c>
      <c r="M29" s="2"/>
      <c r="N29" s="68"/>
      <c r="O29" s="85"/>
      <c r="P29" s="74"/>
      <c r="Q29" s="85"/>
      <c r="R29" s="77"/>
      <c r="S29" s="68"/>
      <c r="T29" s="77"/>
      <c r="U29" s="95"/>
      <c r="V29" s="77"/>
      <c r="W29" s="77"/>
      <c r="X29" s="77"/>
      <c r="Y29" s="47"/>
    </row>
    <row r="30" spans="1:25" x14ac:dyDescent="0.35">
      <c r="A30" s="46"/>
      <c r="B30" s="2"/>
      <c r="C30" s="3"/>
      <c r="D30" s="32"/>
      <c r="E30" s="67"/>
      <c r="F30" s="68"/>
      <c r="G30" s="69">
        <f>IFERROR(VLOOKUP($B30,'Dinh muc'!$A$2:$I$40,3,0),0)</f>
        <v>0</v>
      </c>
      <c r="H30" s="70">
        <f t="shared" si="7"/>
        <v>0</v>
      </c>
      <c r="I30" s="84">
        <f t="shared" si="9"/>
        <v>0</v>
      </c>
      <c r="J30" s="68"/>
      <c r="K30" s="71">
        <f>IFERROR(VLOOKUP($B30,'Dinh muc'!$A$2:$I$40,7,0),0)</f>
        <v>0</v>
      </c>
      <c r="L30" s="71">
        <f t="shared" si="8"/>
        <v>0</v>
      </c>
      <c r="M30" s="2"/>
      <c r="N30" s="68"/>
      <c r="O30" s="85"/>
      <c r="P30" s="74"/>
      <c r="Q30" s="85"/>
      <c r="R30" s="77"/>
      <c r="S30" s="68"/>
      <c r="T30" s="77"/>
      <c r="U30" s="95"/>
      <c r="V30" s="77"/>
      <c r="W30" s="77"/>
      <c r="X30" s="77"/>
      <c r="Y30" s="47"/>
    </row>
    <row r="31" spans="1:25" x14ac:dyDescent="0.35">
      <c r="A31" s="46"/>
      <c r="B31" s="2"/>
      <c r="C31" s="3"/>
      <c r="D31" s="32"/>
      <c r="E31" s="67"/>
      <c r="F31" s="68"/>
      <c r="G31" s="69">
        <f>IFERROR(VLOOKUP($B31,'Dinh muc'!$A$2:$I$40,3,0),0)</f>
        <v>0</v>
      </c>
      <c r="H31" s="70">
        <f t="shared" si="7"/>
        <v>0</v>
      </c>
      <c r="I31" s="84">
        <f t="shared" si="9"/>
        <v>0</v>
      </c>
      <c r="J31" s="68"/>
      <c r="K31" s="71">
        <f>IFERROR(VLOOKUP($B31,'Dinh muc'!$A$2:$I$40,7,0),0)</f>
        <v>0</v>
      </c>
      <c r="L31" s="71">
        <f t="shared" si="8"/>
        <v>0</v>
      </c>
      <c r="M31" s="2"/>
      <c r="N31" s="68"/>
      <c r="O31" s="85"/>
      <c r="P31" s="74"/>
      <c r="Q31" s="85"/>
      <c r="R31" s="77"/>
      <c r="S31" s="68"/>
      <c r="T31" s="77"/>
      <c r="U31" s="95"/>
      <c r="V31" s="77"/>
      <c r="W31" s="77"/>
      <c r="X31" s="77"/>
      <c r="Y31" s="47"/>
    </row>
    <row r="32" spans="1:25" x14ac:dyDescent="0.35">
      <c r="A32" s="46"/>
      <c r="B32" s="2"/>
      <c r="C32" s="3"/>
      <c r="D32" s="32"/>
      <c r="E32" s="67"/>
      <c r="F32" s="68"/>
      <c r="G32" s="69">
        <f>IFERROR(VLOOKUP($B32,'Dinh muc'!$A$2:$I$40,3,0),0)</f>
        <v>0</v>
      </c>
      <c r="H32" s="70">
        <f t="shared" si="7"/>
        <v>0</v>
      </c>
      <c r="I32" s="84"/>
      <c r="J32" s="68"/>
      <c r="K32" s="71">
        <f>IFERROR(VLOOKUP($B32,'Dinh muc'!$A$2:$I$40,7,0),0)</f>
        <v>0</v>
      </c>
      <c r="L32" s="71">
        <f t="shared" si="8"/>
        <v>0</v>
      </c>
      <c r="M32" s="2"/>
      <c r="N32" s="68"/>
      <c r="O32" s="85"/>
      <c r="P32" s="74"/>
      <c r="Q32" s="85"/>
      <c r="R32" s="77"/>
      <c r="S32" s="68"/>
      <c r="T32" s="77"/>
      <c r="U32" s="95"/>
      <c r="V32" s="77"/>
      <c r="W32" s="77"/>
      <c r="X32" s="77"/>
      <c r="Y32" s="47"/>
    </row>
    <row r="33" spans="1:25" x14ac:dyDescent="0.35">
      <c r="A33" s="46"/>
      <c r="B33" s="2"/>
      <c r="C33" s="3"/>
      <c r="D33" s="32"/>
      <c r="E33" s="67"/>
      <c r="F33" s="68"/>
      <c r="G33" s="69">
        <f>IFERROR(VLOOKUP($B33,'Dinh muc'!$A$2:$I$40,3,0),0)</f>
        <v>0</v>
      </c>
      <c r="H33" s="70">
        <f t="shared" si="7"/>
        <v>0</v>
      </c>
      <c r="I33" s="84">
        <f t="shared" si="9"/>
        <v>0</v>
      </c>
      <c r="J33" s="68"/>
      <c r="K33" s="71">
        <f>IFERROR(VLOOKUP($B33,'Dinh muc'!$A$2:$I$40,7,0),0)</f>
        <v>0</v>
      </c>
      <c r="L33" s="71">
        <f t="shared" si="8"/>
        <v>0</v>
      </c>
      <c r="M33" s="2"/>
      <c r="N33" s="68"/>
      <c r="O33" s="85"/>
      <c r="P33" s="74"/>
      <c r="Q33" s="85"/>
      <c r="R33" s="77"/>
      <c r="S33" s="68"/>
      <c r="T33" s="77"/>
      <c r="U33" s="95"/>
      <c r="V33" s="77"/>
      <c r="W33" s="77"/>
      <c r="X33" s="77"/>
      <c r="Y33" s="47"/>
    </row>
    <row r="34" spans="1:25" x14ac:dyDescent="0.35">
      <c r="A34" s="46"/>
      <c r="B34" s="2"/>
      <c r="C34" s="3"/>
      <c r="D34" s="32"/>
      <c r="E34" s="67"/>
      <c r="F34" s="68"/>
      <c r="G34" s="69">
        <f>IFERROR(VLOOKUP($B34,'Dinh muc'!$A$2:$I$40,3,0),0)</f>
        <v>0</v>
      </c>
      <c r="H34" s="70">
        <f t="shared" si="7"/>
        <v>0</v>
      </c>
      <c r="I34" s="84">
        <f t="shared" si="9"/>
        <v>0</v>
      </c>
      <c r="J34" s="68"/>
      <c r="K34" s="71">
        <f>IFERROR(VLOOKUP($B34,'Dinh muc'!$A$2:$I$40,7,0),0)</f>
        <v>0</v>
      </c>
      <c r="L34" s="71">
        <f t="shared" si="8"/>
        <v>0</v>
      </c>
      <c r="M34" s="2"/>
      <c r="N34" s="68"/>
      <c r="O34" s="85"/>
      <c r="P34" s="74"/>
      <c r="Q34" s="85"/>
      <c r="R34" s="77"/>
      <c r="S34" s="68"/>
      <c r="T34" s="77"/>
      <c r="U34" s="95"/>
      <c r="V34" s="77"/>
      <c r="W34" s="77"/>
      <c r="X34" s="77"/>
      <c r="Y34" s="47"/>
    </row>
    <row r="35" spans="1:25" x14ac:dyDescent="0.35">
      <c r="A35" s="46"/>
      <c r="B35" s="2"/>
      <c r="C35" s="3"/>
      <c r="D35" s="32"/>
      <c r="E35" s="67"/>
      <c r="F35" s="68"/>
      <c r="G35" s="69">
        <f>IFERROR(VLOOKUP($B35,'Dinh muc'!$A$2:$I$40,3,0),0)</f>
        <v>0</v>
      </c>
      <c r="H35" s="70">
        <f t="shared" si="7"/>
        <v>0</v>
      </c>
      <c r="I35" s="84">
        <f t="shared" si="9"/>
        <v>0</v>
      </c>
      <c r="J35" s="68"/>
      <c r="K35" s="71">
        <f>IFERROR(VLOOKUP($B35,'Dinh muc'!$A$2:$I$40,7,0),0)</f>
        <v>0</v>
      </c>
      <c r="L35" s="71">
        <f t="shared" si="8"/>
        <v>0</v>
      </c>
      <c r="M35" s="2"/>
      <c r="N35" s="68"/>
      <c r="O35" s="85"/>
      <c r="P35" s="74"/>
      <c r="Q35" s="85"/>
      <c r="R35" s="77"/>
      <c r="S35" s="68"/>
      <c r="T35" s="77"/>
      <c r="U35" s="95"/>
      <c r="V35" s="77"/>
      <c r="W35" s="77"/>
      <c r="X35" s="77"/>
      <c r="Y35" s="47"/>
    </row>
    <row r="36" spans="1:25" x14ac:dyDescent="0.35">
      <c r="A36" s="46"/>
      <c r="B36" s="2" t="s">
        <v>82</v>
      </c>
      <c r="C36" s="3">
        <v>2.4305555555555556E-2</v>
      </c>
      <c r="D36" s="32"/>
      <c r="E36" s="67"/>
      <c r="F36" s="68"/>
      <c r="G36" s="69">
        <f>IFERROR(VLOOKUP($B36,'Dinh muc'!$A$2:$I$40,3,0),0)</f>
        <v>-20</v>
      </c>
      <c r="H36" s="70">
        <f t="shared" si="7"/>
        <v>1.1986301369863015E-2</v>
      </c>
      <c r="I36" s="84">
        <f t="shared" si="9"/>
        <v>-0.23972602739726029</v>
      </c>
      <c r="J36" s="68"/>
      <c r="K36" s="71">
        <f>IFERROR(VLOOKUP($B36,'Dinh muc'!$A$2:$I$40,7,0),0)</f>
        <v>0</v>
      </c>
      <c r="L36" s="71">
        <f t="shared" si="8"/>
        <v>0</v>
      </c>
      <c r="M36" s="2"/>
      <c r="N36" s="68"/>
      <c r="O36" s="85"/>
      <c r="P36" s="74"/>
      <c r="Q36" s="85"/>
      <c r="R36" s="77"/>
      <c r="S36" s="68"/>
      <c r="T36" s="77"/>
      <c r="U36" s="95"/>
      <c r="V36" s="77"/>
      <c r="W36" s="77"/>
      <c r="X36" s="77"/>
      <c r="Y36" s="47"/>
    </row>
    <row r="37" spans="1:25" x14ac:dyDescent="0.35">
      <c r="A37" s="35"/>
      <c r="B37" s="8"/>
      <c r="C37" s="9"/>
      <c r="D37" s="33"/>
      <c r="E37" s="10"/>
      <c r="F37" s="30"/>
      <c r="G37" s="11"/>
      <c r="H37" s="27"/>
      <c r="I37" s="29">
        <f>SUM(I27:I36)</f>
        <v>7.6643835616438363</v>
      </c>
      <c r="J37" s="30"/>
      <c r="K37" s="30">
        <f>AVERAGE(K27:K36)</f>
        <v>0.32500000000000001</v>
      </c>
      <c r="L37" s="30">
        <f>AVERAGE(L27:L36)</f>
        <v>0.34315424610051992</v>
      </c>
      <c r="M37" s="29">
        <f>(L37*8)/K37</f>
        <v>8.4468737501666435</v>
      </c>
      <c r="N37" s="30"/>
      <c r="O37" s="30">
        <f>AVERAGE(O27)</f>
        <v>3.5</v>
      </c>
      <c r="P37" s="30">
        <f>AVERAGE(P27)</f>
        <v>7.5493934142114378</v>
      </c>
      <c r="Q37" s="29">
        <f>(O37*8)/P37</f>
        <v>3.7089072543618</v>
      </c>
      <c r="R37" s="98"/>
      <c r="S37" s="79"/>
      <c r="T37" s="79"/>
      <c r="U37" s="93"/>
      <c r="V37" s="98"/>
      <c r="W37" s="79"/>
      <c r="X37" s="79"/>
      <c r="Y37" s="61"/>
    </row>
    <row r="38" spans="1:25" x14ac:dyDescent="0.35">
      <c r="A38" s="46" t="s">
        <v>22</v>
      </c>
      <c r="B38" s="2" t="s">
        <v>52</v>
      </c>
      <c r="C38" s="3">
        <v>1</v>
      </c>
      <c r="D38" s="32">
        <v>116</v>
      </c>
      <c r="E38" s="67">
        <v>175</v>
      </c>
      <c r="F38" s="68">
        <v>0.5</v>
      </c>
      <c r="G38" s="69">
        <f>IFERROR(VLOOKUP($B38,'Dinh muc'!$A$2:$I$40,3,0),0)</f>
        <v>8</v>
      </c>
      <c r="H38" s="70">
        <f t="shared" ref="H38:H47" si="10">(C38*24)/(SUM($C$38:$C$47)*24)</f>
        <v>0.59504132231404949</v>
      </c>
      <c r="I38" s="84">
        <f t="shared" si="9"/>
        <v>4.7603305785123959</v>
      </c>
      <c r="J38" s="68">
        <v>0.25</v>
      </c>
      <c r="K38" s="71">
        <f>IFERROR(VLOOKUP($B38,'Dinh muc'!$A$2:$I$40,7,0),0)</f>
        <v>3.25</v>
      </c>
      <c r="L38" s="71">
        <f t="shared" ref="L38:L47" si="11">IFERROR(D38/(C38*24),0)</f>
        <v>4.833333333333333</v>
      </c>
      <c r="M38" s="2"/>
      <c r="N38" s="68">
        <v>0.25</v>
      </c>
      <c r="O38" s="85">
        <v>3.5</v>
      </c>
      <c r="P38" s="74">
        <f>(SUM(E38:E47)/(SUM(C38:C46)*24))</f>
        <v>4.3388429752066102</v>
      </c>
      <c r="Q38" s="85"/>
      <c r="R38" s="77">
        <f>F38*I48+J38*M48+N38*Q48</f>
        <v>8.2514051880874142</v>
      </c>
      <c r="S38" s="76">
        <v>0.7</v>
      </c>
      <c r="T38" s="69">
        <f>T27</f>
        <v>164835.16483516482</v>
      </c>
      <c r="U38" s="91">
        <f>IFERROR(VLOOKUP(A38,'chi phi XCG'!$A$2:$C$39,3,0),0)</f>
        <v>181318.68131868137</v>
      </c>
      <c r="V38" s="83">
        <f>(T38*8)/U38</f>
        <v>7.2727272727272698</v>
      </c>
      <c r="W38" s="77">
        <v>0.3</v>
      </c>
      <c r="X38" s="78">
        <f>R38*S38+V38*W38</f>
        <v>7.95780181347937</v>
      </c>
      <c r="Y38" s="47" t="str">
        <f>IF(X38&gt;=10,"A++",IF(X38&gt;=9,"A+",IF(X38&gt;=8,"A",IF(X38&gt;=7,"B","C"))))</f>
        <v>B</v>
      </c>
    </row>
    <row r="39" spans="1:25" x14ac:dyDescent="0.35">
      <c r="A39" s="46"/>
      <c r="B39" s="2" t="s">
        <v>58</v>
      </c>
      <c r="C39" s="3">
        <v>0.39583333333333337</v>
      </c>
      <c r="D39" s="32">
        <v>43</v>
      </c>
      <c r="E39" s="67"/>
      <c r="F39" s="68"/>
      <c r="G39" s="69">
        <f>IFERROR(VLOOKUP($B39,'Dinh muc'!$A$2:$I$40,3,0),0)</f>
        <v>9</v>
      </c>
      <c r="H39" s="70">
        <f t="shared" si="10"/>
        <v>0.23553719008264457</v>
      </c>
      <c r="I39" s="84">
        <f t="shared" ref="I39:I47" si="12">G39*H39</f>
        <v>2.1198347107438011</v>
      </c>
      <c r="J39" s="68"/>
      <c r="K39" s="71">
        <f>IFERROR(VLOOKUP($B39,'Dinh muc'!$A$2:$I$40,7,0),0)</f>
        <v>3.25</v>
      </c>
      <c r="L39" s="71">
        <f t="shared" si="11"/>
        <v>4.5263157894736841</v>
      </c>
      <c r="M39" s="2"/>
      <c r="N39" s="68"/>
      <c r="O39" s="85"/>
      <c r="P39" s="74"/>
      <c r="Q39" s="85"/>
      <c r="R39" s="77"/>
      <c r="S39" s="68"/>
      <c r="T39" s="77"/>
      <c r="U39" s="95"/>
      <c r="V39" s="77"/>
      <c r="W39" s="77"/>
      <c r="X39" s="77"/>
      <c r="Y39" s="47"/>
    </row>
    <row r="40" spans="1:25" x14ac:dyDescent="0.35">
      <c r="A40" s="46"/>
      <c r="B40" s="2" t="s">
        <v>60</v>
      </c>
      <c r="C40" s="3">
        <v>0.28472222222222221</v>
      </c>
      <c r="D40" s="32">
        <v>20</v>
      </c>
      <c r="E40" s="67"/>
      <c r="F40" s="68"/>
      <c r="G40" s="69">
        <f>IFERROR(VLOOKUP($B40,'Dinh muc'!$A$2:$I$40,3,0),0)</f>
        <v>8</v>
      </c>
      <c r="H40" s="70">
        <f t="shared" si="10"/>
        <v>0.16942148760330575</v>
      </c>
      <c r="I40" s="84">
        <f t="shared" si="12"/>
        <v>1.355371900826446</v>
      </c>
      <c r="J40" s="68"/>
      <c r="K40" s="71">
        <f>IFERROR(VLOOKUP($B40,'Dinh muc'!$A$2:$I$40,7,0),0)</f>
        <v>3.25</v>
      </c>
      <c r="L40" s="71">
        <f t="shared" si="11"/>
        <v>2.9268292682926829</v>
      </c>
      <c r="M40" s="2"/>
      <c r="N40" s="68"/>
      <c r="O40" s="85"/>
      <c r="P40" s="74"/>
      <c r="Q40" s="85"/>
      <c r="R40" s="77"/>
      <c r="S40" s="68"/>
      <c r="T40" s="77"/>
      <c r="U40" s="95"/>
      <c r="V40" s="77"/>
      <c r="W40" s="77"/>
      <c r="X40" s="77"/>
      <c r="Y40" s="47"/>
    </row>
    <row r="41" spans="1:25" x14ac:dyDescent="0.35">
      <c r="A41" s="46"/>
      <c r="B41" s="2"/>
      <c r="C41" s="3"/>
      <c r="D41" s="32"/>
      <c r="E41" s="67"/>
      <c r="F41" s="68"/>
      <c r="G41" s="69">
        <f>IFERROR(VLOOKUP($B41,'Dinh muc'!$A$2:$I$40,3,0),0)</f>
        <v>0</v>
      </c>
      <c r="H41" s="70">
        <f t="shared" si="10"/>
        <v>0</v>
      </c>
      <c r="I41" s="84">
        <f t="shared" si="12"/>
        <v>0</v>
      </c>
      <c r="J41" s="68"/>
      <c r="K41" s="71">
        <f>IFERROR(VLOOKUP($B41,'Dinh muc'!$A$2:$I$40,7,0),0)</f>
        <v>0</v>
      </c>
      <c r="L41" s="71">
        <f t="shared" si="11"/>
        <v>0</v>
      </c>
      <c r="M41" s="2"/>
      <c r="N41" s="68"/>
      <c r="O41" s="85"/>
      <c r="P41" s="74"/>
      <c r="Q41" s="85"/>
      <c r="R41" s="77"/>
      <c r="S41" s="68"/>
      <c r="T41" s="77"/>
      <c r="U41" s="95"/>
      <c r="V41" s="77"/>
      <c r="W41" s="77"/>
      <c r="X41" s="77"/>
      <c r="Y41" s="47"/>
    </row>
    <row r="42" spans="1:25" x14ac:dyDescent="0.35">
      <c r="A42" s="46"/>
      <c r="B42" s="2"/>
      <c r="C42" s="3"/>
      <c r="D42" s="32"/>
      <c r="E42" s="67"/>
      <c r="F42" s="68"/>
      <c r="G42" s="69">
        <f>IFERROR(VLOOKUP($B42,'Dinh muc'!$A$2:$I$40,3,0),0)</f>
        <v>0</v>
      </c>
      <c r="H42" s="70">
        <f t="shared" si="10"/>
        <v>0</v>
      </c>
      <c r="I42" s="84">
        <f t="shared" si="12"/>
        <v>0</v>
      </c>
      <c r="J42" s="68"/>
      <c r="K42" s="71">
        <f>IFERROR(VLOOKUP($B42,'Dinh muc'!$A$2:$I$40,7,0),0)</f>
        <v>0</v>
      </c>
      <c r="L42" s="71">
        <f t="shared" si="11"/>
        <v>0</v>
      </c>
      <c r="M42" s="2"/>
      <c r="N42" s="68"/>
      <c r="O42" s="85"/>
      <c r="P42" s="74"/>
      <c r="Q42" s="85"/>
      <c r="R42" s="77"/>
      <c r="S42" s="68"/>
      <c r="T42" s="77"/>
      <c r="U42" s="95"/>
      <c r="V42" s="77"/>
      <c r="W42" s="77"/>
      <c r="X42" s="77"/>
      <c r="Y42" s="47"/>
    </row>
    <row r="43" spans="1:25" x14ac:dyDescent="0.35">
      <c r="A43" s="46"/>
      <c r="B43" s="2"/>
      <c r="C43" s="3"/>
      <c r="D43" s="32"/>
      <c r="E43" s="67"/>
      <c r="F43" s="68"/>
      <c r="G43" s="69">
        <f>IFERROR(VLOOKUP($B43,'Dinh muc'!$A$2:$I$40,3,0),0)</f>
        <v>0</v>
      </c>
      <c r="H43" s="70">
        <f t="shared" si="10"/>
        <v>0</v>
      </c>
      <c r="I43" s="84">
        <f t="shared" si="12"/>
        <v>0</v>
      </c>
      <c r="J43" s="68"/>
      <c r="K43" s="71">
        <f>IFERROR(VLOOKUP($B43,'Dinh muc'!$A$2:$I$40,7,0),0)</f>
        <v>0</v>
      </c>
      <c r="L43" s="71">
        <f t="shared" si="11"/>
        <v>0</v>
      </c>
      <c r="M43" s="2"/>
      <c r="N43" s="68"/>
      <c r="O43" s="85"/>
      <c r="P43" s="74"/>
      <c r="Q43" s="85"/>
      <c r="R43" s="77"/>
      <c r="S43" s="68"/>
      <c r="T43" s="77"/>
      <c r="U43" s="95"/>
      <c r="V43" s="77"/>
      <c r="W43" s="77"/>
      <c r="X43" s="77"/>
      <c r="Y43" s="47"/>
    </row>
    <row r="44" spans="1:25" x14ac:dyDescent="0.35">
      <c r="A44" s="46"/>
      <c r="B44" s="2"/>
      <c r="C44" s="3"/>
      <c r="D44" s="32"/>
      <c r="E44" s="67"/>
      <c r="F44" s="68"/>
      <c r="G44" s="69">
        <f>IFERROR(VLOOKUP($B44,'Dinh muc'!$A$2:$I$40,3,0),0)</f>
        <v>0</v>
      </c>
      <c r="H44" s="70">
        <f t="shared" si="10"/>
        <v>0</v>
      </c>
      <c r="I44" s="84">
        <f t="shared" si="12"/>
        <v>0</v>
      </c>
      <c r="J44" s="68"/>
      <c r="K44" s="71">
        <f>IFERROR(VLOOKUP($B44,'Dinh muc'!$A$2:$I$40,7,0),0)</f>
        <v>0</v>
      </c>
      <c r="L44" s="71">
        <f t="shared" si="11"/>
        <v>0</v>
      </c>
      <c r="M44" s="2"/>
      <c r="N44" s="68"/>
      <c r="O44" s="85"/>
      <c r="P44" s="74"/>
      <c r="Q44" s="85"/>
      <c r="R44" s="77"/>
      <c r="S44" s="68"/>
      <c r="T44" s="77"/>
      <c r="U44" s="95"/>
      <c r="V44" s="77"/>
      <c r="W44" s="77"/>
      <c r="X44" s="77"/>
      <c r="Y44" s="47"/>
    </row>
    <row r="45" spans="1:25" x14ac:dyDescent="0.35">
      <c r="A45" s="46"/>
      <c r="B45" s="2"/>
      <c r="C45" s="3"/>
      <c r="D45" s="32"/>
      <c r="E45" s="67"/>
      <c r="F45" s="68"/>
      <c r="G45" s="69">
        <f>IFERROR(VLOOKUP($B45,'Dinh muc'!$A$2:$I$40,3,0),0)</f>
        <v>0</v>
      </c>
      <c r="H45" s="70">
        <f t="shared" si="10"/>
        <v>0</v>
      </c>
      <c r="I45" s="84">
        <f t="shared" si="12"/>
        <v>0</v>
      </c>
      <c r="J45" s="68"/>
      <c r="K45" s="71">
        <f>IFERROR(VLOOKUP($B45,'Dinh muc'!$A$2:$I$40,7,0),0)</f>
        <v>0</v>
      </c>
      <c r="L45" s="71">
        <f t="shared" si="11"/>
        <v>0</v>
      </c>
      <c r="M45" s="2"/>
      <c r="N45" s="68"/>
      <c r="O45" s="85"/>
      <c r="P45" s="74"/>
      <c r="Q45" s="85"/>
      <c r="R45" s="77"/>
      <c r="S45" s="68"/>
      <c r="T45" s="77"/>
      <c r="U45" s="95"/>
      <c r="V45" s="77"/>
      <c r="W45" s="77"/>
      <c r="X45" s="77"/>
      <c r="Y45" s="47"/>
    </row>
    <row r="46" spans="1:25" x14ac:dyDescent="0.35">
      <c r="A46" s="46"/>
      <c r="B46" s="2"/>
      <c r="C46" s="3"/>
      <c r="D46" s="32"/>
      <c r="E46" s="67"/>
      <c r="F46" s="68"/>
      <c r="G46" s="69">
        <f>IFERROR(VLOOKUP($B46,'Dinh muc'!$A$2:$I$40,3,0),0)</f>
        <v>0</v>
      </c>
      <c r="H46" s="70">
        <f t="shared" si="10"/>
        <v>0</v>
      </c>
      <c r="I46" s="84">
        <f t="shared" si="12"/>
        <v>0</v>
      </c>
      <c r="J46" s="68"/>
      <c r="K46" s="71">
        <f>IFERROR(VLOOKUP($B46,'Dinh muc'!$A$2:$I$40,7,0),0)</f>
        <v>0</v>
      </c>
      <c r="L46" s="71">
        <f t="shared" si="11"/>
        <v>0</v>
      </c>
      <c r="M46" s="2"/>
      <c r="N46" s="68"/>
      <c r="O46" s="85"/>
      <c r="P46" s="74"/>
      <c r="Q46" s="85"/>
      <c r="R46" s="77"/>
      <c r="S46" s="68"/>
      <c r="T46" s="77"/>
      <c r="U46" s="95"/>
      <c r="V46" s="77"/>
      <c r="W46" s="77"/>
      <c r="X46" s="77"/>
      <c r="Y46" s="47"/>
    </row>
    <row r="47" spans="1:25" x14ac:dyDescent="0.35">
      <c r="A47" s="46"/>
      <c r="B47" s="2" t="s">
        <v>82</v>
      </c>
      <c r="C47" s="3"/>
      <c r="D47" s="32"/>
      <c r="E47" s="67"/>
      <c r="F47" s="68"/>
      <c r="G47" s="69">
        <f>IFERROR(VLOOKUP($B47,'Dinh muc'!$A$2:$I$40,3,0),0)</f>
        <v>-20</v>
      </c>
      <c r="H47" s="70">
        <f t="shared" si="10"/>
        <v>0</v>
      </c>
      <c r="I47" s="84">
        <f t="shared" si="12"/>
        <v>0</v>
      </c>
      <c r="J47" s="68"/>
      <c r="K47" s="71">
        <f>IFERROR(VLOOKUP($B47,'Dinh muc'!$A$2:$I$40,7,0),0)</f>
        <v>0</v>
      </c>
      <c r="L47" s="71">
        <f t="shared" si="11"/>
        <v>0</v>
      </c>
      <c r="M47" s="2"/>
      <c r="N47" s="68"/>
      <c r="O47" s="85"/>
      <c r="P47" s="74"/>
      <c r="Q47" s="85"/>
      <c r="R47" s="77"/>
      <c r="S47" s="68"/>
      <c r="T47" s="77"/>
      <c r="U47" s="95"/>
      <c r="V47" s="77"/>
      <c r="W47" s="77"/>
      <c r="X47" s="77"/>
      <c r="Y47" s="47"/>
    </row>
    <row r="48" spans="1:25" x14ac:dyDescent="0.35">
      <c r="A48" s="35"/>
      <c r="B48" s="8"/>
      <c r="C48" s="9"/>
      <c r="D48" s="33"/>
      <c r="E48" s="10"/>
      <c r="F48" s="30"/>
      <c r="G48" s="11"/>
      <c r="H48" s="27"/>
      <c r="I48" s="29">
        <f>SUM(I38:I47)</f>
        <v>8.2355371900826437</v>
      </c>
      <c r="J48" s="30"/>
      <c r="K48" s="30">
        <f>AVERAGE(K38:K47)</f>
        <v>0.97499999999999998</v>
      </c>
      <c r="L48" s="30">
        <f>AVERAGE(L38:L47)</f>
        <v>1.22864783910997</v>
      </c>
      <c r="M48" s="29">
        <f>(L48*8)/K48</f>
        <v>10.081213038851036</v>
      </c>
      <c r="N48" s="30"/>
      <c r="O48" s="30">
        <f>AVERAGE(O38)</f>
        <v>3.5</v>
      </c>
      <c r="P48" s="30">
        <f>AVERAGE(P38)</f>
        <v>4.3388429752066102</v>
      </c>
      <c r="Q48" s="29">
        <f>(O48*8)/P48</f>
        <v>6.4533333333333349</v>
      </c>
      <c r="R48" s="98"/>
      <c r="S48" s="79"/>
      <c r="T48" s="79"/>
      <c r="U48" s="93"/>
      <c r="V48" s="98"/>
      <c r="W48" s="79"/>
      <c r="X48" s="79"/>
      <c r="Y48" s="61"/>
    </row>
    <row r="49" spans="1:25" x14ac:dyDescent="0.35">
      <c r="A49" s="46" t="s">
        <v>25</v>
      </c>
      <c r="B49" s="2" t="s">
        <v>18</v>
      </c>
      <c r="C49" s="3">
        <v>6.25E-2</v>
      </c>
      <c r="D49" s="32">
        <v>9</v>
      </c>
      <c r="E49" s="67">
        <v>190</v>
      </c>
      <c r="F49" s="68">
        <v>0.5</v>
      </c>
      <c r="G49" s="69">
        <f>IFERROR(VLOOKUP($B49,'Dinh muc'!$A$2:$I$40,3,0),0)</f>
        <v>7</v>
      </c>
      <c r="H49" s="70">
        <f t="shared" ref="H49:H58" si="13">(C49*24)/(SUM($C$49:$C$58)*24)</f>
        <v>3.4482758620689648E-2</v>
      </c>
      <c r="I49" s="84">
        <f t="shared" ref="I49:I60" si="14">G49*H49</f>
        <v>0.24137931034482754</v>
      </c>
      <c r="J49" s="68">
        <v>0.25</v>
      </c>
      <c r="K49" s="71">
        <f>IFERROR(VLOOKUP($B49,'Dinh muc'!$A$2:$I$40,7,0),0)</f>
        <v>4.125</v>
      </c>
      <c r="L49" s="71">
        <f t="shared" ref="L49:L58" si="15">IFERROR(D49/(C49*24),0)</f>
        <v>6</v>
      </c>
      <c r="M49" s="2"/>
      <c r="N49" s="68">
        <v>0.25</v>
      </c>
      <c r="O49" s="85">
        <v>3.5</v>
      </c>
      <c r="P49" s="74">
        <f>(SUM(E49:E58)/(SUM(C49:C57)*24))</f>
        <v>4.3678160919540225</v>
      </c>
      <c r="Q49" s="85"/>
      <c r="R49" s="77">
        <f>F49*I59+J49*M59+N49*Q59</f>
        <v>8.7938090154392068</v>
      </c>
      <c r="S49" s="76">
        <v>0.7</v>
      </c>
      <c r="T49" s="69">
        <f>T38</f>
        <v>164835.16483516482</v>
      </c>
      <c r="U49" s="91">
        <f>IFERROR(VLOOKUP(A49,'chi phi XCG'!$A$2:$C$39,3,0),0)</f>
        <v>193406.5934065934</v>
      </c>
      <c r="V49" s="83">
        <f>(T49*8)/U49</f>
        <v>6.8181818181818175</v>
      </c>
      <c r="W49" s="77">
        <v>0.3</v>
      </c>
      <c r="X49" s="78">
        <f>R49*S49+V49*W49</f>
        <v>8.2011208562619906</v>
      </c>
      <c r="Y49" s="47" t="str">
        <f>IF(X49&gt;=10,"A++",IF(X49&gt;=9,"A+",IF(X49&gt;=8,"A",IF(X49&gt;=7,"B","C"))))</f>
        <v>A</v>
      </c>
    </row>
    <row r="50" spans="1:25" x14ac:dyDescent="0.35">
      <c r="A50" s="46"/>
      <c r="B50" s="2" t="s">
        <v>51</v>
      </c>
      <c r="C50" s="3">
        <v>1.4583333333333335</v>
      </c>
      <c r="D50" s="32">
        <v>112</v>
      </c>
      <c r="E50" s="67"/>
      <c r="F50" s="68"/>
      <c r="G50" s="69">
        <f>IFERROR(VLOOKUP($B50,'Dinh muc'!$A$2:$I$40,3,0),0)</f>
        <v>10</v>
      </c>
      <c r="H50" s="70">
        <f t="shared" si="13"/>
        <v>0.80459770114942519</v>
      </c>
      <c r="I50" s="84">
        <f t="shared" si="14"/>
        <v>8.0459770114942515</v>
      </c>
      <c r="J50" s="68"/>
      <c r="K50" s="71">
        <f>IFERROR(VLOOKUP($B50,'Dinh muc'!$A$2:$I$40,7,0),0)</f>
        <v>3.25</v>
      </c>
      <c r="L50" s="71">
        <f t="shared" si="15"/>
        <v>3.2</v>
      </c>
      <c r="M50" s="2"/>
      <c r="N50" s="68"/>
      <c r="O50" s="85"/>
      <c r="P50" s="74"/>
      <c r="Q50" s="85"/>
      <c r="R50" s="77"/>
      <c r="S50" s="68"/>
      <c r="T50" s="77"/>
      <c r="U50" s="95"/>
      <c r="V50" s="77"/>
      <c r="W50" s="77"/>
      <c r="X50" s="77"/>
      <c r="Y50" s="47"/>
    </row>
    <row r="51" spans="1:25" x14ac:dyDescent="0.35">
      <c r="A51" s="46"/>
      <c r="B51" s="2" t="s">
        <v>58</v>
      </c>
      <c r="C51" s="3">
        <v>0.29166666666666669</v>
      </c>
      <c r="D51" s="32">
        <v>22</v>
      </c>
      <c r="E51" s="67"/>
      <c r="F51" s="68"/>
      <c r="G51" s="69">
        <f>IFERROR(VLOOKUP($B51,'Dinh muc'!$A$2:$I$40,3,0),0)</f>
        <v>9</v>
      </c>
      <c r="H51" s="70">
        <f t="shared" si="13"/>
        <v>0.16091954022988503</v>
      </c>
      <c r="I51" s="84">
        <f t="shared" si="14"/>
        <v>1.4482758620689653</v>
      </c>
      <c r="J51" s="68"/>
      <c r="K51" s="71">
        <f>IFERROR(VLOOKUP($B51,'Dinh muc'!$A$2:$I$40,7,0),0)</f>
        <v>3.25</v>
      </c>
      <c r="L51" s="71">
        <f t="shared" si="15"/>
        <v>3.1428571428571428</v>
      </c>
      <c r="M51" s="2"/>
      <c r="N51" s="68"/>
      <c r="O51" s="85"/>
      <c r="P51" s="74"/>
      <c r="Q51" s="85"/>
      <c r="R51" s="77"/>
      <c r="S51" s="68"/>
      <c r="T51" s="77"/>
      <c r="U51" s="95"/>
      <c r="V51" s="77"/>
      <c r="W51" s="77"/>
      <c r="X51" s="77"/>
      <c r="Y51" s="47"/>
    </row>
    <row r="52" spans="1:25" x14ac:dyDescent="0.35">
      <c r="A52" s="46"/>
      <c r="B52" s="2"/>
      <c r="C52" s="3"/>
      <c r="D52" s="32"/>
      <c r="E52" s="67"/>
      <c r="F52" s="68"/>
      <c r="G52" s="69">
        <f>IFERROR(VLOOKUP($B52,'Dinh muc'!$A$2:$I$40,3,0),0)</f>
        <v>0</v>
      </c>
      <c r="H52" s="70">
        <f t="shared" si="13"/>
        <v>0</v>
      </c>
      <c r="I52" s="84">
        <f t="shared" si="14"/>
        <v>0</v>
      </c>
      <c r="J52" s="68"/>
      <c r="K52" s="71">
        <f>IFERROR(VLOOKUP($B52,'Dinh muc'!$A$2:$I$40,7,0),0)</f>
        <v>0</v>
      </c>
      <c r="L52" s="71">
        <f t="shared" si="15"/>
        <v>0</v>
      </c>
      <c r="M52" s="2"/>
      <c r="N52" s="68"/>
      <c r="O52" s="85"/>
      <c r="P52" s="74"/>
      <c r="Q52" s="85"/>
      <c r="R52" s="77"/>
      <c r="S52" s="68"/>
      <c r="T52" s="77"/>
      <c r="U52" s="95"/>
      <c r="V52" s="77"/>
      <c r="W52" s="77"/>
      <c r="X52" s="77"/>
      <c r="Y52" s="47"/>
    </row>
    <row r="53" spans="1:25" x14ac:dyDescent="0.35">
      <c r="A53" s="46"/>
      <c r="B53" s="2"/>
      <c r="C53" s="3"/>
      <c r="D53" s="32"/>
      <c r="E53" s="67"/>
      <c r="F53" s="68"/>
      <c r="G53" s="69">
        <f>IFERROR(VLOOKUP($B53,'Dinh muc'!$A$2:$I$40,3,0),0)</f>
        <v>0</v>
      </c>
      <c r="H53" s="70">
        <f t="shared" si="13"/>
        <v>0</v>
      </c>
      <c r="I53" s="84">
        <f t="shared" si="14"/>
        <v>0</v>
      </c>
      <c r="J53" s="68"/>
      <c r="K53" s="71">
        <f>IFERROR(VLOOKUP($B53,'Dinh muc'!$A$2:$I$40,7,0),0)</f>
        <v>0</v>
      </c>
      <c r="L53" s="71">
        <f t="shared" si="15"/>
        <v>0</v>
      </c>
      <c r="M53" s="2"/>
      <c r="N53" s="68"/>
      <c r="O53" s="85"/>
      <c r="P53" s="74"/>
      <c r="Q53" s="85"/>
      <c r="R53" s="77"/>
      <c r="S53" s="68"/>
      <c r="T53" s="77"/>
      <c r="U53" s="95"/>
      <c r="V53" s="77"/>
      <c r="W53" s="77"/>
      <c r="X53" s="77"/>
      <c r="Y53" s="47"/>
    </row>
    <row r="54" spans="1:25" x14ac:dyDescent="0.35">
      <c r="A54" s="46"/>
      <c r="B54" s="2"/>
      <c r="C54" s="3"/>
      <c r="D54" s="32"/>
      <c r="E54" s="67"/>
      <c r="F54" s="68"/>
      <c r="G54" s="69">
        <f>IFERROR(VLOOKUP($B54,'Dinh muc'!$A$2:$I$40,3,0),0)</f>
        <v>0</v>
      </c>
      <c r="H54" s="70">
        <f t="shared" si="13"/>
        <v>0</v>
      </c>
      <c r="I54" s="84"/>
      <c r="J54" s="68"/>
      <c r="K54" s="71">
        <f>IFERROR(VLOOKUP($B54,'Dinh muc'!$A$2:$I$40,7,0),0)</f>
        <v>0</v>
      </c>
      <c r="L54" s="71">
        <f t="shared" si="15"/>
        <v>0</v>
      </c>
      <c r="M54" s="2"/>
      <c r="N54" s="68"/>
      <c r="O54" s="85"/>
      <c r="P54" s="74"/>
      <c r="Q54" s="85"/>
      <c r="R54" s="77"/>
      <c r="S54" s="68"/>
      <c r="T54" s="77"/>
      <c r="U54" s="95"/>
      <c r="V54" s="77"/>
      <c r="W54" s="77"/>
      <c r="X54" s="77"/>
      <c r="Y54" s="47"/>
    </row>
    <row r="55" spans="1:25" x14ac:dyDescent="0.35">
      <c r="A55" s="46"/>
      <c r="B55" s="2"/>
      <c r="C55" s="3"/>
      <c r="D55" s="32"/>
      <c r="E55" s="67"/>
      <c r="F55" s="68"/>
      <c r="G55" s="69">
        <f>IFERROR(VLOOKUP($B55,'Dinh muc'!$A$2:$I$40,3,0),0)</f>
        <v>0</v>
      </c>
      <c r="H55" s="70">
        <f t="shared" si="13"/>
        <v>0</v>
      </c>
      <c r="I55" s="84">
        <f t="shared" si="14"/>
        <v>0</v>
      </c>
      <c r="J55" s="68"/>
      <c r="K55" s="71">
        <f>IFERROR(VLOOKUP($B55,'Dinh muc'!$A$2:$I$40,7,0),0)</f>
        <v>0</v>
      </c>
      <c r="L55" s="71">
        <f t="shared" si="15"/>
        <v>0</v>
      </c>
      <c r="M55" s="2"/>
      <c r="N55" s="68"/>
      <c r="O55" s="85"/>
      <c r="P55" s="74"/>
      <c r="Q55" s="85"/>
      <c r="R55" s="77"/>
      <c r="S55" s="68"/>
      <c r="T55" s="77"/>
      <c r="U55" s="95"/>
      <c r="V55" s="77"/>
      <c r="W55" s="77"/>
      <c r="X55" s="77"/>
      <c r="Y55" s="47"/>
    </row>
    <row r="56" spans="1:25" x14ac:dyDescent="0.35">
      <c r="A56" s="46"/>
      <c r="B56" s="2"/>
      <c r="C56" s="3"/>
      <c r="D56" s="32"/>
      <c r="E56" s="67"/>
      <c r="F56" s="68"/>
      <c r="G56" s="69">
        <f>IFERROR(VLOOKUP($B56,'Dinh muc'!$A$2:$I$40,3,0),0)</f>
        <v>0</v>
      </c>
      <c r="H56" s="70">
        <f t="shared" si="13"/>
        <v>0</v>
      </c>
      <c r="I56" s="84">
        <f t="shared" si="14"/>
        <v>0</v>
      </c>
      <c r="J56" s="68"/>
      <c r="K56" s="71">
        <f>IFERROR(VLOOKUP($B56,'Dinh muc'!$A$2:$I$40,7,0),0)</f>
        <v>0</v>
      </c>
      <c r="L56" s="71">
        <f t="shared" si="15"/>
        <v>0</v>
      </c>
      <c r="M56" s="2"/>
      <c r="N56" s="68"/>
      <c r="O56" s="85"/>
      <c r="P56" s="74"/>
      <c r="Q56" s="85"/>
      <c r="R56" s="77"/>
      <c r="S56" s="68"/>
      <c r="T56" s="77"/>
      <c r="U56" s="95"/>
      <c r="V56" s="77"/>
      <c r="W56" s="77"/>
      <c r="X56" s="77"/>
      <c r="Y56" s="47"/>
    </row>
    <row r="57" spans="1:25" x14ac:dyDescent="0.35">
      <c r="A57" s="46"/>
      <c r="B57" s="2"/>
      <c r="C57" s="3"/>
      <c r="D57" s="32"/>
      <c r="E57" s="67"/>
      <c r="F57" s="68"/>
      <c r="G57" s="69">
        <f>IFERROR(VLOOKUP($B57,'Dinh muc'!$A$2:$I$40,3,0),0)</f>
        <v>0</v>
      </c>
      <c r="H57" s="70">
        <f t="shared" si="13"/>
        <v>0</v>
      </c>
      <c r="I57" s="84">
        <f t="shared" si="14"/>
        <v>0</v>
      </c>
      <c r="J57" s="68"/>
      <c r="K57" s="71">
        <f>IFERROR(VLOOKUP($B57,'Dinh muc'!$A$2:$I$40,7,0),0)</f>
        <v>0</v>
      </c>
      <c r="L57" s="71">
        <f t="shared" si="15"/>
        <v>0</v>
      </c>
      <c r="M57" s="2"/>
      <c r="N57" s="68"/>
      <c r="O57" s="85"/>
      <c r="P57" s="74"/>
      <c r="Q57" s="85"/>
      <c r="R57" s="77"/>
      <c r="S57" s="68"/>
      <c r="T57" s="77"/>
      <c r="U57" s="95"/>
      <c r="V57" s="77"/>
      <c r="W57" s="77"/>
      <c r="X57" s="77"/>
      <c r="Y57" s="47"/>
    </row>
    <row r="58" spans="1:25" x14ac:dyDescent="0.35">
      <c r="A58" s="46"/>
      <c r="B58" s="2" t="s">
        <v>82</v>
      </c>
      <c r="C58" s="3"/>
      <c r="D58" s="32"/>
      <c r="E58" s="67"/>
      <c r="F58" s="68"/>
      <c r="G58" s="69">
        <f>IFERROR(VLOOKUP($B58,'Dinh muc'!$A$2:$I$40,3,0),0)</f>
        <v>-20</v>
      </c>
      <c r="H58" s="70">
        <f t="shared" si="13"/>
        <v>0</v>
      </c>
      <c r="I58" s="84">
        <f t="shared" si="14"/>
        <v>0</v>
      </c>
      <c r="J58" s="68"/>
      <c r="K58" s="71">
        <f>IFERROR(VLOOKUP($B58,'Dinh muc'!$A$2:$I$40,7,0),0)</f>
        <v>0</v>
      </c>
      <c r="L58" s="71">
        <f t="shared" si="15"/>
        <v>0</v>
      </c>
      <c r="M58" s="2"/>
      <c r="N58" s="68"/>
      <c r="O58" s="85"/>
      <c r="P58" s="74"/>
      <c r="Q58" s="85"/>
      <c r="R58" s="77"/>
      <c r="S58" s="68"/>
      <c r="T58" s="77"/>
      <c r="U58" s="95"/>
      <c r="V58" s="77"/>
      <c r="W58" s="77"/>
      <c r="X58" s="77"/>
      <c r="Y58" s="47"/>
    </row>
    <row r="59" spans="1:25" x14ac:dyDescent="0.35">
      <c r="A59" s="35"/>
      <c r="B59" s="8"/>
      <c r="C59" s="9"/>
      <c r="D59" s="33"/>
      <c r="E59" s="10"/>
      <c r="F59" s="30"/>
      <c r="G59" s="11"/>
      <c r="H59" s="27"/>
      <c r="I59" s="29">
        <f>SUM(I49:I58)</f>
        <v>9.7356321839080451</v>
      </c>
      <c r="J59" s="30"/>
      <c r="K59" s="30">
        <f>AVERAGE(K49:K58)</f>
        <v>1.0625</v>
      </c>
      <c r="L59" s="30">
        <f>AVERAGE(L49:L58)</f>
        <v>1.2342857142857142</v>
      </c>
      <c r="M59" s="29">
        <f>(L59*8)/K59</f>
        <v>9.2934453781512598</v>
      </c>
      <c r="N59" s="30"/>
      <c r="O59" s="30">
        <f>AVERAGE(O49)</f>
        <v>3.5</v>
      </c>
      <c r="P59" s="30">
        <f>AVERAGE(P49)</f>
        <v>4.3678160919540225</v>
      </c>
      <c r="Q59" s="29">
        <f>(O59*8)/P59</f>
        <v>6.4105263157894745</v>
      </c>
      <c r="R59" s="98"/>
      <c r="S59" s="79"/>
      <c r="T59" s="79"/>
      <c r="U59" s="93"/>
      <c r="V59" s="98"/>
      <c r="W59" s="79"/>
      <c r="X59" s="79"/>
      <c r="Y59" s="61"/>
    </row>
    <row r="60" spans="1:25" x14ac:dyDescent="0.35">
      <c r="A60" s="46" t="s">
        <v>26</v>
      </c>
      <c r="B60" s="2" t="s">
        <v>51</v>
      </c>
      <c r="C60" s="3">
        <v>1.2569444444444444</v>
      </c>
      <c r="D60" s="32">
        <v>94</v>
      </c>
      <c r="E60" s="67">
        <v>210</v>
      </c>
      <c r="F60" s="68">
        <v>0.5</v>
      </c>
      <c r="G60" s="69">
        <f>IFERROR(VLOOKUP($B60,'Dinh muc'!$A$2:$I$40,3,0),0)</f>
        <v>10</v>
      </c>
      <c r="H60" s="70">
        <f t="shared" ref="H60:H69" si="16">(C60*24)/(SUM($C$60:$C$69)*24)</f>
        <v>0.8116591928251119</v>
      </c>
      <c r="I60" s="84">
        <f t="shared" si="14"/>
        <v>8.1165919282511183</v>
      </c>
      <c r="J60" s="68">
        <v>0.25</v>
      </c>
      <c r="K60" s="71">
        <f>IFERROR(VLOOKUP($B60,'Dinh muc'!$A$2:$I$40,7,0),0)</f>
        <v>3.25</v>
      </c>
      <c r="L60" s="71">
        <f t="shared" ref="L60:L69" si="17">IFERROR(D60/(C60*24),0)</f>
        <v>3.1160220994475138</v>
      </c>
      <c r="M60" s="2"/>
      <c r="N60" s="68">
        <v>0.25</v>
      </c>
      <c r="O60" s="85">
        <v>3.5</v>
      </c>
      <c r="P60" s="74">
        <f>(SUM(E60:E69)/(SUM(C60:C68)*24))</f>
        <v>5.6502242152466362</v>
      </c>
      <c r="Q60" s="85"/>
      <c r="R60" s="77">
        <f>F60*I70+J60*M70+N60*Q70</f>
        <v>8.0705274829336453</v>
      </c>
      <c r="S60" s="76">
        <v>0.7</v>
      </c>
      <c r="T60" s="69">
        <f>T49</f>
        <v>164835.16483516482</v>
      </c>
      <c r="U60" s="91">
        <f>IFERROR(VLOOKUP(A60,'chi phi XCG'!$A$2:$C$39,3,0),0)</f>
        <v>193406.5934065934</v>
      </c>
      <c r="V60" s="83">
        <f>(T60*8)/U60</f>
        <v>6.8181818181818175</v>
      </c>
      <c r="W60" s="77">
        <v>0.3</v>
      </c>
      <c r="X60" s="78">
        <f>R60*S60+V60*W60</f>
        <v>7.6948237835080961</v>
      </c>
      <c r="Y60" s="47" t="str">
        <f>IF(X60&gt;=10,"A++",IF(X60&gt;=9,"A+",IF(X60&gt;=8,"A",IF(X60&gt;=7,"B","C"))))</f>
        <v>B</v>
      </c>
    </row>
    <row r="61" spans="1:25" x14ac:dyDescent="0.35">
      <c r="A61" s="46"/>
      <c r="B61" s="2" t="s">
        <v>58</v>
      </c>
      <c r="C61" s="3">
        <v>0.29166666666666669</v>
      </c>
      <c r="D61" s="32">
        <v>22</v>
      </c>
      <c r="E61" s="67"/>
      <c r="F61" s="68"/>
      <c r="G61" s="69">
        <f>IFERROR(VLOOKUP($B61,'Dinh muc'!$A$2:$I$40,3,0),0)</f>
        <v>9</v>
      </c>
      <c r="H61" s="70">
        <f t="shared" si="16"/>
        <v>0.18834080717488788</v>
      </c>
      <c r="I61" s="84">
        <f>G61*H61</f>
        <v>1.695067264573991</v>
      </c>
      <c r="J61" s="68"/>
      <c r="K61" s="71">
        <f>IFERROR(VLOOKUP($B61,'Dinh muc'!$A$2:$I$40,7,0),0)</f>
        <v>3.25</v>
      </c>
      <c r="L61" s="71">
        <f t="shared" si="17"/>
        <v>3.1428571428571428</v>
      </c>
      <c r="M61" s="2"/>
      <c r="N61" s="68"/>
      <c r="O61" s="85"/>
      <c r="P61" s="74"/>
      <c r="Q61" s="85"/>
      <c r="R61" s="77"/>
      <c r="S61" s="68"/>
      <c r="T61" s="77"/>
      <c r="U61" s="95"/>
      <c r="V61" s="77"/>
      <c r="W61" s="77"/>
      <c r="X61" s="77"/>
      <c r="Y61" s="47"/>
    </row>
    <row r="62" spans="1:25" x14ac:dyDescent="0.35">
      <c r="A62" s="46"/>
      <c r="B62" s="2"/>
      <c r="C62" s="3"/>
      <c r="D62" s="32"/>
      <c r="E62" s="67"/>
      <c r="F62" s="68"/>
      <c r="G62" s="69">
        <f>IFERROR(VLOOKUP($B62,'Dinh muc'!$A$2:$I$40,3,0),0)</f>
        <v>0</v>
      </c>
      <c r="H62" s="70">
        <f t="shared" si="16"/>
        <v>0</v>
      </c>
      <c r="I62" s="84">
        <f t="shared" ref="I62:I69" si="18">G62*H62</f>
        <v>0</v>
      </c>
      <c r="J62" s="68"/>
      <c r="K62" s="71">
        <f>IFERROR(VLOOKUP($B62,'Dinh muc'!$A$2:$I$40,7,0),0)</f>
        <v>0</v>
      </c>
      <c r="L62" s="71">
        <f t="shared" si="17"/>
        <v>0</v>
      </c>
      <c r="M62" s="2"/>
      <c r="N62" s="68"/>
      <c r="O62" s="85"/>
      <c r="P62" s="74"/>
      <c r="Q62" s="85"/>
      <c r="R62" s="77"/>
      <c r="S62" s="68"/>
      <c r="T62" s="77"/>
      <c r="U62" s="95"/>
      <c r="V62" s="77"/>
      <c r="W62" s="77"/>
      <c r="X62" s="77"/>
      <c r="Y62" s="47"/>
    </row>
    <row r="63" spans="1:25" x14ac:dyDescent="0.35">
      <c r="A63" s="46"/>
      <c r="B63" s="2"/>
      <c r="C63" s="3"/>
      <c r="D63" s="32"/>
      <c r="E63" s="67"/>
      <c r="F63" s="68"/>
      <c r="G63" s="69">
        <f>IFERROR(VLOOKUP($B63,'Dinh muc'!$A$2:$I$40,3,0),0)</f>
        <v>0</v>
      </c>
      <c r="H63" s="70">
        <f t="shared" si="16"/>
        <v>0</v>
      </c>
      <c r="I63" s="84">
        <f t="shared" si="18"/>
        <v>0</v>
      </c>
      <c r="J63" s="68"/>
      <c r="K63" s="71">
        <f>IFERROR(VLOOKUP($B63,'Dinh muc'!$A$2:$I$40,7,0),0)</f>
        <v>0</v>
      </c>
      <c r="L63" s="71">
        <f t="shared" si="17"/>
        <v>0</v>
      </c>
      <c r="M63" s="2"/>
      <c r="N63" s="68"/>
      <c r="O63" s="85"/>
      <c r="P63" s="74"/>
      <c r="Q63" s="85"/>
      <c r="R63" s="77"/>
      <c r="S63" s="68"/>
      <c r="T63" s="77"/>
      <c r="U63" s="95"/>
      <c r="V63" s="77"/>
      <c r="W63" s="77"/>
      <c r="X63" s="77"/>
      <c r="Y63" s="47"/>
    </row>
    <row r="64" spans="1:25" x14ac:dyDescent="0.35">
      <c r="A64" s="46"/>
      <c r="B64" s="2"/>
      <c r="C64" s="3"/>
      <c r="D64" s="32"/>
      <c r="E64" s="67"/>
      <c r="F64" s="68"/>
      <c r="G64" s="69">
        <f>IFERROR(VLOOKUP($B64,'Dinh muc'!$A$2:$I$40,3,0),0)</f>
        <v>0</v>
      </c>
      <c r="H64" s="70">
        <f t="shared" si="16"/>
        <v>0</v>
      </c>
      <c r="I64" s="84">
        <f t="shared" si="18"/>
        <v>0</v>
      </c>
      <c r="J64" s="68"/>
      <c r="K64" s="71">
        <f>IFERROR(VLOOKUP($B64,'Dinh muc'!$A$2:$I$40,7,0),0)</f>
        <v>0</v>
      </c>
      <c r="L64" s="71">
        <f t="shared" si="17"/>
        <v>0</v>
      </c>
      <c r="M64" s="2"/>
      <c r="N64" s="68"/>
      <c r="O64" s="85"/>
      <c r="P64" s="74"/>
      <c r="Q64" s="85"/>
      <c r="R64" s="77"/>
      <c r="S64" s="68"/>
      <c r="T64" s="77"/>
      <c r="U64" s="95"/>
      <c r="V64" s="77"/>
      <c r="W64" s="77"/>
      <c r="X64" s="77"/>
      <c r="Y64" s="47"/>
    </row>
    <row r="65" spans="1:25" x14ac:dyDescent="0.35">
      <c r="A65" s="46"/>
      <c r="B65" s="2"/>
      <c r="C65" s="3"/>
      <c r="D65" s="32"/>
      <c r="E65" s="67"/>
      <c r="F65" s="68"/>
      <c r="G65" s="69">
        <f>IFERROR(VLOOKUP($B65,'Dinh muc'!$A$2:$I$40,3,0),0)</f>
        <v>0</v>
      </c>
      <c r="H65" s="70">
        <f t="shared" si="16"/>
        <v>0</v>
      </c>
      <c r="I65" s="84">
        <f t="shared" si="18"/>
        <v>0</v>
      </c>
      <c r="J65" s="68"/>
      <c r="K65" s="71">
        <f>IFERROR(VLOOKUP($B65,'Dinh muc'!$A$2:$I$40,7,0),0)</f>
        <v>0</v>
      </c>
      <c r="L65" s="71">
        <f t="shared" si="17"/>
        <v>0</v>
      </c>
      <c r="M65" s="2"/>
      <c r="N65" s="68"/>
      <c r="O65" s="85"/>
      <c r="P65" s="74"/>
      <c r="Q65" s="85"/>
      <c r="R65" s="77"/>
      <c r="S65" s="68"/>
      <c r="T65" s="77"/>
      <c r="U65" s="95"/>
      <c r="V65" s="77"/>
      <c r="W65" s="77"/>
      <c r="X65" s="77"/>
      <c r="Y65" s="47"/>
    </row>
    <row r="66" spans="1:25" x14ac:dyDescent="0.35">
      <c r="A66" s="46"/>
      <c r="B66" s="2"/>
      <c r="C66" s="3"/>
      <c r="D66" s="32"/>
      <c r="E66" s="67"/>
      <c r="F66" s="68"/>
      <c r="G66" s="69">
        <f>IFERROR(VLOOKUP($B66,'Dinh muc'!$A$2:$I$40,3,0),0)</f>
        <v>0</v>
      </c>
      <c r="H66" s="70">
        <f t="shared" si="16"/>
        <v>0</v>
      </c>
      <c r="I66" s="84">
        <f t="shared" si="18"/>
        <v>0</v>
      </c>
      <c r="J66" s="68"/>
      <c r="K66" s="71">
        <f>IFERROR(VLOOKUP($B66,'Dinh muc'!$A$2:$I$40,7,0),0)</f>
        <v>0</v>
      </c>
      <c r="L66" s="71">
        <f t="shared" si="17"/>
        <v>0</v>
      </c>
      <c r="M66" s="2"/>
      <c r="N66" s="68"/>
      <c r="O66" s="85"/>
      <c r="P66" s="74"/>
      <c r="Q66" s="85"/>
      <c r="R66" s="77"/>
      <c r="S66" s="68"/>
      <c r="T66" s="77"/>
      <c r="U66" s="95"/>
      <c r="V66" s="77"/>
      <c r="W66" s="77"/>
      <c r="X66" s="77"/>
      <c r="Y66" s="47"/>
    </row>
    <row r="67" spans="1:25" x14ac:dyDescent="0.35">
      <c r="A67" s="46"/>
      <c r="B67" s="2"/>
      <c r="C67" s="3"/>
      <c r="D67" s="32"/>
      <c r="E67" s="67"/>
      <c r="F67" s="68"/>
      <c r="G67" s="69">
        <f>IFERROR(VLOOKUP($B67,'Dinh muc'!$A$2:$I$40,3,0),0)</f>
        <v>0</v>
      </c>
      <c r="H67" s="70">
        <f t="shared" si="16"/>
        <v>0</v>
      </c>
      <c r="I67" s="84">
        <f t="shared" si="18"/>
        <v>0</v>
      </c>
      <c r="J67" s="68"/>
      <c r="K67" s="71">
        <f>IFERROR(VLOOKUP($B67,'Dinh muc'!$A$2:$I$40,7,0),0)</f>
        <v>0</v>
      </c>
      <c r="L67" s="71">
        <f t="shared" si="17"/>
        <v>0</v>
      </c>
      <c r="M67" s="2"/>
      <c r="N67" s="68"/>
      <c r="O67" s="85"/>
      <c r="P67" s="74"/>
      <c r="Q67" s="85"/>
      <c r="R67" s="77"/>
      <c r="S67" s="68"/>
      <c r="T67" s="77"/>
      <c r="U67" s="95"/>
      <c r="V67" s="77"/>
      <c r="W67" s="77"/>
      <c r="X67" s="77"/>
      <c r="Y67" s="47"/>
    </row>
    <row r="68" spans="1:25" x14ac:dyDescent="0.35">
      <c r="A68" s="46"/>
      <c r="B68" s="2"/>
      <c r="C68" s="3"/>
      <c r="D68" s="32"/>
      <c r="E68" s="67"/>
      <c r="F68" s="68"/>
      <c r="G68" s="69">
        <f>IFERROR(VLOOKUP($B68,'Dinh muc'!$A$2:$I$40,3,0),0)</f>
        <v>0</v>
      </c>
      <c r="H68" s="70">
        <f t="shared" si="16"/>
        <v>0</v>
      </c>
      <c r="I68" s="84">
        <f t="shared" si="18"/>
        <v>0</v>
      </c>
      <c r="J68" s="68"/>
      <c r="K68" s="71">
        <f>IFERROR(VLOOKUP($B68,'Dinh muc'!$A$2:$I$40,7,0),0)</f>
        <v>0</v>
      </c>
      <c r="L68" s="71">
        <f t="shared" si="17"/>
        <v>0</v>
      </c>
      <c r="M68" s="2"/>
      <c r="N68" s="68"/>
      <c r="O68" s="85"/>
      <c r="P68" s="74"/>
      <c r="Q68" s="85"/>
      <c r="R68" s="77"/>
      <c r="S68" s="68"/>
      <c r="T68" s="77"/>
      <c r="U68" s="95"/>
      <c r="V68" s="77"/>
      <c r="W68" s="77"/>
      <c r="X68" s="77"/>
      <c r="Y68" s="47"/>
    </row>
    <row r="69" spans="1:25" x14ac:dyDescent="0.35">
      <c r="A69" s="46"/>
      <c r="B69" s="2" t="s">
        <v>82</v>
      </c>
      <c r="C69" s="3"/>
      <c r="D69" s="32"/>
      <c r="E69" s="67"/>
      <c r="F69" s="68"/>
      <c r="G69" s="69">
        <f>IFERROR(VLOOKUP($B69,'Dinh muc'!$A$2:$I$40,3,0),0)</f>
        <v>-20</v>
      </c>
      <c r="H69" s="70">
        <f t="shared" si="16"/>
        <v>0</v>
      </c>
      <c r="I69" s="84">
        <f t="shared" si="18"/>
        <v>0</v>
      </c>
      <c r="J69" s="68"/>
      <c r="K69" s="71">
        <f>IFERROR(VLOOKUP($B69,'Dinh muc'!$A$2:$I$40,7,0),0)</f>
        <v>0</v>
      </c>
      <c r="L69" s="71">
        <f t="shared" si="17"/>
        <v>0</v>
      </c>
      <c r="M69" s="2"/>
      <c r="N69" s="68"/>
      <c r="O69" s="85"/>
      <c r="P69" s="74"/>
      <c r="Q69" s="85"/>
      <c r="R69" s="77"/>
      <c r="S69" s="68"/>
      <c r="T69" s="77"/>
      <c r="U69" s="95"/>
      <c r="V69" s="77"/>
      <c r="W69" s="68"/>
      <c r="X69" s="77"/>
      <c r="Y69" s="47"/>
    </row>
    <row r="70" spans="1:25" x14ac:dyDescent="0.35">
      <c r="A70" s="35"/>
      <c r="B70" s="8"/>
      <c r="C70" s="9"/>
      <c r="D70" s="33"/>
      <c r="E70" s="10"/>
      <c r="F70" s="30"/>
      <c r="G70" s="11"/>
      <c r="H70" s="27"/>
      <c r="I70" s="29">
        <f>SUM(I60:I69)</f>
        <v>9.8116591928251093</v>
      </c>
      <c r="J70" s="30"/>
      <c r="K70" s="30">
        <f>AVERAGE(K60:K69)</f>
        <v>0.65</v>
      </c>
      <c r="L70" s="30">
        <f>AVERAGE(L60:L69)</f>
        <v>0.62588792423046569</v>
      </c>
      <c r="M70" s="29">
        <f>(L70*8)/K70</f>
        <v>7.7032359905288086</v>
      </c>
      <c r="N70" s="30"/>
      <c r="O70" s="30">
        <f>AVERAGE(O60)</f>
        <v>3.5</v>
      </c>
      <c r="P70" s="30">
        <f>AVERAGE(P60)</f>
        <v>5.6502242152466362</v>
      </c>
      <c r="Q70" s="29">
        <f>(O70*8)/P70</f>
        <v>4.9555555555555557</v>
      </c>
      <c r="R70" s="98"/>
      <c r="S70" s="79"/>
      <c r="T70" s="79"/>
      <c r="U70" s="93"/>
      <c r="V70" s="98"/>
      <c r="W70" s="79"/>
      <c r="X70" s="79"/>
      <c r="Y70" s="61"/>
    </row>
    <row r="71" spans="1:25" x14ac:dyDescent="0.35">
      <c r="A71" s="46" t="s">
        <v>27</v>
      </c>
      <c r="B71" s="2" t="s">
        <v>18</v>
      </c>
      <c r="C71" s="3">
        <v>0.39930555555555558</v>
      </c>
      <c r="D71" s="32">
        <v>15</v>
      </c>
      <c r="E71" s="67">
        <v>180</v>
      </c>
      <c r="F71" s="68">
        <v>0.5</v>
      </c>
      <c r="G71" s="69">
        <f>IFERROR(VLOOKUP($B71,'Dinh muc'!$A$2:$I$40,3,0),0)</f>
        <v>7</v>
      </c>
      <c r="H71" s="70">
        <f t="shared" ref="H71:H80" si="19">(C71*24)/(SUM($C$71:$C$80)*24)</f>
        <v>0.1965811965811966</v>
      </c>
      <c r="I71" s="84">
        <f t="shared" ref="I71" si="20">G71*H71</f>
        <v>1.3760683760683763</v>
      </c>
      <c r="J71" s="68">
        <v>0.25</v>
      </c>
      <c r="K71" s="71">
        <f>IFERROR(VLOOKUP($B71,'Dinh muc'!$A$2:$I$40,7,0),0)</f>
        <v>4.125</v>
      </c>
      <c r="L71" s="71">
        <f t="shared" ref="L71:L80" si="21">IFERROR(D71/(C71*24),0)</f>
        <v>1.5652173913043477</v>
      </c>
      <c r="M71" s="2"/>
      <c r="N71" s="68">
        <v>0.25</v>
      </c>
      <c r="O71" s="85">
        <v>3.5</v>
      </c>
      <c r="P71" s="74">
        <f>(SUM(E71:E80)/(SUM(C71:C79)*24))</f>
        <v>3.8095238095238093</v>
      </c>
      <c r="Q71" s="85"/>
      <c r="R71" s="77">
        <f>F71*I81+J71*M81+N71*Q81</f>
        <v>6.4996751003636106</v>
      </c>
      <c r="S71" s="76">
        <v>0.7</v>
      </c>
      <c r="T71" s="69">
        <f>T60</f>
        <v>164835.16483516482</v>
      </c>
      <c r="U71" s="91">
        <f>IFERROR(VLOOKUP(A71,'chi phi XCG'!$A$2:$C$39,3,0),0)</f>
        <v>187362.63736263735</v>
      </c>
      <c r="V71" s="83">
        <f>(T71*8)/U71</f>
        <v>7.0381231671554252</v>
      </c>
      <c r="W71" s="77">
        <v>0.3</v>
      </c>
      <c r="X71" s="78">
        <f>R71*S71+V71*W71</f>
        <v>6.6612095204011545</v>
      </c>
      <c r="Y71" s="47" t="str">
        <f>IF(X71&gt;=10,"A++",IF(X71&gt;=9,"A+",IF(X71&gt;=8,"A",IF(X71&gt;=7,"B","C"))))</f>
        <v>C</v>
      </c>
    </row>
    <row r="72" spans="1:25" x14ac:dyDescent="0.35">
      <c r="A72" s="46"/>
      <c r="B72" s="2" t="s">
        <v>43</v>
      </c>
      <c r="C72" s="3">
        <v>0.56944444444444442</v>
      </c>
      <c r="D72" s="32">
        <v>49</v>
      </c>
      <c r="E72" s="67"/>
      <c r="F72" s="68"/>
      <c r="G72" s="69">
        <f>IFERROR(VLOOKUP($B72,'Dinh muc'!$A$2:$I$40,3,0),0)</f>
        <v>7</v>
      </c>
      <c r="H72" s="70">
        <f t="shared" si="19"/>
        <v>0.28034188034188035</v>
      </c>
      <c r="I72" s="84">
        <f t="shared" ref="I72:I80" si="22">G72*H72</f>
        <v>1.9623931623931625</v>
      </c>
      <c r="J72" s="68"/>
      <c r="K72" s="71">
        <f>IFERROR(VLOOKUP($B72,'Dinh muc'!$A$2:$I$40,7,0),0)</f>
        <v>4.125</v>
      </c>
      <c r="L72" s="71">
        <f t="shared" si="21"/>
        <v>3.5853658536585367</v>
      </c>
      <c r="M72" s="2"/>
      <c r="N72" s="68"/>
      <c r="O72" s="85"/>
      <c r="P72" s="74"/>
      <c r="Q72" s="85"/>
      <c r="R72" s="77"/>
      <c r="S72" s="68"/>
      <c r="T72" s="77"/>
      <c r="U72" s="95"/>
      <c r="V72" s="77"/>
      <c r="W72" s="77"/>
      <c r="X72" s="77"/>
      <c r="Y72" s="47"/>
    </row>
    <row r="73" spans="1:25" x14ac:dyDescent="0.35">
      <c r="A73" s="46"/>
      <c r="B73" s="2" t="s">
        <v>44</v>
      </c>
      <c r="C73" s="3">
        <v>0.46875000000000006</v>
      </c>
      <c r="D73" s="32">
        <v>60</v>
      </c>
      <c r="E73" s="67"/>
      <c r="F73" s="68"/>
      <c r="G73" s="69">
        <f>IFERROR(VLOOKUP($B73,'Dinh muc'!$A$2:$I$40,3,0),0)</f>
        <v>7</v>
      </c>
      <c r="H73" s="70">
        <f t="shared" si="19"/>
        <v>0.23076923076923081</v>
      </c>
      <c r="I73" s="84">
        <f t="shared" si="22"/>
        <v>1.6153846153846156</v>
      </c>
      <c r="J73" s="68"/>
      <c r="K73" s="71">
        <f>IFERROR(VLOOKUP($B73,'Dinh muc'!$A$2:$I$40,7,0),0)</f>
        <v>4.125</v>
      </c>
      <c r="L73" s="71">
        <f t="shared" si="21"/>
        <v>5.3333333333333321</v>
      </c>
      <c r="M73" s="2"/>
      <c r="N73" s="68"/>
      <c r="O73" s="85"/>
      <c r="P73" s="74"/>
      <c r="Q73" s="85"/>
      <c r="R73" s="77"/>
      <c r="S73" s="68"/>
      <c r="T73" s="77"/>
      <c r="U73" s="95"/>
      <c r="V73" s="77"/>
      <c r="W73" s="77"/>
      <c r="X73" s="77"/>
      <c r="Y73" s="47"/>
    </row>
    <row r="74" spans="1:25" x14ac:dyDescent="0.35">
      <c r="A74" s="46"/>
      <c r="B74" s="2" t="s">
        <v>94</v>
      </c>
      <c r="C74" s="3">
        <v>0.53125</v>
      </c>
      <c r="D74" s="32">
        <v>63</v>
      </c>
      <c r="E74" s="67"/>
      <c r="F74" s="68"/>
      <c r="G74" s="69">
        <f>IFERROR(VLOOKUP($B74,'Dinh muc'!$A$2:$I$40,3,0),0)</f>
        <v>0</v>
      </c>
      <c r="H74" s="70">
        <f t="shared" si="19"/>
        <v>0.26153846153846155</v>
      </c>
      <c r="I74" s="84">
        <f t="shared" si="22"/>
        <v>0</v>
      </c>
      <c r="J74" s="68"/>
      <c r="K74" s="71">
        <f>IFERROR(VLOOKUP($B74,'Dinh muc'!$A$2:$I$40,7,0),0)</f>
        <v>0</v>
      </c>
      <c r="L74" s="71">
        <f t="shared" si="21"/>
        <v>4.9411764705882355</v>
      </c>
      <c r="M74" s="2"/>
      <c r="N74" s="68"/>
      <c r="O74" s="85"/>
      <c r="P74" s="74"/>
      <c r="Q74" s="85"/>
      <c r="R74" s="77"/>
      <c r="S74" s="68"/>
      <c r="T74" s="77"/>
      <c r="U74" s="95"/>
      <c r="V74" s="77"/>
      <c r="W74" s="77"/>
      <c r="X74" s="77"/>
      <c r="Y74" s="47"/>
    </row>
    <row r="75" spans="1:25" x14ac:dyDescent="0.35">
      <c r="A75" s="46"/>
      <c r="B75" s="2"/>
      <c r="C75" s="3"/>
      <c r="D75" s="32"/>
      <c r="E75" s="67"/>
      <c r="F75" s="68"/>
      <c r="G75" s="69">
        <f>IFERROR(VLOOKUP($B75,'Dinh muc'!$A$2:$I$40,3,0),0)</f>
        <v>0</v>
      </c>
      <c r="H75" s="70">
        <f t="shared" si="19"/>
        <v>0</v>
      </c>
      <c r="I75" s="84">
        <f t="shared" si="22"/>
        <v>0</v>
      </c>
      <c r="J75" s="68"/>
      <c r="K75" s="71">
        <f>IFERROR(VLOOKUP($B75,'Dinh muc'!$A$2:$I$40,7,0),0)</f>
        <v>0</v>
      </c>
      <c r="L75" s="71">
        <f t="shared" si="21"/>
        <v>0</v>
      </c>
      <c r="M75" s="2"/>
      <c r="N75" s="68"/>
      <c r="O75" s="85"/>
      <c r="P75" s="74"/>
      <c r="Q75" s="85"/>
      <c r="R75" s="77"/>
      <c r="S75" s="68"/>
      <c r="T75" s="77"/>
      <c r="U75" s="95"/>
      <c r="V75" s="77"/>
      <c r="W75" s="77"/>
      <c r="X75" s="77"/>
      <c r="Y75" s="47"/>
    </row>
    <row r="76" spans="1:25" x14ac:dyDescent="0.35">
      <c r="A76" s="46"/>
      <c r="B76" s="2"/>
      <c r="C76" s="3"/>
      <c r="D76" s="32"/>
      <c r="E76" s="67"/>
      <c r="F76" s="68"/>
      <c r="G76" s="69">
        <f>IFERROR(VLOOKUP($B76,'Dinh muc'!$A$2:$I$40,3,0),0)</f>
        <v>0</v>
      </c>
      <c r="H76" s="70">
        <f t="shared" si="19"/>
        <v>0</v>
      </c>
      <c r="I76" s="84">
        <f t="shared" si="22"/>
        <v>0</v>
      </c>
      <c r="J76" s="68"/>
      <c r="K76" s="71">
        <f>IFERROR(VLOOKUP($B76,'Dinh muc'!$A$2:$I$40,7,0),0)</f>
        <v>0</v>
      </c>
      <c r="L76" s="71">
        <f t="shared" si="21"/>
        <v>0</v>
      </c>
      <c r="M76" s="2"/>
      <c r="N76" s="68"/>
      <c r="O76" s="85"/>
      <c r="P76" s="74"/>
      <c r="Q76" s="85"/>
      <c r="R76" s="77"/>
      <c r="S76" s="68"/>
      <c r="T76" s="77"/>
      <c r="U76" s="95"/>
      <c r="V76" s="77"/>
      <c r="W76" s="77"/>
      <c r="X76" s="77"/>
      <c r="Y76" s="47"/>
    </row>
    <row r="77" spans="1:25" x14ac:dyDescent="0.35">
      <c r="A77" s="46"/>
      <c r="B77" s="2"/>
      <c r="C77" s="3"/>
      <c r="D77" s="32"/>
      <c r="E77" s="67"/>
      <c r="F77" s="68"/>
      <c r="G77" s="69">
        <f>IFERROR(VLOOKUP($B77,'Dinh muc'!$A$2:$I$40,3,0),0)</f>
        <v>0</v>
      </c>
      <c r="H77" s="70">
        <f t="shared" si="19"/>
        <v>0</v>
      </c>
      <c r="I77" s="84">
        <f t="shared" si="22"/>
        <v>0</v>
      </c>
      <c r="J77" s="68"/>
      <c r="K77" s="71">
        <f>IFERROR(VLOOKUP($B77,'Dinh muc'!$A$2:$I$40,7,0),0)</f>
        <v>0</v>
      </c>
      <c r="L77" s="71">
        <f t="shared" si="21"/>
        <v>0</v>
      </c>
      <c r="M77" s="2"/>
      <c r="N77" s="68"/>
      <c r="O77" s="85"/>
      <c r="P77" s="74"/>
      <c r="Q77" s="85"/>
      <c r="R77" s="77"/>
      <c r="S77" s="68"/>
      <c r="T77" s="77"/>
      <c r="U77" s="95"/>
      <c r="V77" s="77"/>
      <c r="W77" s="77"/>
      <c r="X77" s="77"/>
      <c r="Y77" s="47"/>
    </row>
    <row r="78" spans="1:25" x14ac:dyDescent="0.35">
      <c r="A78" s="46"/>
      <c r="B78" s="2"/>
      <c r="C78" s="3"/>
      <c r="D78" s="32"/>
      <c r="E78" s="67"/>
      <c r="F78" s="68"/>
      <c r="G78" s="69">
        <f>IFERROR(VLOOKUP($B78,'Dinh muc'!$A$2:$I$40,3,0),0)</f>
        <v>0</v>
      </c>
      <c r="H78" s="70">
        <f t="shared" si="19"/>
        <v>0</v>
      </c>
      <c r="I78" s="84">
        <f t="shared" si="22"/>
        <v>0</v>
      </c>
      <c r="J78" s="68"/>
      <c r="K78" s="71">
        <f>IFERROR(VLOOKUP($B78,'Dinh muc'!$A$2:$I$40,7,0),0)</f>
        <v>0</v>
      </c>
      <c r="L78" s="71">
        <f t="shared" si="21"/>
        <v>0</v>
      </c>
      <c r="M78" s="2"/>
      <c r="N78" s="68"/>
      <c r="O78" s="85"/>
      <c r="P78" s="74"/>
      <c r="Q78" s="85"/>
      <c r="R78" s="77"/>
      <c r="S78" s="68"/>
      <c r="T78" s="77"/>
      <c r="U78" s="95"/>
      <c r="V78" s="77"/>
      <c r="W78" s="77"/>
      <c r="X78" s="77"/>
      <c r="Y78" s="47"/>
    </row>
    <row r="79" spans="1:25" x14ac:dyDescent="0.35">
      <c r="A79" s="46"/>
      <c r="B79" s="2"/>
      <c r="C79" s="3"/>
      <c r="D79" s="32"/>
      <c r="E79" s="67"/>
      <c r="F79" s="68"/>
      <c r="G79" s="69">
        <f>IFERROR(VLOOKUP($B79,'Dinh muc'!$A$2:$I$40,3,0),0)</f>
        <v>0</v>
      </c>
      <c r="H79" s="70">
        <f t="shared" si="19"/>
        <v>0</v>
      </c>
      <c r="I79" s="84">
        <f t="shared" si="22"/>
        <v>0</v>
      </c>
      <c r="J79" s="68"/>
      <c r="K79" s="71">
        <f>IFERROR(VLOOKUP($B79,'Dinh muc'!$A$2:$I$40,7,0),0)</f>
        <v>0</v>
      </c>
      <c r="L79" s="71">
        <f t="shared" si="21"/>
        <v>0</v>
      </c>
      <c r="M79" s="2"/>
      <c r="N79" s="68"/>
      <c r="O79" s="85"/>
      <c r="P79" s="74"/>
      <c r="Q79" s="85"/>
      <c r="R79" s="77"/>
      <c r="S79" s="68"/>
      <c r="T79" s="77"/>
      <c r="U79" s="95"/>
      <c r="V79" s="77"/>
      <c r="W79" s="77"/>
      <c r="X79" s="77"/>
      <c r="Y79" s="47"/>
    </row>
    <row r="80" spans="1:25" x14ac:dyDescent="0.35">
      <c r="A80" s="46"/>
      <c r="B80" s="2" t="s">
        <v>82</v>
      </c>
      <c r="C80" s="3">
        <v>6.25E-2</v>
      </c>
      <c r="D80" s="32"/>
      <c r="E80" s="67"/>
      <c r="F80" s="68"/>
      <c r="G80" s="69">
        <f>IFERROR(VLOOKUP($B80,'Dinh muc'!$A$2:$I$40,3,0),0)</f>
        <v>-20</v>
      </c>
      <c r="H80" s="70">
        <f t="shared" si="19"/>
        <v>3.0769230769230771E-2</v>
      </c>
      <c r="I80" s="84">
        <f t="shared" si="22"/>
        <v>-0.61538461538461542</v>
      </c>
      <c r="J80" s="68"/>
      <c r="K80" s="71">
        <f>IFERROR(VLOOKUP($B80,'Dinh muc'!$A$2:$I$40,7,0),0)</f>
        <v>0</v>
      </c>
      <c r="L80" s="71">
        <f t="shared" si="21"/>
        <v>0</v>
      </c>
      <c r="M80" s="2"/>
      <c r="N80" s="68"/>
      <c r="O80" s="85"/>
      <c r="P80" s="74"/>
      <c r="Q80" s="85"/>
      <c r="R80" s="77"/>
      <c r="S80" s="68"/>
      <c r="T80" s="77"/>
      <c r="U80" s="95"/>
      <c r="V80" s="77"/>
      <c r="W80" s="68"/>
      <c r="X80" s="77"/>
      <c r="Y80" s="47"/>
    </row>
    <row r="81" spans="1:25" x14ac:dyDescent="0.35">
      <c r="A81" s="35"/>
      <c r="B81" s="8"/>
      <c r="C81" s="9"/>
      <c r="D81" s="33"/>
      <c r="E81" s="10"/>
      <c r="F81" s="30"/>
      <c r="G81" s="11"/>
      <c r="H81" s="27"/>
      <c r="I81" s="29">
        <f>SUM(I71:I80)</f>
        <v>4.338461538461539</v>
      </c>
      <c r="J81" s="30"/>
      <c r="K81" s="30">
        <f>AVERAGE(K71:K80)</f>
        <v>1.2375</v>
      </c>
      <c r="L81" s="30">
        <f>AVERAGE(L71:L80)</f>
        <v>1.5425093048884453</v>
      </c>
      <c r="M81" s="29">
        <f>(L81*8)/K81</f>
        <v>9.971777324531363</v>
      </c>
      <c r="N81" s="30"/>
      <c r="O81" s="30">
        <f>AVERAGE(O71)</f>
        <v>3.5</v>
      </c>
      <c r="P81" s="30">
        <f>AVERAGE(P71)</f>
        <v>3.8095238095238093</v>
      </c>
      <c r="Q81" s="29">
        <f>(O81*8)/P81</f>
        <v>7.3500000000000005</v>
      </c>
      <c r="R81" s="98"/>
      <c r="S81" s="79"/>
      <c r="T81" s="79"/>
      <c r="U81" s="93"/>
      <c r="V81" s="98"/>
      <c r="W81" s="79"/>
      <c r="X81" s="79"/>
      <c r="Y81" s="61"/>
    </row>
    <row r="82" spans="1:25" x14ac:dyDescent="0.35">
      <c r="A82" s="46" t="s">
        <v>28</v>
      </c>
      <c r="B82" s="2" t="s">
        <v>51</v>
      </c>
      <c r="C82" s="3">
        <v>1.4375</v>
      </c>
      <c r="D82" s="32">
        <v>121</v>
      </c>
      <c r="E82" s="67">
        <v>300</v>
      </c>
      <c r="F82" s="68">
        <v>0.5</v>
      </c>
      <c r="G82" s="69">
        <f>IFERROR(VLOOKUP($B82,'Dinh muc'!$A$2:$I$40,3,0),0)</f>
        <v>10</v>
      </c>
      <c r="H82" s="70">
        <f t="shared" ref="H82:H91" si="23">(C82*24)/(SUM($C$82:$C$91)*24)</f>
        <v>0.81656804733727806</v>
      </c>
      <c r="I82" s="84">
        <f t="shared" ref="I82" si="24">G82*H82</f>
        <v>8.165680473372781</v>
      </c>
      <c r="J82" s="68">
        <v>0.25</v>
      </c>
      <c r="K82" s="71">
        <f>IFERROR(VLOOKUP($B82,'Dinh muc'!$A$2:$I$40,7,0),0)</f>
        <v>3.25</v>
      </c>
      <c r="L82" s="71">
        <f t="shared" ref="L82:L91" si="25">IFERROR(D82/(C82*24),0)</f>
        <v>3.5072463768115942</v>
      </c>
      <c r="M82" s="2"/>
      <c r="N82" s="68">
        <v>0.25</v>
      </c>
      <c r="O82" s="85">
        <v>3.5</v>
      </c>
      <c r="P82" s="74">
        <f>(SUM(E82:E91)/(SUM(C82:C90)*24))</f>
        <v>7.2289156626506026</v>
      </c>
      <c r="Q82" s="85"/>
      <c r="R82" s="77">
        <f>F82*I92+J82*M92+N82*Q92</f>
        <v>7.7093626496134853</v>
      </c>
      <c r="S82" s="76">
        <v>0.7</v>
      </c>
      <c r="T82" s="69">
        <f>T71</f>
        <v>164835.16483516482</v>
      </c>
      <c r="U82" s="91">
        <f>IFERROR(VLOOKUP(A82,'chi phi XCG'!$A$2:$C$39,3,0),0)</f>
        <v>193406.5934065934</v>
      </c>
      <c r="V82" s="83">
        <f>(T82*8)/U82</f>
        <v>6.8181818181818175</v>
      </c>
      <c r="W82" s="77">
        <v>0.3</v>
      </c>
      <c r="X82" s="78">
        <f>R82*S82+V82*W82</f>
        <v>7.4420084001839841</v>
      </c>
      <c r="Y82" s="47" t="str">
        <f>IF(X82&gt;=10,"A++",IF(X82&gt;=9,"A+",IF(X82&gt;=8,"A",IF(X82&gt;=7,"B","C"))))</f>
        <v>B</v>
      </c>
    </row>
    <row r="83" spans="1:25" x14ac:dyDescent="0.35">
      <c r="A83" s="46"/>
      <c r="B83" s="2" t="s">
        <v>58</v>
      </c>
      <c r="C83" s="3">
        <v>0.29166666666666669</v>
      </c>
      <c r="D83" s="32">
        <v>23</v>
      </c>
      <c r="E83" s="67"/>
      <c r="F83" s="68"/>
      <c r="G83" s="69">
        <f>IFERROR(VLOOKUP($B83,'Dinh muc'!$A$2:$I$40,3,0),0)</f>
        <v>9</v>
      </c>
      <c r="H83" s="70">
        <f t="shared" si="23"/>
        <v>0.16568047337278108</v>
      </c>
      <c r="I83" s="84">
        <f t="shared" ref="I83:I91" si="26">G83*H83</f>
        <v>1.4911242603550297</v>
      </c>
      <c r="J83" s="68"/>
      <c r="K83" s="71">
        <f>IFERROR(VLOOKUP($B83,'Dinh muc'!$A$2:$I$40,7,0),0)</f>
        <v>3.25</v>
      </c>
      <c r="L83" s="71">
        <f t="shared" si="25"/>
        <v>3.2857142857142856</v>
      </c>
      <c r="M83" s="2"/>
      <c r="N83" s="68"/>
      <c r="O83" s="85"/>
      <c r="P83" s="74"/>
      <c r="Q83" s="85"/>
      <c r="R83" s="77"/>
      <c r="S83" s="76"/>
      <c r="T83" s="77"/>
      <c r="U83" s="95"/>
      <c r="V83" s="77"/>
      <c r="W83" s="77"/>
      <c r="X83" s="77"/>
      <c r="Y83" s="47"/>
    </row>
    <row r="84" spans="1:25" x14ac:dyDescent="0.35">
      <c r="A84" s="46"/>
      <c r="B84" s="2"/>
      <c r="C84" s="3"/>
      <c r="D84" s="32"/>
      <c r="E84" s="67"/>
      <c r="F84" s="68"/>
      <c r="G84" s="69">
        <f>IFERROR(VLOOKUP($B84,'Dinh muc'!$A$2:$I$40,3,0),0)</f>
        <v>0</v>
      </c>
      <c r="H84" s="70">
        <f t="shared" si="23"/>
        <v>0</v>
      </c>
      <c r="I84" s="84">
        <f t="shared" si="26"/>
        <v>0</v>
      </c>
      <c r="J84" s="68"/>
      <c r="K84" s="71">
        <f>IFERROR(VLOOKUP($B84,'Dinh muc'!$A$2:$I$40,7,0),0)</f>
        <v>0</v>
      </c>
      <c r="L84" s="71">
        <f t="shared" si="25"/>
        <v>0</v>
      </c>
      <c r="M84" s="2"/>
      <c r="N84" s="68"/>
      <c r="O84" s="85"/>
      <c r="P84" s="74"/>
      <c r="Q84" s="85"/>
      <c r="R84" s="77"/>
      <c r="S84" s="68"/>
      <c r="T84" s="77"/>
      <c r="U84" s="95"/>
      <c r="V84" s="77"/>
      <c r="W84" s="77"/>
      <c r="X84" s="77"/>
      <c r="Y84" s="47"/>
    </row>
    <row r="85" spans="1:25" x14ac:dyDescent="0.35">
      <c r="A85" s="46"/>
      <c r="B85" s="2"/>
      <c r="C85" s="3"/>
      <c r="D85" s="32"/>
      <c r="E85" s="67"/>
      <c r="F85" s="68"/>
      <c r="G85" s="69">
        <f>IFERROR(VLOOKUP($B85,'Dinh muc'!$A$2:$I$40,3,0),0)</f>
        <v>0</v>
      </c>
      <c r="H85" s="70">
        <f t="shared" si="23"/>
        <v>0</v>
      </c>
      <c r="I85" s="84">
        <f t="shared" si="26"/>
        <v>0</v>
      </c>
      <c r="J85" s="68"/>
      <c r="K85" s="71">
        <f>IFERROR(VLOOKUP($B85,'Dinh muc'!$A$2:$I$40,7,0),0)</f>
        <v>0</v>
      </c>
      <c r="L85" s="71">
        <f t="shared" si="25"/>
        <v>0</v>
      </c>
      <c r="M85" s="2"/>
      <c r="N85" s="68"/>
      <c r="O85" s="85"/>
      <c r="P85" s="74"/>
      <c r="Q85" s="85"/>
      <c r="R85" s="77"/>
      <c r="S85" s="68"/>
      <c r="T85" s="77"/>
      <c r="U85" s="95"/>
      <c r="V85" s="77"/>
      <c r="W85" s="77"/>
      <c r="X85" s="77"/>
      <c r="Y85" s="47"/>
    </row>
    <row r="86" spans="1:25" x14ac:dyDescent="0.35">
      <c r="A86" s="46"/>
      <c r="B86" s="2"/>
      <c r="C86" s="3"/>
      <c r="D86" s="32"/>
      <c r="E86" s="67"/>
      <c r="F86" s="68"/>
      <c r="G86" s="69">
        <f>IFERROR(VLOOKUP($B86,'Dinh muc'!$A$2:$I$40,3,0),0)</f>
        <v>0</v>
      </c>
      <c r="H86" s="70">
        <f t="shared" si="23"/>
        <v>0</v>
      </c>
      <c r="I86" s="84">
        <f t="shared" si="26"/>
        <v>0</v>
      </c>
      <c r="J86" s="68"/>
      <c r="K86" s="71">
        <f>IFERROR(VLOOKUP($B86,'Dinh muc'!$A$2:$I$40,7,0),0)</f>
        <v>0</v>
      </c>
      <c r="L86" s="71">
        <f t="shared" si="25"/>
        <v>0</v>
      </c>
      <c r="M86" s="2"/>
      <c r="N86" s="68"/>
      <c r="O86" s="85"/>
      <c r="P86" s="74"/>
      <c r="Q86" s="85"/>
      <c r="R86" s="77"/>
      <c r="S86" s="68"/>
      <c r="T86" s="77"/>
      <c r="U86" s="95"/>
      <c r="V86" s="77"/>
      <c r="W86" s="77"/>
      <c r="X86" s="77"/>
      <c r="Y86" s="47"/>
    </row>
    <row r="87" spans="1:25" x14ac:dyDescent="0.35">
      <c r="A87" s="46"/>
      <c r="B87" s="2"/>
      <c r="C87" s="3"/>
      <c r="D87" s="32"/>
      <c r="E87" s="67"/>
      <c r="F87" s="68"/>
      <c r="G87" s="69">
        <f>IFERROR(VLOOKUP($B87,'Dinh muc'!$A$2:$I$40,3,0),0)</f>
        <v>0</v>
      </c>
      <c r="H87" s="70">
        <f t="shared" si="23"/>
        <v>0</v>
      </c>
      <c r="I87" s="84">
        <f t="shared" si="26"/>
        <v>0</v>
      </c>
      <c r="J87" s="68"/>
      <c r="K87" s="71">
        <f>IFERROR(VLOOKUP($B87,'Dinh muc'!$A$2:$I$40,7,0),0)</f>
        <v>0</v>
      </c>
      <c r="L87" s="71">
        <f t="shared" si="25"/>
        <v>0</v>
      </c>
      <c r="M87" s="2"/>
      <c r="N87" s="68"/>
      <c r="O87" s="85"/>
      <c r="P87" s="74"/>
      <c r="Q87" s="85"/>
      <c r="R87" s="77"/>
      <c r="S87" s="68"/>
      <c r="T87" s="77"/>
      <c r="U87" s="95"/>
      <c r="V87" s="77"/>
      <c r="W87" s="77"/>
      <c r="X87" s="77"/>
      <c r="Y87" s="47"/>
    </row>
    <row r="88" spans="1:25" x14ac:dyDescent="0.35">
      <c r="A88" s="46"/>
      <c r="B88" s="2"/>
      <c r="C88" s="3"/>
      <c r="D88" s="32"/>
      <c r="E88" s="67"/>
      <c r="F88" s="68"/>
      <c r="G88" s="69">
        <f>IFERROR(VLOOKUP($B88,'Dinh muc'!$A$2:$I$40,3,0),0)</f>
        <v>0</v>
      </c>
      <c r="H88" s="70">
        <f t="shared" si="23"/>
        <v>0</v>
      </c>
      <c r="I88" s="84">
        <f t="shared" si="26"/>
        <v>0</v>
      </c>
      <c r="J88" s="68"/>
      <c r="K88" s="71">
        <f>IFERROR(VLOOKUP($B88,'Dinh muc'!$A$2:$I$40,7,0),0)</f>
        <v>0</v>
      </c>
      <c r="L88" s="71">
        <f t="shared" si="25"/>
        <v>0</v>
      </c>
      <c r="M88" s="2"/>
      <c r="N88" s="68"/>
      <c r="O88" s="85"/>
      <c r="P88" s="74"/>
      <c r="Q88" s="85"/>
      <c r="R88" s="77"/>
      <c r="S88" s="68"/>
      <c r="T88" s="77"/>
      <c r="U88" s="95"/>
      <c r="V88" s="77"/>
      <c r="W88" s="77"/>
      <c r="X88" s="77"/>
      <c r="Y88" s="47"/>
    </row>
    <row r="89" spans="1:25" x14ac:dyDescent="0.35">
      <c r="A89" s="46"/>
      <c r="B89" s="2"/>
      <c r="C89" s="3"/>
      <c r="D89" s="32"/>
      <c r="E89" s="67"/>
      <c r="F89" s="68"/>
      <c r="G89" s="69">
        <f>IFERROR(VLOOKUP($B89,'Dinh muc'!$A$2:$I$40,3,0),0)</f>
        <v>0</v>
      </c>
      <c r="H89" s="70">
        <f t="shared" si="23"/>
        <v>0</v>
      </c>
      <c r="I89" s="84">
        <f t="shared" si="26"/>
        <v>0</v>
      </c>
      <c r="J89" s="68"/>
      <c r="K89" s="71">
        <f>IFERROR(VLOOKUP($B89,'Dinh muc'!$A$2:$I$40,7,0),0)</f>
        <v>0</v>
      </c>
      <c r="L89" s="71">
        <f t="shared" si="25"/>
        <v>0</v>
      </c>
      <c r="M89" s="2"/>
      <c r="N89" s="68"/>
      <c r="O89" s="85"/>
      <c r="P89" s="74"/>
      <c r="Q89" s="85"/>
      <c r="R89" s="77"/>
      <c r="S89" s="68"/>
      <c r="T89" s="77"/>
      <c r="U89" s="95"/>
      <c r="V89" s="77"/>
      <c r="W89" s="77"/>
      <c r="X89" s="77"/>
      <c r="Y89" s="47"/>
    </row>
    <row r="90" spans="1:25" x14ac:dyDescent="0.35">
      <c r="A90" s="46"/>
      <c r="B90" s="2"/>
      <c r="C90" s="3"/>
      <c r="D90" s="32"/>
      <c r="E90" s="67"/>
      <c r="F90" s="68"/>
      <c r="G90" s="69">
        <f>IFERROR(VLOOKUP($B90,'Dinh muc'!$A$2:$I$40,3,0),0)</f>
        <v>0</v>
      </c>
      <c r="H90" s="70">
        <f t="shared" si="23"/>
        <v>0</v>
      </c>
      <c r="I90" s="84">
        <f t="shared" si="26"/>
        <v>0</v>
      </c>
      <c r="J90" s="68"/>
      <c r="K90" s="71">
        <f>IFERROR(VLOOKUP($B90,'Dinh muc'!$A$2:$I$40,7,0),0)</f>
        <v>0</v>
      </c>
      <c r="L90" s="71">
        <f t="shared" si="25"/>
        <v>0</v>
      </c>
      <c r="M90" s="2"/>
      <c r="N90" s="68"/>
      <c r="O90" s="85"/>
      <c r="P90" s="74"/>
      <c r="Q90" s="85"/>
      <c r="R90" s="77"/>
      <c r="S90" s="68"/>
      <c r="T90" s="77"/>
      <c r="U90" s="95"/>
      <c r="V90" s="77"/>
      <c r="W90" s="77"/>
      <c r="X90" s="77"/>
      <c r="Y90" s="47"/>
    </row>
    <row r="91" spans="1:25" x14ac:dyDescent="0.35">
      <c r="A91" s="46"/>
      <c r="B91" s="2" t="s">
        <v>82</v>
      </c>
      <c r="C91" s="3">
        <v>3.125E-2</v>
      </c>
      <c r="D91" s="32"/>
      <c r="E91" s="67"/>
      <c r="F91" s="68"/>
      <c r="G91" s="69">
        <f>IFERROR(VLOOKUP($B91,'Dinh muc'!$A$2:$I$40,3,0),0)</f>
        <v>-20</v>
      </c>
      <c r="H91" s="70">
        <f t="shared" si="23"/>
        <v>1.7751479289940829E-2</v>
      </c>
      <c r="I91" s="84">
        <f t="shared" si="26"/>
        <v>-0.3550295857988166</v>
      </c>
      <c r="J91" s="68"/>
      <c r="K91" s="71">
        <f>IFERROR(VLOOKUP($B91,'Dinh muc'!$A$2:$I$40,7,0),0)</f>
        <v>0</v>
      </c>
      <c r="L91" s="71">
        <f t="shared" si="25"/>
        <v>0</v>
      </c>
      <c r="M91" s="2"/>
      <c r="N91" s="68"/>
      <c r="O91" s="85"/>
      <c r="P91" s="74"/>
      <c r="Q91" s="85"/>
      <c r="R91" s="77"/>
      <c r="S91" s="68"/>
      <c r="T91" s="77"/>
      <c r="U91" s="95"/>
      <c r="V91" s="77"/>
      <c r="W91" s="77"/>
      <c r="X91" s="77"/>
      <c r="Y91" s="47"/>
    </row>
    <row r="92" spans="1:25" x14ac:dyDescent="0.35">
      <c r="A92" s="35"/>
      <c r="B92" s="8"/>
      <c r="C92" s="9"/>
      <c r="D92" s="33"/>
      <c r="E92" s="10"/>
      <c r="F92" s="30"/>
      <c r="G92" s="11"/>
      <c r="H92" s="27"/>
      <c r="I92" s="29">
        <f>SUM(I82:I91)</f>
        <v>9.3017751479289927</v>
      </c>
      <c r="J92" s="30"/>
      <c r="K92" s="30">
        <f>AVERAGE(K82:K91)</f>
        <v>0.65</v>
      </c>
      <c r="L92" s="30">
        <f>AVERAGE(L82:L91)</f>
        <v>0.67929606625258798</v>
      </c>
      <c r="M92" s="29">
        <f>(L92*8)/K92</f>
        <v>8.3605669692626208</v>
      </c>
      <c r="N92" s="30"/>
      <c r="O92" s="30">
        <f>AVERAGE(O82)</f>
        <v>3.5</v>
      </c>
      <c r="P92" s="30">
        <f>AVERAGE(P82)</f>
        <v>7.2289156626506026</v>
      </c>
      <c r="Q92" s="29">
        <f>(O92*8)/P92</f>
        <v>3.8733333333333331</v>
      </c>
      <c r="R92" s="98"/>
      <c r="S92" s="79"/>
      <c r="T92" s="79"/>
      <c r="U92" s="93"/>
      <c r="V92" s="98"/>
      <c r="W92" s="79"/>
      <c r="X92" s="79"/>
      <c r="Y92" s="61"/>
    </row>
    <row r="93" spans="1:25" x14ac:dyDescent="0.35">
      <c r="A93" s="46" t="s">
        <v>48</v>
      </c>
      <c r="B93" s="2" t="s">
        <v>51</v>
      </c>
      <c r="C93" s="3">
        <v>1.175</v>
      </c>
      <c r="D93" s="32">
        <v>96</v>
      </c>
      <c r="E93" s="67">
        <v>230</v>
      </c>
      <c r="F93" s="68">
        <v>0.5</v>
      </c>
      <c r="G93" s="69">
        <f>IFERROR(VLOOKUP($B93,'Dinh muc'!$A$2:$I$40,3,0),0)</f>
        <v>10</v>
      </c>
      <c r="H93" s="70">
        <f t="shared" ref="H93:H102" si="27">(C93*24)/(SUM($C$93:$C$102)*24)</f>
        <v>0.80686695278969955</v>
      </c>
      <c r="I93" s="84">
        <f>G93*H93</f>
        <v>8.0686695278969953</v>
      </c>
      <c r="J93" s="68">
        <v>0.25</v>
      </c>
      <c r="K93" s="71">
        <f>IFERROR(VLOOKUP($B93,'Dinh muc'!$A$2:$I$40,7,0),0)</f>
        <v>3.25</v>
      </c>
      <c r="L93" s="71">
        <f t="shared" ref="L93:L102" si="28">IFERROR(D93/(C93*24),0)</f>
        <v>3.4042553191489358</v>
      </c>
      <c r="M93" s="2"/>
      <c r="N93" s="68">
        <v>0.25</v>
      </c>
      <c r="O93" s="85">
        <v>3.5</v>
      </c>
      <c r="P93" s="74">
        <f>(SUM(E93:E102)/(SUM(C93:C101)*24))</f>
        <v>6.5808297567954215</v>
      </c>
      <c r="Q93" s="85"/>
      <c r="R93" s="77">
        <f>F93*I103+J93*M103+N93*Q103</f>
        <v>7.9262732153724231</v>
      </c>
      <c r="S93" s="76">
        <v>0.7</v>
      </c>
      <c r="T93" s="69">
        <f>T82</f>
        <v>164835.16483516482</v>
      </c>
      <c r="U93" s="91">
        <f>IFERROR(VLOOKUP(A93,'chi phi XCG'!$A$2:$C$39,3,0),0)</f>
        <v>193406.5934065934</v>
      </c>
      <c r="V93" s="83">
        <f>(T93*8)/U93</f>
        <v>6.8181818181818175</v>
      </c>
      <c r="W93" s="77">
        <v>0.3</v>
      </c>
      <c r="X93" s="78">
        <f>R93*S93+V93*W93</f>
        <v>7.5938457962152413</v>
      </c>
      <c r="Y93" s="47" t="str">
        <f>IF(X93&gt;=10,"A++",IF(X93&gt;=9,"A+",IF(X93&gt;=8,"A",IF(X93&gt;=7,"B","C"))))</f>
        <v>B</v>
      </c>
    </row>
    <row r="94" spans="1:25" x14ac:dyDescent="0.35">
      <c r="A94" s="46"/>
      <c r="B94" s="2" t="s">
        <v>58</v>
      </c>
      <c r="C94" s="3">
        <v>0.28125</v>
      </c>
      <c r="D94" s="32">
        <v>20</v>
      </c>
      <c r="E94" s="67"/>
      <c r="F94" s="68"/>
      <c r="G94" s="69">
        <f>IFERROR(VLOOKUP($B94,'Dinh muc'!$A$2:$I$40,3,0),0)</f>
        <v>9</v>
      </c>
      <c r="H94" s="70">
        <f t="shared" si="27"/>
        <v>0.19313304721030042</v>
      </c>
      <c r="I94" s="84">
        <f t="shared" ref="I94:I102" si="29">G94*H94</f>
        <v>1.7381974248927037</v>
      </c>
      <c r="J94" s="68"/>
      <c r="K94" s="71">
        <f>IFERROR(VLOOKUP($B94,'Dinh muc'!$A$2:$I$40,7,0),0)</f>
        <v>3.25</v>
      </c>
      <c r="L94" s="71">
        <f t="shared" si="28"/>
        <v>2.9629629629629628</v>
      </c>
      <c r="M94" s="2"/>
      <c r="N94" s="68"/>
      <c r="O94" s="85"/>
      <c r="P94" s="74"/>
      <c r="Q94" s="85"/>
      <c r="R94" s="77"/>
      <c r="S94" s="68"/>
      <c r="T94" s="77"/>
      <c r="U94" s="95"/>
      <c r="V94" s="77"/>
      <c r="W94" s="77"/>
      <c r="X94" s="77"/>
      <c r="Y94" s="47"/>
    </row>
    <row r="95" spans="1:25" x14ac:dyDescent="0.35">
      <c r="A95" s="46"/>
      <c r="B95" s="2"/>
      <c r="C95" s="3"/>
      <c r="D95" s="32"/>
      <c r="E95" s="67"/>
      <c r="F95" s="68"/>
      <c r="G95" s="69">
        <f>IFERROR(VLOOKUP($B95,'Dinh muc'!$A$2:$I$40,3,0),0)</f>
        <v>0</v>
      </c>
      <c r="H95" s="70">
        <f t="shared" si="27"/>
        <v>0</v>
      </c>
      <c r="I95" s="84">
        <f t="shared" si="29"/>
        <v>0</v>
      </c>
      <c r="J95" s="68"/>
      <c r="K95" s="71">
        <f>IFERROR(VLOOKUP($B95,'Dinh muc'!$A$2:$I$40,7,0),0)</f>
        <v>0</v>
      </c>
      <c r="L95" s="71">
        <f t="shared" si="28"/>
        <v>0</v>
      </c>
      <c r="M95" s="2"/>
      <c r="N95" s="68"/>
      <c r="O95" s="85"/>
      <c r="P95" s="74"/>
      <c r="Q95" s="85"/>
      <c r="R95" s="77"/>
      <c r="S95" s="68"/>
      <c r="T95" s="77"/>
      <c r="U95" s="95"/>
      <c r="V95" s="77"/>
      <c r="W95" s="77"/>
      <c r="X95" s="77"/>
      <c r="Y95" s="47"/>
    </row>
    <row r="96" spans="1:25" x14ac:dyDescent="0.35">
      <c r="A96" s="46"/>
      <c r="B96" s="2"/>
      <c r="C96" s="3"/>
      <c r="D96" s="32"/>
      <c r="E96" s="67"/>
      <c r="F96" s="68"/>
      <c r="G96" s="69">
        <f>IFERROR(VLOOKUP($B96,'Dinh muc'!$A$2:$I$40,3,0),0)</f>
        <v>0</v>
      </c>
      <c r="H96" s="70">
        <f t="shared" si="27"/>
        <v>0</v>
      </c>
      <c r="I96" s="84">
        <f t="shared" si="29"/>
        <v>0</v>
      </c>
      <c r="J96" s="68"/>
      <c r="K96" s="71">
        <f>IFERROR(VLOOKUP($B96,'Dinh muc'!$A$2:$I$40,7,0),0)</f>
        <v>0</v>
      </c>
      <c r="L96" s="71">
        <f t="shared" si="28"/>
        <v>0</v>
      </c>
      <c r="M96" s="2"/>
      <c r="N96" s="68"/>
      <c r="O96" s="85"/>
      <c r="P96" s="74"/>
      <c r="Q96" s="85"/>
      <c r="R96" s="77"/>
      <c r="S96" s="68"/>
      <c r="T96" s="77"/>
      <c r="U96" s="95"/>
      <c r="V96" s="77"/>
      <c r="W96" s="77"/>
      <c r="X96" s="77"/>
      <c r="Y96" s="47"/>
    </row>
    <row r="97" spans="1:25" x14ac:dyDescent="0.35">
      <c r="A97" s="46"/>
      <c r="B97" s="2"/>
      <c r="C97" s="3"/>
      <c r="D97" s="32"/>
      <c r="E97" s="67"/>
      <c r="F97" s="68"/>
      <c r="G97" s="69">
        <f>IFERROR(VLOOKUP($B97,'Dinh muc'!$A$2:$I$40,3,0),0)</f>
        <v>0</v>
      </c>
      <c r="H97" s="70">
        <f t="shared" si="27"/>
        <v>0</v>
      </c>
      <c r="I97" s="84">
        <f>G97*H97</f>
        <v>0</v>
      </c>
      <c r="J97" s="68"/>
      <c r="K97" s="71">
        <f>IFERROR(VLOOKUP($B97,'Dinh muc'!$A$2:$I$40,7,0),0)</f>
        <v>0</v>
      </c>
      <c r="L97" s="71">
        <f t="shared" si="28"/>
        <v>0</v>
      </c>
      <c r="M97" s="2"/>
      <c r="N97" s="68"/>
      <c r="O97" s="85"/>
      <c r="P97" s="74"/>
      <c r="Q97" s="85"/>
      <c r="R97" s="77"/>
      <c r="S97" s="68"/>
      <c r="T97" s="77"/>
      <c r="U97" s="95"/>
      <c r="V97" s="77"/>
      <c r="W97" s="77"/>
      <c r="X97" s="77"/>
      <c r="Y97" s="47"/>
    </row>
    <row r="98" spans="1:25" x14ac:dyDescent="0.35">
      <c r="A98" s="46"/>
      <c r="B98" s="2"/>
      <c r="C98" s="3"/>
      <c r="D98" s="32"/>
      <c r="E98" s="67"/>
      <c r="F98" s="68"/>
      <c r="G98" s="69">
        <f>IFERROR(VLOOKUP($B98,'Dinh muc'!$A$2:$I$40,3,0),0)</f>
        <v>0</v>
      </c>
      <c r="H98" s="70">
        <f t="shared" si="27"/>
        <v>0</v>
      </c>
      <c r="I98" s="84">
        <f t="shared" si="29"/>
        <v>0</v>
      </c>
      <c r="J98" s="68"/>
      <c r="K98" s="71">
        <f>IFERROR(VLOOKUP($B98,'Dinh muc'!$A$2:$I$40,7,0),0)</f>
        <v>0</v>
      </c>
      <c r="L98" s="71">
        <f t="shared" si="28"/>
        <v>0</v>
      </c>
      <c r="M98" s="2"/>
      <c r="N98" s="68"/>
      <c r="O98" s="85"/>
      <c r="P98" s="74"/>
      <c r="Q98" s="85"/>
      <c r="R98" s="77"/>
      <c r="S98" s="68"/>
      <c r="T98" s="77"/>
      <c r="U98" s="95"/>
      <c r="V98" s="77"/>
      <c r="W98" s="77"/>
      <c r="X98" s="77"/>
      <c r="Y98" s="47"/>
    </row>
    <row r="99" spans="1:25" x14ac:dyDescent="0.35">
      <c r="A99" s="46"/>
      <c r="B99" s="2"/>
      <c r="C99" s="3"/>
      <c r="D99" s="32"/>
      <c r="E99" s="67"/>
      <c r="F99" s="68"/>
      <c r="G99" s="69">
        <f>IFERROR(VLOOKUP($B99,'Dinh muc'!$A$2:$I$40,3,0),0)</f>
        <v>0</v>
      </c>
      <c r="H99" s="70">
        <f t="shared" si="27"/>
        <v>0</v>
      </c>
      <c r="I99" s="84">
        <f t="shared" si="29"/>
        <v>0</v>
      </c>
      <c r="J99" s="68"/>
      <c r="K99" s="71">
        <f>IFERROR(VLOOKUP($B99,'Dinh muc'!$A$2:$I$40,7,0),0)</f>
        <v>0</v>
      </c>
      <c r="L99" s="71">
        <f t="shared" si="28"/>
        <v>0</v>
      </c>
      <c r="M99" s="2"/>
      <c r="N99" s="68"/>
      <c r="O99" s="85"/>
      <c r="P99" s="74"/>
      <c r="Q99" s="85"/>
      <c r="R99" s="77"/>
      <c r="S99" s="68"/>
      <c r="T99" s="77"/>
      <c r="U99" s="95"/>
      <c r="V99" s="77"/>
      <c r="W99" s="77"/>
      <c r="X99" s="77"/>
      <c r="Y99" s="47"/>
    </row>
    <row r="100" spans="1:25" x14ac:dyDescent="0.35">
      <c r="A100" s="46"/>
      <c r="B100" s="2"/>
      <c r="C100" s="3"/>
      <c r="D100" s="32"/>
      <c r="E100" s="67"/>
      <c r="F100" s="68"/>
      <c r="G100" s="69">
        <f>IFERROR(VLOOKUP($B100,'Dinh muc'!$A$2:$I$40,3,0),0)</f>
        <v>0</v>
      </c>
      <c r="H100" s="70">
        <f t="shared" si="27"/>
        <v>0</v>
      </c>
      <c r="I100" s="84">
        <f t="shared" si="29"/>
        <v>0</v>
      </c>
      <c r="J100" s="68"/>
      <c r="K100" s="71">
        <f>IFERROR(VLOOKUP($B100,'Dinh muc'!$A$2:$I$40,7,0),0)</f>
        <v>0</v>
      </c>
      <c r="L100" s="71">
        <f t="shared" si="28"/>
        <v>0</v>
      </c>
      <c r="M100" s="2"/>
      <c r="N100" s="68"/>
      <c r="O100" s="85"/>
      <c r="P100" s="74"/>
      <c r="Q100" s="85"/>
      <c r="R100" s="77"/>
      <c r="S100" s="68"/>
      <c r="T100" s="77"/>
      <c r="U100" s="95"/>
      <c r="V100" s="77"/>
      <c r="W100" s="77"/>
      <c r="X100" s="77"/>
      <c r="Y100" s="47"/>
    </row>
    <row r="101" spans="1:25" x14ac:dyDescent="0.35">
      <c r="A101" s="46"/>
      <c r="B101" s="2"/>
      <c r="C101" s="3"/>
      <c r="D101" s="32"/>
      <c r="E101" s="67"/>
      <c r="F101" s="68"/>
      <c r="G101" s="69">
        <f>IFERROR(VLOOKUP($B101,'Dinh muc'!$A$2:$I$40,3,0),0)</f>
        <v>0</v>
      </c>
      <c r="H101" s="70">
        <f t="shared" si="27"/>
        <v>0</v>
      </c>
      <c r="I101" s="84">
        <f t="shared" si="29"/>
        <v>0</v>
      </c>
      <c r="J101" s="68"/>
      <c r="K101" s="71">
        <f>IFERROR(VLOOKUP($B101,'Dinh muc'!$A$2:$I$40,7,0),0)</f>
        <v>0</v>
      </c>
      <c r="L101" s="71">
        <f t="shared" si="28"/>
        <v>0</v>
      </c>
      <c r="M101" s="2"/>
      <c r="N101" s="68"/>
      <c r="O101" s="85"/>
      <c r="P101" s="74"/>
      <c r="Q101" s="85"/>
      <c r="R101" s="77"/>
      <c r="S101" s="68"/>
      <c r="T101" s="77"/>
      <c r="U101" s="95"/>
      <c r="V101" s="77"/>
      <c r="W101" s="77"/>
      <c r="X101" s="77"/>
      <c r="Y101" s="47"/>
    </row>
    <row r="102" spans="1:25" x14ac:dyDescent="0.35">
      <c r="A102" s="46"/>
      <c r="B102" s="2" t="s">
        <v>82</v>
      </c>
      <c r="C102" s="3"/>
      <c r="D102" s="32"/>
      <c r="E102" s="67"/>
      <c r="F102" s="68"/>
      <c r="G102" s="69">
        <f>IFERROR(VLOOKUP($B102,'Dinh muc'!$A$2:$I$40,3,0),0)</f>
        <v>-20</v>
      </c>
      <c r="H102" s="70">
        <f t="shared" si="27"/>
        <v>0</v>
      </c>
      <c r="I102" s="84">
        <f t="shared" si="29"/>
        <v>0</v>
      </c>
      <c r="J102" s="68"/>
      <c r="K102" s="71">
        <f>IFERROR(VLOOKUP($B102,'Dinh muc'!$A$2:$I$40,7,0),0)</f>
        <v>0</v>
      </c>
      <c r="L102" s="71">
        <f t="shared" si="28"/>
        <v>0</v>
      </c>
      <c r="M102" s="2"/>
      <c r="N102" s="68"/>
      <c r="O102" s="85"/>
      <c r="P102" s="74"/>
      <c r="Q102" s="85"/>
      <c r="R102" s="77"/>
      <c r="S102" s="68"/>
      <c r="T102" s="77"/>
      <c r="U102" s="95"/>
      <c r="V102" s="77"/>
      <c r="W102" s="77"/>
      <c r="X102" s="77"/>
      <c r="Y102" s="47"/>
    </row>
    <row r="103" spans="1:25" x14ac:dyDescent="0.35">
      <c r="A103" s="35"/>
      <c r="B103" s="8"/>
      <c r="C103" s="9"/>
      <c r="D103" s="33"/>
      <c r="E103" s="10"/>
      <c r="F103" s="30"/>
      <c r="G103" s="11"/>
      <c r="H103" s="27"/>
      <c r="I103" s="28">
        <f>SUM(I93:I102)</f>
        <v>9.806866952789699</v>
      </c>
      <c r="J103" s="30"/>
      <c r="K103" s="30">
        <f>AVERAGE(K93:K102)</f>
        <v>0.65</v>
      </c>
      <c r="L103" s="30">
        <f>AVERAGE(L93:L102)</f>
        <v>0.63672182821118983</v>
      </c>
      <c r="M103" s="29">
        <f>(L103*8)/K103</f>
        <v>7.8365763472146437</v>
      </c>
      <c r="N103" s="30"/>
      <c r="O103" s="30">
        <f>AVERAGE(O93)</f>
        <v>3.5</v>
      </c>
      <c r="P103" s="30">
        <f>AVERAGE(P93)</f>
        <v>6.5808297567954215</v>
      </c>
      <c r="Q103" s="29">
        <f>(O103*8)/P103</f>
        <v>4.2547826086956526</v>
      </c>
      <c r="R103" s="98"/>
      <c r="S103" s="79"/>
      <c r="T103" s="79"/>
      <c r="U103" s="93"/>
      <c r="V103" s="98"/>
      <c r="W103" s="79"/>
      <c r="X103" s="79"/>
      <c r="Y103" s="61"/>
    </row>
    <row r="104" spans="1:25" x14ac:dyDescent="0.35">
      <c r="A104" s="46" t="s">
        <v>29</v>
      </c>
      <c r="B104" s="2" t="s">
        <v>18</v>
      </c>
      <c r="C104" s="3">
        <v>0.39930555555555558</v>
      </c>
      <c r="D104" s="32">
        <v>1</v>
      </c>
      <c r="E104" s="67">
        <v>185</v>
      </c>
      <c r="F104" s="68">
        <v>0.5</v>
      </c>
      <c r="G104" s="69">
        <f>IFERROR(VLOOKUP($B104,'Dinh muc'!$A$2:$I$40,3,0),0)</f>
        <v>7</v>
      </c>
      <c r="H104" s="70">
        <f t="shared" ref="H104:H113" si="30">(C104*24)/(SUM($C$104:$C$113)*24)</f>
        <v>0.19827586206896555</v>
      </c>
      <c r="I104" s="84">
        <f t="shared" ref="I104:I113" si="31">G104*H104</f>
        <v>1.3879310344827589</v>
      </c>
      <c r="J104" s="68">
        <v>0.25</v>
      </c>
      <c r="K104" s="71">
        <f>IFERROR(VLOOKUP($B104,'Dinh muc'!$A$2:$I$40,7,0),0)</f>
        <v>4.125</v>
      </c>
      <c r="L104" s="71">
        <f t="shared" ref="L104:L113" si="32">IFERROR(D104/(C104*24),0)</f>
        <v>0.10434782608695652</v>
      </c>
      <c r="M104" s="2"/>
      <c r="N104" s="68">
        <v>0.25</v>
      </c>
      <c r="O104" s="85">
        <v>3.5</v>
      </c>
      <c r="P104" s="74">
        <f>(SUM(E104:E113)/(SUM(C104:C112)*24))</f>
        <v>3.827586206896552</v>
      </c>
      <c r="Q104" s="85"/>
      <c r="R104" s="77">
        <f>F104*I114+J104*M114+N104*Q114</f>
        <v>6.5538310358222969</v>
      </c>
      <c r="S104" s="76">
        <v>0.7</v>
      </c>
      <c r="T104" s="69">
        <f>T93</f>
        <v>164835.16483516482</v>
      </c>
      <c r="U104" s="91">
        <f>IFERROR(VLOOKUP(A104,'chi phi XCG'!$A$2:$C$39,3,0),0)</f>
        <v>187362.63736263735</v>
      </c>
      <c r="V104" s="83">
        <f>(T104*8)/U104</f>
        <v>7.0381231671554252</v>
      </c>
      <c r="W104" s="77">
        <v>0.4</v>
      </c>
      <c r="X104" s="78">
        <f>R104*S104+V104*W104</f>
        <v>7.4029309919377777</v>
      </c>
      <c r="Y104" s="47" t="str">
        <f>IF(X104&gt;=10,"A++",IF(X104&gt;=9,"A+",IF(X104&gt;=8,"A",IF(X104&gt;=7,"B","C"))))</f>
        <v>B</v>
      </c>
    </row>
    <row r="105" spans="1:25" x14ac:dyDescent="0.35">
      <c r="A105" s="46"/>
      <c r="B105" s="2" t="s">
        <v>43</v>
      </c>
      <c r="C105" s="3">
        <v>0.60763888888888884</v>
      </c>
      <c r="D105" s="32">
        <v>51</v>
      </c>
      <c r="E105" s="67"/>
      <c r="F105" s="68"/>
      <c r="G105" s="69">
        <f>IFERROR(VLOOKUP($B105,'Dinh muc'!$A$2:$I$40,3,0),0)</f>
        <v>7</v>
      </c>
      <c r="H105" s="70">
        <f t="shared" si="30"/>
        <v>0.30172413793103448</v>
      </c>
      <c r="I105" s="84">
        <f t="shared" si="31"/>
        <v>2.1120689655172411</v>
      </c>
      <c r="J105" s="68"/>
      <c r="K105" s="71">
        <f>IFERROR(VLOOKUP($B105,'Dinh muc'!$A$2:$I$40,7,0),0)</f>
        <v>4.125</v>
      </c>
      <c r="L105" s="71">
        <f t="shared" si="32"/>
        <v>3.4971428571428573</v>
      </c>
      <c r="M105" s="2"/>
      <c r="N105" s="68"/>
      <c r="O105" s="85"/>
      <c r="P105" s="74"/>
      <c r="Q105" s="85"/>
      <c r="R105" s="77"/>
      <c r="S105" s="68"/>
      <c r="T105" s="77"/>
      <c r="U105" s="95"/>
      <c r="V105" s="77"/>
      <c r="W105" s="77"/>
      <c r="X105" s="77"/>
      <c r="Y105" s="47"/>
    </row>
    <row r="106" spans="1:25" x14ac:dyDescent="0.35">
      <c r="A106" s="46"/>
      <c r="B106" s="2" t="s">
        <v>44</v>
      </c>
      <c r="C106" s="3">
        <v>0.46180555555555564</v>
      </c>
      <c r="D106" s="32">
        <v>54</v>
      </c>
      <c r="E106" s="67"/>
      <c r="F106" s="68"/>
      <c r="G106" s="69">
        <f>IFERROR(VLOOKUP($B106,'Dinh muc'!$A$2:$I$40,3,0),0)</f>
        <v>7</v>
      </c>
      <c r="H106" s="70">
        <f t="shared" si="30"/>
        <v>0.22931034482758628</v>
      </c>
      <c r="I106" s="84">
        <f t="shared" si="31"/>
        <v>1.6051724137931038</v>
      </c>
      <c r="J106" s="68"/>
      <c r="K106" s="71">
        <f>IFERROR(VLOOKUP($B106,'Dinh muc'!$A$2:$I$40,7,0),0)</f>
        <v>4.125</v>
      </c>
      <c r="L106" s="71">
        <f t="shared" si="32"/>
        <v>4.8721804511278188</v>
      </c>
      <c r="M106" s="2"/>
      <c r="N106" s="68"/>
      <c r="O106" s="85"/>
      <c r="P106" s="74"/>
      <c r="Q106" s="85"/>
      <c r="R106" s="77"/>
      <c r="S106" s="68"/>
      <c r="T106" s="77"/>
      <c r="U106" s="95"/>
      <c r="V106" s="77"/>
      <c r="W106" s="77"/>
      <c r="X106" s="77"/>
      <c r="Y106" s="47"/>
    </row>
    <row r="107" spans="1:25" x14ac:dyDescent="0.35">
      <c r="A107" s="46"/>
      <c r="B107" s="2" t="s">
        <v>94</v>
      </c>
      <c r="C107" s="3">
        <v>0.54513888888888895</v>
      </c>
      <c r="D107" s="32">
        <v>65</v>
      </c>
      <c r="E107" s="67"/>
      <c r="F107" s="68"/>
      <c r="G107" s="69">
        <f>IFERROR(VLOOKUP($B107,'Dinh muc'!$A$2:$I$40,3,0),0)</f>
        <v>0</v>
      </c>
      <c r="H107" s="70">
        <f t="shared" si="30"/>
        <v>0.27068965517241389</v>
      </c>
      <c r="I107" s="84">
        <f t="shared" si="31"/>
        <v>0</v>
      </c>
      <c r="J107" s="68"/>
      <c r="K107" s="71">
        <f>IFERROR(VLOOKUP($B107,'Dinh muc'!$A$2:$I$40,7,0),0)</f>
        <v>0</v>
      </c>
      <c r="L107" s="71">
        <f t="shared" si="32"/>
        <v>4.9681528662420371</v>
      </c>
      <c r="M107" s="2"/>
      <c r="N107" s="68"/>
      <c r="O107" s="85"/>
      <c r="P107" s="74"/>
      <c r="Q107" s="85"/>
      <c r="R107" s="77"/>
      <c r="S107" s="68"/>
      <c r="T107" s="77"/>
      <c r="U107" s="95"/>
      <c r="V107" s="77"/>
      <c r="W107" s="77"/>
      <c r="X107" s="77"/>
      <c r="Y107" s="47"/>
    </row>
    <row r="108" spans="1:25" x14ac:dyDescent="0.35">
      <c r="A108" s="46"/>
      <c r="B108" s="2"/>
      <c r="C108" s="3"/>
      <c r="D108" s="32"/>
      <c r="E108" s="67"/>
      <c r="F108" s="68"/>
      <c r="G108" s="69">
        <f>IFERROR(VLOOKUP($B108,'Dinh muc'!$A$2:$I$40,3,0),0)</f>
        <v>0</v>
      </c>
      <c r="H108" s="70">
        <f t="shared" si="30"/>
        <v>0</v>
      </c>
      <c r="I108" s="84">
        <f t="shared" si="31"/>
        <v>0</v>
      </c>
      <c r="J108" s="68"/>
      <c r="K108" s="71">
        <f>IFERROR(VLOOKUP($B108,'Dinh muc'!$A$2:$I$40,7,0),0)</f>
        <v>0</v>
      </c>
      <c r="L108" s="71">
        <f t="shared" si="32"/>
        <v>0</v>
      </c>
      <c r="M108" s="2"/>
      <c r="N108" s="68"/>
      <c r="O108" s="85"/>
      <c r="P108" s="74"/>
      <c r="Q108" s="85"/>
      <c r="R108" s="77"/>
      <c r="S108" s="68"/>
      <c r="T108" s="77"/>
      <c r="U108" s="95"/>
      <c r="V108" s="77"/>
      <c r="W108" s="77"/>
      <c r="X108" s="77"/>
      <c r="Y108" s="47"/>
    </row>
    <row r="109" spans="1:25" x14ac:dyDescent="0.35">
      <c r="A109" s="46"/>
      <c r="B109" s="2"/>
      <c r="C109" s="3"/>
      <c r="D109" s="32"/>
      <c r="E109" s="67"/>
      <c r="F109" s="68"/>
      <c r="G109" s="69">
        <f>IFERROR(VLOOKUP($B109,'Dinh muc'!$A$2:$I$40,3,0),0)</f>
        <v>0</v>
      </c>
      <c r="H109" s="70">
        <f t="shared" si="30"/>
        <v>0</v>
      </c>
      <c r="I109" s="84">
        <f t="shared" si="31"/>
        <v>0</v>
      </c>
      <c r="J109" s="68"/>
      <c r="K109" s="71">
        <f>IFERROR(VLOOKUP($B109,'Dinh muc'!$A$2:$I$40,7,0),0)</f>
        <v>0</v>
      </c>
      <c r="L109" s="71">
        <f t="shared" si="32"/>
        <v>0</v>
      </c>
      <c r="M109" s="2"/>
      <c r="N109" s="68"/>
      <c r="O109" s="85"/>
      <c r="P109" s="74"/>
      <c r="Q109" s="85"/>
      <c r="R109" s="77"/>
      <c r="S109" s="68"/>
      <c r="T109" s="77"/>
      <c r="U109" s="95"/>
      <c r="V109" s="77"/>
      <c r="W109" s="77"/>
      <c r="X109" s="77"/>
      <c r="Y109" s="47"/>
    </row>
    <row r="110" spans="1:25" x14ac:dyDescent="0.35">
      <c r="A110" s="46"/>
      <c r="B110" s="2"/>
      <c r="C110" s="3"/>
      <c r="D110" s="32"/>
      <c r="E110" s="67"/>
      <c r="F110" s="68"/>
      <c r="G110" s="69">
        <f>IFERROR(VLOOKUP($B110,'Dinh muc'!$A$2:$I$40,3,0),0)</f>
        <v>0</v>
      </c>
      <c r="H110" s="70">
        <f t="shared" si="30"/>
        <v>0</v>
      </c>
      <c r="I110" s="84">
        <f t="shared" si="31"/>
        <v>0</v>
      </c>
      <c r="J110" s="68"/>
      <c r="K110" s="71">
        <f>IFERROR(VLOOKUP($B110,'Dinh muc'!$A$2:$I$40,7,0),0)</f>
        <v>0</v>
      </c>
      <c r="L110" s="71">
        <f t="shared" si="32"/>
        <v>0</v>
      </c>
      <c r="M110" s="2"/>
      <c r="N110" s="68"/>
      <c r="O110" s="85"/>
      <c r="P110" s="74"/>
      <c r="Q110" s="85"/>
      <c r="R110" s="77"/>
      <c r="S110" s="68"/>
      <c r="T110" s="77"/>
      <c r="U110" s="95"/>
      <c r="V110" s="77"/>
      <c r="W110" s="77"/>
      <c r="X110" s="77"/>
      <c r="Y110" s="47"/>
    </row>
    <row r="111" spans="1:25" x14ac:dyDescent="0.35">
      <c r="A111" s="46"/>
      <c r="B111" s="2"/>
      <c r="C111" s="3"/>
      <c r="D111" s="32"/>
      <c r="E111" s="67"/>
      <c r="F111" s="68"/>
      <c r="G111" s="69">
        <f>IFERROR(VLOOKUP($B111,'Dinh muc'!$A$2:$I$40,3,0),0)</f>
        <v>0</v>
      </c>
      <c r="H111" s="70">
        <f t="shared" si="30"/>
        <v>0</v>
      </c>
      <c r="I111" s="84">
        <f t="shared" si="31"/>
        <v>0</v>
      </c>
      <c r="J111" s="68"/>
      <c r="K111" s="71">
        <f>IFERROR(VLOOKUP($B111,'Dinh muc'!$A$2:$I$40,7,0),0)</f>
        <v>0</v>
      </c>
      <c r="L111" s="71">
        <f t="shared" si="32"/>
        <v>0</v>
      </c>
      <c r="M111" s="2"/>
      <c r="N111" s="68"/>
      <c r="O111" s="85"/>
      <c r="P111" s="74"/>
      <c r="Q111" s="85"/>
      <c r="R111" s="77"/>
      <c r="S111" s="68"/>
      <c r="T111" s="77"/>
      <c r="U111" s="95"/>
      <c r="V111" s="77"/>
      <c r="W111" s="77"/>
      <c r="X111" s="77"/>
      <c r="Y111" s="47"/>
    </row>
    <row r="112" spans="1:25" x14ac:dyDescent="0.35">
      <c r="A112" s="46"/>
      <c r="B112" s="2"/>
      <c r="C112" s="3"/>
      <c r="D112" s="32"/>
      <c r="E112" s="67"/>
      <c r="F112" s="68"/>
      <c r="G112" s="69">
        <f>IFERROR(VLOOKUP($B112,'Dinh muc'!$A$2:$I$40,3,0),0)</f>
        <v>0</v>
      </c>
      <c r="H112" s="70">
        <f t="shared" si="30"/>
        <v>0</v>
      </c>
      <c r="I112" s="84">
        <f t="shared" si="31"/>
        <v>0</v>
      </c>
      <c r="J112" s="68"/>
      <c r="K112" s="71">
        <f>IFERROR(VLOOKUP($B112,'Dinh muc'!$A$2:$I$40,7,0),0)</f>
        <v>0</v>
      </c>
      <c r="L112" s="71">
        <f t="shared" si="32"/>
        <v>0</v>
      </c>
      <c r="M112" s="2"/>
      <c r="N112" s="68"/>
      <c r="O112" s="85"/>
      <c r="P112" s="74"/>
      <c r="Q112" s="85"/>
      <c r="R112" s="77"/>
      <c r="S112" s="68"/>
      <c r="T112" s="77"/>
      <c r="U112" s="95"/>
      <c r="V112" s="77"/>
      <c r="W112" s="77"/>
      <c r="X112" s="77"/>
      <c r="Y112" s="47"/>
    </row>
    <row r="113" spans="1:25" x14ac:dyDescent="0.35">
      <c r="A113" s="46"/>
      <c r="B113" s="2" t="s">
        <v>82</v>
      </c>
      <c r="C113" s="3"/>
      <c r="D113" s="32"/>
      <c r="E113" s="67"/>
      <c r="F113" s="68"/>
      <c r="G113" s="69">
        <f>IFERROR(VLOOKUP($B113,'Dinh muc'!$A$2:$I$40,3,0),0)</f>
        <v>-20</v>
      </c>
      <c r="H113" s="70">
        <f t="shared" si="30"/>
        <v>0</v>
      </c>
      <c r="I113" s="84">
        <f t="shared" si="31"/>
        <v>0</v>
      </c>
      <c r="J113" s="68"/>
      <c r="K113" s="71">
        <f>IFERROR(VLOOKUP($B113,'Dinh muc'!$A$2:$I$40,7,0),0)</f>
        <v>0</v>
      </c>
      <c r="L113" s="71">
        <f t="shared" si="32"/>
        <v>0</v>
      </c>
      <c r="M113" s="2"/>
      <c r="N113" s="68"/>
      <c r="O113" s="85"/>
      <c r="P113" s="74"/>
      <c r="Q113" s="85"/>
      <c r="R113" s="77"/>
      <c r="S113" s="68"/>
      <c r="T113" s="77"/>
      <c r="U113" s="95"/>
      <c r="V113" s="77"/>
      <c r="W113" s="77"/>
      <c r="X113" s="77"/>
      <c r="Y113" s="47"/>
    </row>
    <row r="114" spans="1:25" x14ac:dyDescent="0.35">
      <c r="A114" s="35"/>
      <c r="B114" s="8"/>
      <c r="C114" s="9"/>
      <c r="D114" s="33"/>
      <c r="E114" s="10"/>
      <c r="F114" s="30"/>
      <c r="G114" s="11"/>
      <c r="H114" s="27"/>
      <c r="I114" s="29">
        <f>SUM(I104:I113)</f>
        <v>5.1051724137931043</v>
      </c>
      <c r="J114" s="30"/>
      <c r="K114" s="30">
        <f>AVERAGE(K104:K113)</f>
        <v>1.2375</v>
      </c>
      <c r="L114" s="30">
        <f>AVERAGE(L104:L113)</f>
        <v>1.3441824000599669</v>
      </c>
      <c r="M114" s="29">
        <f>(L114*8)/K114</f>
        <v>8.6896640003876655</v>
      </c>
      <c r="N114" s="30"/>
      <c r="O114" s="30">
        <f>AVERAGE(O104)</f>
        <v>3.5</v>
      </c>
      <c r="P114" s="30">
        <f>AVERAGE(P104)</f>
        <v>3.827586206896552</v>
      </c>
      <c r="Q114" s="29">
        <f>(O114*8)/P114</f>
        <v>7.3153153153153143</v>
      </c>
      <c r="R114" s="98"/>
      <c r="S114" s="79"/>
      <c r="T114" s="79"/>
      <c r="U114" s="93"/>
      <c r="V114" s="98"/>
      <c r="W114" s="79"/>
      <c r="X114" s="79"/>
      <c r="Y114" s="61"/>
    </row>
    <row r="115" spans="1:25" x14ac:dyDescent="0.35">
      <c r="A115" s="46" t="s">
        <v>30</v>
      </c>
      <c r="B115" s="2" t="s">
        <v>51</v>
      </c>
      <c r="C115" s="3">
        <v>1.4722222222222223</v>
      </c>
      <c r="D115" s="32">
        <v>120</v>
      </c>
      <c r="E115" s="67">
        <v>300</v>
      </c>
      <c r="F115" s="68">
        <v>0.5</v>
      </c>
      <c r="G115" s="69">
        <f>IFERROR(VLOOKUP($B115,'Dinh muc'!$A$2:$I$40,3,0),0)</f>
        <v>10</v>
      </c>
      <c r="H115" s="70">
        <f t="shared" ref="H115:H124" si="33">(C115*24)/(SUM($C$115:$C$124)*24)</f>
        <v>0.83464566929133854</v>
      </c>
      <c r="I115" s="84">
        <f>G115*H115</f>
        <v>8.3464566929133852</v>
      </c>
      <c r="J115" s="68">
        <v>0.25</v>
      </c>
      <c r="K115" s="71">
        <f>IFERROR(VLOOKUP($B115,'Dinh muc'!$A$2:$I$40,7,0),0)</f>
        <v>3.25</v>
      </c>
      <c r="L115" s="71">
        <f t="shared" ref="L115:L124" si="34">IFERROR(D115/(C115*24),0)</f>
        <v>3.3962264150943393</v>
      </c>
      <c r="M115" s="2"/>
      <c r="N115" s="68">
        <v>0.25</v>
      </c>
      <c r="O115" s="85">
        <v>3.5</v>
      </c>
      <c r="P115" s="74">
        <f>(SUM(E115:E124)/(SUM(C115:C123)*24))</f>
        <v>7.0866141732283463</v>
      </c>
      <c r="Q115" s="85"/>
      <c r="R115" s="77">
        <f>F115*I125+J115*M125+N115*Q125</f>
        <v>7.917126322562364</v>
      </c>
      <c r="S115" s="76">
        <v>0.7</v>
      </c>
      <c r="T115" s="69">
        <f>T104</f>
        <v>164835.16483516482</v>
      </c>
      <c r="U115" s="91">
        <f>IFERROR(VLOOKUP(A115,'chi phi XCG'!$A$2:$C$39,3,0),0)</f>
        <v>193406.5934065934</v>
      </c>
      <c r="V115" s="83">
        <f>(T115*8)/U115</f>
        <v>6.8181818181818175</v>
      </c>
      <c r="W115" s="77">
        <v>0.3</v>
      </c>
      <c r="X115" s="78">
        <f>R115*S115+V115*W115</f>
        <v>7.5874429712481994</v>
      </c>
      <c r="Y115" s="47" t="str">
        <f>IF(X115&gt;=10,"A++",IF(X115&gt;=9,"A+",IF(X115&gt;=8,"A",IF(X115&gt;=7,"B","C"))))</f>
        <v>B</v>
      </c>
    </row>
    <row r="116" spans="1:25" x14ac:dyDescent="0.35">
      <c r="A116" s="46"/>
      <c r="B116" s="2" t="s">
        <v>58</v>
      </c>
      <c r="C116" s="3">
        <v>0.29166666666666669</v>
      </c>
      <c r="D116" s="32">
        <v>22</v>
      </c>
      <c r="E116" s="67"/>
      <c r="F116" s="68"/>
      <c r="G116" s="69">
        <f>IFERROR(VLOOKUP($B116,'Dinh muc'!$A$2:$I$40,3,0),0)</f>
        <v>9</v>
      </c>
      <c r="H116" s="70">
        <f t="shared" si="33"/>
        <v>0.1653543307086614</v>
      </c>
      <c r="I116" s="84">
        <f t="shared" ref="I116:I124" si="35">G116*H116</f>
        <v>1.4881889763779526</v>
      </c>
      <c r="J116" s="68"/>
      <c r="K116" s="71">
        <f>IFERROR(VLOOKUP($B116,'Dinh muc'!$A$2:$I$40,7,0),0)</f>
        <v>3.25</v>
      </c>
      <c r="L116" s="71">
        <f t="shared" si="34"/>
        <v>3.1428571428571428</v>
      </c>
      <c r="M116" s="2"/>
      <c r="N116" s="68"/>
      <c r="O116" s="85"/>
      <c r="P116" s="74"/>
      <c r="Q116" s="85"/>
      <c r="R116" s="77"/>
      <c r="S116" s="68"/>
      <c r="T116" s="77"/>
      <c r="U116" s="95"/>
      <c r="V116" s="77"/>
      <c r="W116" s="77"/>
      <c r="X116" s="77"/>
      <c r="Y116" s="47"/>
    </row>
    <row r="117" spans="1:25" x14ac:dyDescent="0.35">
      <c r="A117" s="46"/>
      <c r="B117" s="2"/>
      <c r="C117" s="3"/>
      <c r="D117" s="32"/>
      <c r="E117" s="67"/>
      <c r="F117" s="68"/>
      <c r="G117" s="69">
        <f>IFERROR(VLOOKUP($B117,'Dinh muc'!$A$2:$I$40,3,0),0)</f>
        <v>0</v>
      </c>
      <c r="H117" s="70">
        <f t="shared" si="33"/>
        <v>0</v>
      </c>
      <c r="I117" s="84">
        <f t="shared" si="35"/>
        <v>0</v>
      </c>
      <c r="J117" s="68"/>
      <c r="K117" s="71">
        <f>IFERROR(VLOOKUP($B117,'Dinh muc'!$A$2:$I$40,7,0),0)</f>
        <v>0</v>
      </c>
      <c r="L117" s="71">
        <f t="shared" si="34"/>
        <v>0</v>
      </c>
      <c r="M117" s="2"/>
      <c r="N117" s="68"/>
      <c r="O117" s="85"/>
      <c r="P117" s="74"/>
      <c r="Q117" s="85"/>
      <c r="R117" s="77"/>
      <c r="S117" s="68"/>
      <c r="T117" s="77"/>
      <c r="U117" s="95"/>
      <c r="V117" s="77"/>
      <c r="W117" s="77"/>
      <c r="X117" s="77"/>
      <c r="Y117" s="47"/>
    </row>
    <row r="118" spans="1:25" x14ac:dyDescent="0.35">
      <c r="A118" s="46"/>
      <c r="B118" s="2"/>
      <c r="C118" s="3"/>
      <c r="D118" s="32"/>
      <c r="E118" s="67"/>
      <c r="F118" s="68"/>
      <c r="G118" s="69">
        <f>IFERROR(VLOOKUP($B118,'Dinh muc'!$A$2:$I$40,3,0),0)</f>
        <v>0</v>
      </c>
      <c r="H118" s="70">
        <f t="shared" si="33"/>
        <v>0</v>
      </c>
      <c r="I118" s="84">
        <f t="shared" si="35"/>
        <v>0</v>
      </c>
      <c r="J118" s="68"/>
      <c r="K118" s="71">
        <f>IFERROR(VLOOKUP($B118,'Dinh muc'!$A$2:$I$40,7,0),0)</f>
        <v>0</v>
      </c>
      <c r="L118" s="71">
        <f t="shared" si="34"/>
        <v>0</v>
      </c>
      <c r="M118" s="2"/>
      <c r="N118" s="68"/>
      <c r="O118" s="85"/>
      <c r="P118" s="74"/>
      <c r="Q118" s="85"/>
      <c r="R118" s="77"/>
      <c r="S118" s="68"/>
      <c r="T118" s="77"/>
      <c r="U118" s="95"/>
      <c r="V118" s="77"/>
      <c r="W118" s="77"/>
      <c r="X118" s="77"/>
      <c r="Y118" s="47"/>
    </row>
    <row r="119" spans="1:25" x14ac:dyDescent="0.35">
      <c r="A119" s="46"/>
      <c r="B119" s="2"/>
      <c r="C119" s="3"/>
      <c r="D119" s="32"/>
      <c r="E119" s="67"/>
      <c r="F119" s="68"/>
      <c r="G119" s="69">
        <f>IFERROR(VLOOKUP($B119,'Dinh muc'!$A$2:$I$40,3,0),0)</f>
        <v>0</v>
      </c>
      <c r="H119" s="70">
        <f t="shared" si="33"/>
        <v>0</v>
      </c>
      <c r="I119" s="84">
        <f t="shared" si="35"/>
        <v>0</v>
      </c>
      <c r="J119" s="68"/>
      <c r="K119" s="71">
        <f>IFERROR(VLOOKUP($B119,'Dinh muc'!$A$2:$I$40,7,0),0)</f>
        <v>0</v>
      </c>
      <c r="L119" s="71">
        <f t="shared" si="34"/>
        <v>0</v>
      </c>
      <c r="M119" s="2"/>
      <c r="N119" s="68"/>
      <c r="O119" s="85"/>
      <c r="P119" s="74"/>
      <c r="Q119" s="85"/>
      <c r="R119" s="77"/>
      <c r="S119" s="68"/>
      <c r="T119" s="77"/>
      <c r="U119" s="95"/>
      <c r="V119" s="77"/>
      <c r="W119" s="77"/>
      <c r="X119" s="77"/>
      <c r="Y119" s="47"/>
    </row>
    <row r="120" spans="1:25" x14ac:dyDescent="0.35">
      <c r="A120" s="46"/>
      <c r="B120" s="2"/>
      <c r="C120" s="3"/>
      <c r="D120" s="32"/>
      <c r="E120" s="67"/>
      <c r="F120" s="68"/>
      <c r="G120" s="69">
        <f>IFERROR(VLOOKUP($B120,'Dinh muc'!$A$2:$I$40,3,0),0)</f>
        <v>0</v>
      </c>
      <c r="H120" s="70">
        <f t="shared" si="33"/>
        <v>0</v>
      </c>
      <c r="I120" s="84">
        <f t="shared" si="35"/>
        <v>0</v>
      </c>
      <c r="J120" s="68"/>
      <c r="K120" s="71">
        <f>IFERROR(VLOOKUP($B120,'Dinh muc'!$A$2:$I$40,7,0),0)</f>
        <v>0</v>
      </c>
      <c r="L120" s="71">
        <f t="shared" si="34"/>
        <v>0</v>
      </c>
      <c r="M120" s="2"/>
      <c r="N120" s="68"/>
      <c r="O120" s="85"/>
      <c r="P120" s="74"/>
      <c r="Q120" s="85"/>
      <c r="R120" s="77"/>
      <c r="S120" s="68"/>
      <c r="T120" s="77"/>
      <c r="U120" s="95"/>
      <c r="V120" s="77"/>
      <c r="W120" s="77"/>
      <c r="X120" s="77"/>
      <c r="Y120" s="47"/>
    </row>
    <row r="121" spans="1:25" x14ac:dyDescent="0.35">
      <c r="A121" s="46"/>
      <c r="B121" s="2"/>
      <c r="C121" s="3"/>
      <c r="D121" s="32"/>
      <c r="E121" s="67"/>
      <c r="F121" s="68"/>
      <c r="G121" s="69">
        <f>IFERROR(VLOOKUP($B121,'Dinh muc'!$A$2:$I$40,3,0),0)</f>
        <v>0</v>
      </c>
      <c r="H121" s="70">
        <f t="shared" si="33"/>
        <v>0</v>
      </c>
      <c r="I121" s="84">
        <f t="shared" si="35"/>
        <v>0</v>
      </c>
      <c r="J121" s="68"/>
      <c r="K121" s="71">
        <f>IFERROR(VLOOKUP($B121,'Dinh muc'!$A$2:$I$40,7,0),0)</f>
        <v>0</v>
      </c>
      <c r="L121" s="71">
        <f t="shared" si="34"/>
        <v>0</v>
      </c>
      <c r="M121" s="2"/>
      <c r="N121" s="68"/>
      <c r="O121" s="85"/>
      <c r="P121" s="74"/>
      <c r="Q121" s="85"/>
      <c r="R121" s="77"/>
      <c r="S121" s="68"/>
      <c r="T121" s="77"/>
      <c r="U121" s="95"/>
      <c r="V121" s="77"/>
      <c r="W121" s="77"/>
      <c r="X121" s="77"/>
      <c r="Y121" s="47"/>
    </row>
    <row r="122" spans="1:25" x14ac:dyDescent="0.35">
      <c r="A122" s="46"/>
      <c r="B122" s="2"/>
      <c r="C122" s="3"/>
      <c r="D122" s="32"/>
      <c r="E122" s="67"/>
      <c r="F122" s="68"/>
      <c r="G122" s="69">
        <f>IFERROR(VLOOKUP($B122,'Dinh muc'!$A$2:$I$40,3,0),0)</f>
        <v>0</v>
      </c>
      <c r="H122" s="70">
        <f t="shared" si="33"/>
        <v>0</v>
      </c>
      <c r="I122" s="84">
        <f t="shared" si="35"/>
        <v>0</v>
      </c>
      <c r="J122" s="68"/>
      <c r="K122" s="71">
        <f>IFERROR(VLOOKUP($B122,'Dinh muc'!$A$2:$I$40,7,0),0)</f>
        <v>0</v>
      </c>
      <c r="L122" s="71">
        <f t="shared" si="34"/>
        <v>0</v>
      </c>
      <c r="M122" s="2"/>
      <c r="N122" s="68"/>
      <c r="O122" s="85"/>
      <c r="P122" s="74"/>
      <c r="Q122" s="85"/>
      <c r="R122" s="77"/>
      <c r="S122" s="68"/>
      <c r="T122" s="77"/>
      <c r="U122" s="95"/>
      <c r="V122" s="77"/>
      <c r="W122" s="77"/>
      <c r="X122" s="77"/>
      <c r="Y122" s="47"/>
    </row>
    <row r="123" spans="1:25" x14ac:dyDescent="0.35">
      <c r="A123" s="46"/>
      <c r="B123" s="2"/>
      <c r="C123" s="3"/>
      <c r="D123" s="32"/>
      <c r="E123" s="67"/>
      <c r="F123" s="68"/>
      <c r="G123" s="69">
        <f>IFERROR(VLOOKUP($B123,'Dinh muc'!$A$2:$I$40,3,0),0)</f>
        <v>0</v>
      </c>
      <c r="H123" s="70">
        <f t="shared" si="33"/>
        <v>0</v>
      </c>
      <c r="I123" s="84">
        <f t="shared" si="35"/>
        <v>0</v>
      </c>
      <c r="J123" s="68"/>
      <c r="K123" s="71">
        <f>IFERROR(VLOOKUP($B123,'Dinh muc'!$A$2:$I$40,7,0),0)</f>
        <v>0</v>
      </c>
      <c r="L123" s="71">
        <f t="shared" si="34"/>
        <v>0</v>
      </c>
      <c r="M123" s="2"/>
      <c r="N123" s="68"/>
      <c r="O123" s="85"/>
      <c r="P123" s="74"/>
      <c r="Q123" s="85"/>
      <c r="R123" s="77"/>
      <c r="S123" s="68"/>
      <c r="T123" s="77"/>
      <c r="U123" s="95"/>
      <c r="V123" s="77"/>
      <c r="W123" s="77"/>
      <c r="X123" s="77"/>
      <c r="Y123" s="47"/>
    </row>
    <row r="124" spans="1:25" x14ac:dyDescent="0.35">
      <c r="A124" s="46"/>
      <c r="B124" s="2" t="s">
        <v>82</v>
      </c>
      <c r="C124" s="3"/>
      <c r="D124" s="32"/>
      <c r="E124" s="67"/>
      <c r="F124" s="68"/>
      <c r="G124" s="69">
        <f>IFERROR(VLOOKUP($B124,'Dinh muc'!$A$2:$I$40,3,0),0)</f>
        <v>-20</v>
      </c>
      <c r="H124" s="70">
        <f t="shared" si="33"/>
        <v>0</v>
      </c>
      <c r="I124" s="84">
        <f t="shared" si="35"/>
        <v>0</v>
      </c>
      <c r="J124" s="68"/>
      <c r="K124" s="71">
        <f>IFERROR(VLOOKUP($B124,'Dinh muc'!$A$2:$I$40,7,0),0)</f>
        <v>0</v>
      </c>
      <c r="L124" s="71">
        <f t="shared" si="34"/>
        <v>0</v>
      </c>
      <c r="M124" s="2"/>
      <c r="N124" s="68"/>
      <c r="O124" s="85"/>
      <c r="P124" s="74"/>
      <c r="Q124" s="85"/>
      <c r="R124" s="77"/>
      <c r="S124" s="68"/>
      <c r="T124" s="77"/>
      <c r="U124" s="95"/>
      <c r="V124" s="77"/>
      <c r="W124" s="77"/>
      <c r="X124" s="77"/>
      <c r="Y124" s="47"/>
    </row>
    <row r="125" spans="1:25" x14ac:dyDescent="0.35">
      <c r="A125" s="35"/>
      <c r="B125" s="8"/>
      <c r="C125" s="9"/>
      <c r="D125" s="33"/>
      <c r="E125" s="10"/>
      <c r="F125" s="30"/>
      <c r="G125" s="11"/>
      <c r="H125" s="27"/>
      <c r="I125" s="29">
        <f>SUM(I115:I124)</f>
        <v>9.8346456692913371</v>
      </c>
      <c r="J125" s="30"/>
      <c r="K125" s="30">
        <f>AVERAGE(K115:K124)</f>
        <v>0.65</v>
      </c>
      <c r="L125" s="30">
        <f>AVERAGE(L115:L124)</f>
        <v>0.65390835579514817</v>
      </c>
      <c r="M125" s="29">
        <f>(L125*8)/K125</f>
        <v>8.0481028405556696</v>
      </c>
      <c r="N125" s="30"/>
      <c r="O125" s="30">
        <f>AVERAGE(O115)</f>
        <v>3.5</v>
      </c>
      <c r="P125" s="30">
        <f>AVERAGE(P115)</f>
        <v>7.0866141732283463</v>
      </c>
      <c r="Q125" s="29">
        <f>(O125*8)/P125</f>
        <v>3.951111111111111</v>
      </c>
      <c r="R125" s="98"/>
      <c r="S125" s="79"/>
      <c r="T125" s="79"/>
      <c r="U125" s="93"/>
      <c r="V125" s="98"/>
      <c r="W125" s="79"/>
      <c r="X125" s="79"/>
      <c r="Y125" s="61"/>
    </row>
    <row r="126" spans="1:25" x14ac:dyDescent="0.35">
      <c r="A126" s="46" t="s">
        <v>31</v>
      </c>
      <c r="B126" s="2" t="s">
        <v>52</v>
      </c>
      <c r="C126" s="3">
        <v>6.25E-2</v>
      </c>
      <c r="D126" s="32">
        <v>10</v>
      </c>
      <c r="E126" s="67">
        <v>233</v>
      </c>
      <c r="F126" s="68">
        <v>0.5</v>
      </c>
      <c r="G126" s="69">
        <f>IFERROR(VLOOKUP($B126,'Dinh muc'!$A$2:$I$40,3,0),0)</f>
        <v>8</v>
      </c>
      <c r="H126" s="70">
        <f t="shared" ref="H126:H135" si="36">(C126*24)/(SUM($C$126:$C$135)*24)</f>
        <v>2.7314112291350535E-2</v>
      </c>
      <c r="I126" s="84">
        <f t="shared" ref="I126:I135" si="37">G126*H126</f>
        <v>0.21851289833080428</v>
      </c>
      <c r="J126" s="68">
        <v>0.25</v>
      </c>
      <c r="K126" s="71">
        <f>IFERROR(VLOOKUP($B126,'Dinh muc'!$A$2:$I$40,7,0),0)</f>
        <v>3.25</v>
      </c>
      <c r="L126" s="71">
        <f t="shared" ref="L126:L135" si="38">IFERROR(D126/(C126*24),0)</f>
        <v>6.666666666666667</v>
      </c>
      <c r="M126" s="2"/>
      <c r="N126" s="68">
        <v>0.25</v>
      </c>
      <c r="O126" s="85">
        <v>3.5</v>
      </c>
      <c r="P126" s="74">
        <f>(SUM(E126:E135)/(SUM(C126:C134)*24))</f>
        <v>4.2427921092564498</v>
      </c>
      <c r="Q126" s="85"/>
      <c r="R126" s="77">
        <f>F126*I136+J126*M136+N126*Q136</f>
        <v>9.2640575913330334</v>
      </c>
      <c r="S126" s="76">
        <v>0.7</v>
      </c>
      <c r="T126" s="69">
        <f>T115</f>
        <v>164835.16483516482</v>
      </c>
      <c r="U126" s="91">
        <f>IFERROR(VLOOKUP(A126,'chi phi XCG'!$A$2:$C$39,3,0),0)</f>
        <v>187362.63736263735</v>
      </c>
      <c r="V126" s="83">
        <f>(T126*8)/U126</f>
        <v>7.0381231671554252</v>
      </c>
      <c r="W126" s="77">
        <v>0.3</v>
      </c>
      <c r="X126" s="78">
        <f>R126*S126+V126*W126</f>
        <v>8.5962772640797507</v>
      </c>
      <c r="Y126" s="47" t="str">
        <f>IF(X126&gt;=10,"A++",IF(X126&gt;=9,"A+",IF(X126&gt;=8,"A",IF(X126&gt;=7,"B","C"))))</f>
        <v>A</v>
      </c>
    </row>
    <row r="127" spans="1:25" x14ac:dyDescent="0.35">
      <c r="A127" s="46"/>
      <c r="B127" s="2" t="s">
        <v>58</v>
      </c>
      <c r="C127" s="3">
        <v>2.0104166666666665</v>
      </c>
      <c r="D127" s="32">
        <v>201</v>
      </c>
      <c r="E127" s="67"/>
      <c r="F127" s="68"/>
      <c r="G127" s="69">
        <f>IFERROR(VLOOKUP($B127,'Dinh muc'!$A$2:$I$40,3,0),0)</f>
        <v>9</v>
      </c>
      <c r="H127" s="70">
        <f t="shared" si="36"/>
        <v>0.87860394537177555</v>
      </c>
      <c r="I127" s="84">
        <f t="shared" si="37"/>
        <v>7.90743550834598</v>
      </c>
      <c r="J127" s="68"/>
      <c r="K127" s="71">
        <f>IFERROR(VLOOKUP($B127,'Dinh muc'!$A$2:$I$40,7,0),0)</f>
        <v>3.25</v>
      </c>
      <c r="L127" s="71">
        <f t="shared" si="38"/>
        <v>4.1658031088082899</v>
      </c>
      <c r="M127" s="2"/>
      <c r="N127" s="68"/>
      <c r="O127" s="85"/>
      <c r="P127" s="74"/>
      <c r="Q127" s="85"/>
      <c r="R127" s="77"/>
      <c r="S127" s="68"/>
      <c r="T127" s="77"/>
      <c r="U127" s="95"/>
      <c r="V127" s="77"/>
      <c r="W127" s="77"/>
      <c r="X127" s="77"/>
      <c r="Y127" s="47"/>
    </row>
    <row r="128" spans="1:25" x14ac:dyDescent="0.35">
      <c r="A128" s="46"/>
      <c r="B128" s="2" t="s">
        <v>60</v>
      </c>
      <c r="C128" s="3">
        <v>0.21527777777777779</v>
      </c>
      <c r="D128" s="32">
        <v>24</v>
      </c>
      <c r="E128" s="67"/>
      <c r="F128" s="68"/>
      <c r="G128" s="69">
        <f>IFERROR(VLOOKUP($B128,'Dinh muc'!$A$2:$I$40,3,0),0)</f>
        <v>8</v>
      </c>
      <c r="H128" s="70">
        <f t="shared" si="36"/>
        <v>9.4081942336874072E-2</v>
      </c>
      <c r="I128" s="84">
        <f t="shared" si="37"/>
        <v>0.75265553869499258</v>
      </c>
      <c r="J128" s="68"/>
      <c r="K128" s="71">
        <f>IFERROR(VLOOKUP($B128,'Dinh muc'!$A$2:$I$40,7,0),0)</f>
        <v>3.25</v>
      </c>
      <c r="L128" s="71">
        <f t="shared" si="38"/>
        <v>4.6451612903225801</v>
      </c>
      <c r="M128" s="2"/>
      <c r="N128" s="68"/>
      <c r="O128" s="85"/>
      <c r="P128" s="74"/>
      <c r="Q128" s="85"/>
      <c r="R128" s="77"/>
      <c r="S128" s="68"/>
      <c r="T128" s="77"/>
      <c r="U128" s="95"/>
      <c r="V128" s="77"/>
      <c r="W128" s="77"/>
      <c r="X128" s="77"/>
      <c r="Y128" s="47"/>
    </row>
    <row r="129" spans="1:25" x14ac:dyDescent="0.35">
      <c r="A129" s="46"/>
      <c r="B129" s="2"/>
      <c r="C129" s="3"/>
      <c r="D129" s="32"/>
      <c r="E129" s="67"/>
      <c r="F129" s="68"/>
      <c r="G129" s="69">
        <f>IFERROR(VLOOKUP($B129,'Dinh muc'!$A$2:$I$40,3,0),0)</f>
        <v>0</v>
      </c>
      <c r="H129" s="70">
        <f t="shared" si="36"/>
        <v>0</v>
      </c>
      <c r="I129" s="84">
        <f t="shared" si="37"/>
        <v>0</v>
      </c>
      <c r="J129" s="68"/>
      <c r="K129" s="71">
        <f>IFERROR(VLOOKUP($B129,'Dinh muc'!$A$2:$I$40,7,0),0)</f>
        <v>0</v>
      </c>
      <c r="L129" s="71">
        <f t="shared" si="38"/>
        <v>0</v>
      </c>
      <c r="M129" s="2"/>
      <c r="N129" s="68"/>
      <c r="O129" s="85"/>
      <c r="P129" s="74"/>
      <c r="Q129" s="85"/>
      <c r="R129" s="77"/>
      <c r="S129" s="68"/>
      <c r="T129" s="77"/>
      <c r="U129" s="95"/>
      <c r="V129" s="77"/>
      <c r="W129" s="77"/>
      <c r="X129" s="77"/>
      <c r="Y129" s="47"/>
    </row>
    <row r="130" spans="1:25" x14ac:dyDescent="0.35">
      <c r="A130" s="46"/>
      <c r="B130" s="2"/>
      <c r="C130" s="3"/>
      <c r="D130" s="32"/>
      <c r="E130" s="67"/>
      <c r="F130" s="68"/>
      <c r="G130" s="69">
        <f>IFERROR(VLOOKUP($B130,'Dinh muc'!$A$2:$I$40,3,0),0)</f>
        <v>0</v>
      </c>
      <c r="H130" s="70">
        <f t="shared" si="36"/>
        <v>0</v>
      </c>
      <c r="I130" s="84">
        <f t="shared" si="37"/>
        <v>0</v>
      </c>
      <c r="J130" s="68"/>
      <c r="K130" s="71">
        <f>IFERROR(VLOOKUP($B130,'Dinh muc'!$A$2:$I$40,7,0),0)</f>
        <v>0</v>
      </c>
      <c r="L130" s="71">
        <f t="shared" si="38"/>
        <v>0</v>
      </c>
      <c r="M130" s="2"/>
      <c r="N130" s="68"/>
      <c r="O130" s="85"/>
      <c r="P130" s="74"/>
      <c r="Q130" s="85"/>
      <c r="R130" s="77"/>
      <c r="S130" s="68"/>
      <c r="T130" s="77"/>
      <c r="U130" s="95"/>
      <c r="V130" s="77"/>
      <c r="W130" s="77"/>
      <c r="X130" s="77"/>
      <c r="Y130" s="47"/>
    </row>
    <row r="131" spans="1:25" x14ac:dyDescent="0.35">
      <c r="A131" s="46"/>
      <c r="B131" s="2"/>
      <c r="C131" s="3"/>
      <c r="D131" s="32"/>
      <c r="E131" s="67"/>
      <c r="F131" s="68"/>
      <c r="G131" s="69">
        <f>IFERROR(VLOOKUP($B131,'Dinh muc'!$A$2:$I$40,3,0),0)</f>
        <v>0</v>
      </c>
      <c r="H131" s="70">
        <f t="shared" si="36"/>
        <v>0</v>
      </c>
      <c r="I131" s="84">
        <f t="shared" si="37"/>
        <v>0</v>
      </c>
      <c r="J131" s="68"/>
      <c r="K131" s="71">
        <f>IFERROR(VLOOKUP($B131,'Dinh muc'!$A$2:$I$40,7,0),0)</f>
        <v>0</v>
      </c>
      <c r="L131" s="71">
        <f t="shared" si="38"/>
        <v>0</v>
      </c>
      <c r="M131" s="2"/>
      <c r="N131" s="68"/>
      <c r="O131" s="85"/>
      <c r="P131" s="74"/>
      <c r="Q131" s="85"/>
      <c r="R131" s="77"/>
      <c r="S131" s="68"/>
      <c r="T131" s="77"/>
      <c r="U131" s="95"/>
      <c r="V131" s="77"/>
      <c r="W131" s="77"/>
      <c r="X131" s="77"/>
      <c r="Y131" s="47"/>
    </row>
    <row r="132" spans="1:25" x14ac:dyDescent="0.35">
      <c r="A132" s="46"/>
      <c r="B132" s="2"/>
      <c r="C132" s="3"/>
      <c r="D132" s="32"/>
      <c r="E132" s="67"/>
      <c r="F132" s="68"/>
      <c r="G132" s="69">
        <f>IFERROR(VLOOKUP($B132,'Dinh muc'!$A$2:$I$40,3,0),0)</f>
        <v>0</v>
      </c>
      <c r="H132" s="70">
        <f t="shared" si="36"/>
        <v>0</v>
      </c>
      <c r="I132" s="84">
        <f t="shared" si="37"/>
        <v>0</v>
      </c>
      <c r="J132" s="68"/>
      <c r="K132" s="71">
        <f>IFERROR(VLOOKUP($B132,'Dinh muc'!$A$2:$I$40,7,0),0)</f>
        <v>0</v>
      </c>
      <c r="L132" s="71">
        <f t="shared" si="38"/>
        <v>0</v>
      </c>
      <c r="M132" s="2"/>
      <c r="N132" s="68"/>
      <c r="O132" s="85"/>
      <c r="P132" s="74"/>
      <c r="Q132" s="85"/>
      <c r="R132" s="77"/>
      <c r="S132" s="68"/>
      <c r="T132" s="77"/>
      <c r="U132" s="95"/>
      <c r="V132" s="77"/>
      <c r="W132" s="77"/>
      <c r="X132" s="77"/>
      <c r="Y132" s="47"/>
    </row>
    <row r="133" spans="1:25" x14ac:dyDescent="0.35">
      <c r="A133" s="46"/>
      <c r="B133" s="2"/>
      <c r="C133" s="3"/>
      <c r="D133" s="32"/>
      <c r="E133" s="67"/>
      <c r="F133" s="68"/>
      <c r="G133" s="69">
        <f>IFERROR(VLOOKUP($B133,'Dinh muc'!$A$2:$I$40,3,0),0)</f>
        <v>0</v>
      </c>
      <c r="H133" s="70">
        <f t="shared" si="36"/>
        <v>0</v>
      </c>
      <c r="I133" s="84">
        <f t="shared" si="37"/>
        <v>0</v>
      </c>
      <c r="J133" s="68"/>
      <c r="K133" s="71">
        <f>IFERROR(VLOOKUP($B133,'Dinh muc'!$A$2:$I$40,7,0),0)</f>
        <v>0</v>
      </c>
      <c r="L133" s="71">
        <f t="shared" si="38"/>
        <v>0</v>
      </c>
      <c r="M133" s="2"/>
      <c r="N133" s="68"/>
      <c r="O133" s="85"/>
      <c r="P133" s="74"/>
      <c r="Q133" s="85"/>
      <c r="R133" s="77"/>
      <c r="S133" s="68"/>
      <c r="T133" s="77"/>
      <c r="U133" s="95"/>
      <c r="V133" s="77"/>
      <c r="W133" s="77"/>
      <c r="X133" s="77"/>
      <c r="Y133" s="47"/>
    </row>
    <row r="134" spans="1:25" x14ac:dyDescent="0.35">
      <c r="A134" s="46"/>
      <c r="B134" s="2"/>
      <c r="C134" s="3"/>
      <c r="D134" s="32"/>
      <c r="E134" s="67"/>
      <c r="F134" s="68"/>
      <c r="G134" s="69">
        <f>IFERROR(VLOOKUP($B134,'Dinh muc'!$A$2:$I$40,3,0),0)</f>
        <v>0</v>
      </c>
      <c r="H134" s="70">
        <f t="shared" si="36"/>
        <v>0</v>
      </c>
      <c r="I134" s="84">
        <f t="shared" si="37"/>
        <v>0</v>
      </c>
      <c r="J134" s="68"/>
      <c r="K134" s="71">
        <f>IFERROR(VLOOKUP($B134,'Dinh muc'!$A$2:$I$40,7,0),0)</f>
        <v>0</v>
      </c>
      <c r="L134" s="71">
        <f t="shared" si="38"/>
        <v>0</v>
      </c>
      <c r="M134" s="2"/>
      <c r="N134" s="68"/>
      <c r="O134" s="85"/>
      <c r="P134" s="74"/>
      <c r="Q134" s="85"/>
      <c r="R134" s="77"/>
      <c r="S134" s="68"/>
      <c r="T134" s="77"/>
      <c r="U134" s="95"/>
      <c r="V134" s="77"/>
      <c r="W134" s="77"/>
      <c r="X134" s="77"/>
      <c r="Y134" s="47"/>
    </row>
    <row r="135" spans="1:25" x14ac:dyDescent="0.35">
      <c r="A135" s="46"/>
      <c r="B135" s="2" t="s">
        <v>82</v>
      </c>
      <c r="C135" s="3"/>
      <c r="D135" s="32"/>
      <c r="E135" s="67"/>
      <c r="F135" s="68"/>
      <c r="G135" s="69">
        <f>IFERROR(VLOOKUP($B135,'Dinh muc'!$A$2:$I$40,3,0),0)</f>
        <v>-20</v>
      </c>
      <c r="H135" s="70">
        <f t="shared" si="36"/>
        <v>0</v>
      </c>
      <c r="I135" s="84">
        <f t="shared" si="37"/>
        <v>0</v>
      </c>
      <c r="J135" s="68"/>
      <c r="K135" s="71">
        <f>IFERROR(VLOOKUP($B135,'Dinh muc'!$A$2:$I$40,7,0),0)</f>
        <v>0</v>
      </c>
      <c r="L135" s="71">
        <f t="shared" si="38"/>
        <v>0</v>
      </c>
      <c r="M135" s="2"/>
      <c r="N135" s="68"/>
      <c r="O135" s="85"/>
      <c r="P135" s="74"/>
      <c r="Q135" s="85"/>
      <c r="R135" s="77"/>
      <c r="S135" s="68"/>
      <c r="T135" s="77"/>
      <c r="U135" s="95"/>
      <c r="V135" s="77"/>
      <c r="W135" s="77"/>
      <c r="X135" s="77"/>
      <c r="Y135" s="47"/>
    </row>
    <row r="136" spans="1:25" x14ac:dyDescent="0.35">
      <c r="A136" s="35"/>
      <c r="B136" s="8"/>
      <c r="C136" s="9"/>
      <c r="D136" s="33"/>
      <c r="E136" s="10"/>
      <c r="F136" s="30"/>
      <c r="G136" s="11"/>
      <c r="H136" s="27"/>
      <c r="I136" s="29">
        <f>SUM(I126:I135)</f>
        <v>8.8786039453717773</v>
      </c>
      <c r="J136" s="30"/>
      <c r="K136" s="30">
        <f>AVERAGE(K126:K135)</f>
        <v>0.97499999999999998</v>
      </c>
      <c r="L136" s="30">
        <f>AVERAGE(L126:L135)</f>
        <v>1.5477631065797537</v>
      </c>
      <c r="M136" s="29">
        <f>(L136*8)/K136</f>
        <v>12.699594720654389</v>
      </c>
      <c r="N136" s="30"/>
      <c r="O136" s="30">
        <f>AVERAGE(O126)</f>
        <v>3.5</v>
      </c>
      <c r="P136" s="30">
        <f>AVERAGE(P126)</f>
        <v>4.2427921092564498</v>
      </c>
      <c r="Q136" s="29">
        <f>(O136*8)/P136</f>
        <v>6.599427753934191</v>
      </c>
      <c r="R136" s="98"/>
      <c r="S136" s="79"/>
      <c r="T136" s="79"/>
      <c r="U136" s="93"/>
      <c r="V136" s="98"/>
      <c r="W136" s="79"/>
      <c r="X136" s="79"/>
      <c r="Y136" s="61"/>
    </row>
    <row r="137" spans="1:25" x14ac:dyDescent="0.35">
      <c r="A137" s="46" t="s">
        <v>23</v>
      </c>
      <c r="B137" s="2" t="s">
        <v>18</v>
      </c>
      <c r="C137" s="3">
        <v>0.22222222222222221</v>
      </c>
      <c r="D137" s="32">
        <v>13</v>
      </c>
      <c r="E137" s="85">
        <v>160</v>
      </c>
      <c r="F137" s="68">
        <v>0.5</v>
      </c>
      <c r="G137" s="69">
        <f>IFERROR(VLOOKUP($B137,'Dinh muc'!$A$2:$I$40,3,0),0)</f>
        <v>7</v>
      </c>
      <c r="H137" s="70">
        <f t="shared" ref="H137:H146" si="39">(C137*24)/(SUM($C$137:$C$146)*24)</f>
        <v>0.125</v>
      </c>
      <c r="I137" s="84">
        <f t="shared" ref="I137" si="40">G137*H137</f>
        <v>0.875</v>
      </c>
      <c r="J137" s="68">
        <v>0.25</v>
      </c>
      <c r="K137" s="71">
        <f>IFERROR(VLOOKUP($B137,'Dinh muc'!$A$2:$I$40,7,0),0)</f>
        <v>4.125</v>
      </c>
      <c r="L137" s="71">
        <f t="shared" ref="L137:L146" si="41">IFERROR(D137/(C137*24),0)</f>
        <v>2.4375</v>
      </c>
      <c r="M137" s="2"/>
      <c r="N137" s="68">
        <v>0.25</v>
      </c>
      <c r="O137" s="85">
        <v>3.5</v>
      </c>
      <c r="P137" s="74">
        <f>(SUM(E137:E146)/(SUM(C137:C145)*24))</f>
        <v>3.7944664031620556</v>
      </c>
      <c r="Q137" s="85"/>
      <c r="R137" s="77">
        <f>F137*I147+J137*M147+N137*Q147</f>
        <v>8.8205033531300785</v>
      </c>
      <c r="S137" s="76">
        <v>0.7</v>
      </c>
      <c r="T137" s="69">
        <f>T126</f>
        <v>164835.16483516482</v>
      </c>
      <c r="U137" s="91">
        <f>IFERROR(VLOOKUP(A137,'chi phi XCG'!$A$2:$C$39,3,0),0)</f>
        <v>181318.68131868137</v>
      </c>
      <c r="V137" s="83">
        <f>(T137*8)/U137</f>
        <v>7.2727272727272698</v>
      </c>
      <c r="W137" s="77">
        <v>0.3</v>
      </c>
      <c r="X137" s="78">
        <f>R137*S137+V137*W137</f>
        <v>8.3561705290092352</v>
      </c>
      <c r="Y137" s="47" t="str">
        <f>IF(X137&gt;=10,"A++",IF(X137&gt;=9,"A+",IF(X137&gt;=8,"A",IF(X137&gt;=7,"B","C"))))</f>
        <v>A</v>
      </c>
    </row>
    <row r="138" spans="1:25" x14ac:dyDescent="0.35">
      <c r="A138" s="46"/>
      <c r="B138" s="2" t="s">
        <v>89</v>
      </c>
      <c r="C138" s="3">
        <v>0.53819444444444442</v>
      </c>
      <c r="D138" s="32">
        <v>52</v>
      </c>
      <c r="E138" s="67"/>
      <c r="F138" s="68"/>
      <c r="G138" s="69">
        <f>IFERROR(VLOOKUP($B138,'Dinh muc'!$A$2:$I$40,3,0),0)</f>
        <v>0</v>
      </c>
      <c r="H138" s="70">
        <f t="shared" si="39"/>
        <v>0.302734375</v>
      </c>
      <c r="I138" s="84">
        <f t="shared" ref="I138:I146" si="42">G138*H138</f>
        <v>0</v>
      </c>
      <c r="J138" s="68"/>
      <c r="K138" s="71">
        <f>IFERROR(VLOOKUP($B138,'Dinh muc'!$A$2:$I$40,7,0),0)</f>
        <v>0</v>
      </c>
      <c r="L138" s="71">
        <f t="shared" si="41"/>
        <v>4.0258064516129037</v>
      </c>
      <c r="M138" s="2"/>
      <c r="N138" s="68"/>
      <c r="O138" s="85"/>
      <c r="P138" s="74"/>
      <c r="Q138" s="85"/>
      <c r="R138" s="77"/>
      <c r="S138" s="68"/>
      <c r="T138" s="77"/>
      <c r="U138" s="95"/>
      <c r="V138" s="77"/>
      <c r="W138" s="77"/>
      <c r="X138" s="77"/>
      <c r="Y138" s="47"/>
    </row>
    <row r="139" spans="1:25" x14ac:dyDescent="0.35">
      <c r="A139" s="46"/>
      <c r="B139" s="2" t="s">
        <v>51</v>
      </c>
      <c r="C139" s="3">
        <v>4.1666666666666664E-2</v>
      </c>
      <c r="D139" s="32">
        <v>3</v>
      </c>
      <c r="E139" s="67"/>
      <c r="F139" s="68"/>
      <c r="G139" s="69">
        <f>IFERROR(VLOOKUP($B139,'Dinh muc'!$A$2:$I$40,3,0),0)</f>
        <v>10</v>
      </c>
      <c r="H139" s="70">
        <f t="shared" si="39"/>
        <v>2.34375E-2</v>
      </c>
      <c r="I139" s="84">
        <f t="shared" si="42"/>
        <v>0.234375</v>
      </c>
      <c r="J139" s="68"/>
      <c r="K139" s="71">
        <f>IFERROR(VLOOKUP($B139,'Dinh muc'!$A$2:$I$40,7,0),0)</f>
        <v>3.25</v>
      </c>
      <c r="L139" s="71">
        <f t="shared" si="41"/>
        <v>3</v>
      </c>
      <c r="M139" s="2"/>
      <c r="N139" s="68"/>
      <c r="O139" s="85"/>
      <c r="P139" s="74"/>
      <c r="Q139" s="85"/>
      <c r="R139" s="77"/>
      <c r="S139" s="68"/>
      <c r="T139" s="77"/>
      <c r="U139" s="95"/>
      <c r="V139" s="77"/>
      <c r="W139" s="77"/>
      <c r="X139" s="77"/>
      <c r="Y139" s="47"/>
    </row>
    <row r="140" spans="1:25" x14ac:dyDescent="0.35">
      <c r="A140" s="46"/>
      <c r="B140" s="2" t="s">
        <v>53</v>
      </c>
      <c r="C140" s="3">
        <v>0.53472222222222221</v>
      </c>
      <c r="D140" s="32">
        <v>62</v>
      </c>
      <c r="E140" s="67"/>
      <c r="F140" s="68"/>
      <c r="G140" s="69">
        <f>IFERROR(VLOOKUP($B140,'Dinh muc'!$A$2:$I$40,3,0),0)</f>
        <v>8</v>
      </c>
      <c r="H140" s="70">
        <f t="shared" si="39"/>
        <v>0.30078125</v>
      </c>
      <c r="I140" s="84">
        <f t="shared" si="42"/>
        <v>2.40625</v>
      </c>
      <c r="J140" s="68"/>
      <c r="K140" s="71">
        <f>IFERROR(VLOOKUP($B140,'Dinh muc'!$A$2:$I$40,7,0),0)</f>
        <v>3.25</v>
      </c>
      <c r="L140" s="71">
        <f t="shared" si="41"/>
        <v>4.8311688311688314</v>
      </c>
      <c r="M140" s="2"/>
      <c r="N140" s="68"/>
      <c r="O140" s="85"/>
      <c r="P140" s="74"/>
      <c r="Q140" s="85"/>
      <c r="R140" s="77"/>
      <c r="S140" s="68"/>
      <c r="T140" s="77"/>
      <c r="U140" s="95"/>
      <c r="V140" s="77"/>
      <c r="W140" s="77"/>
      <c r="X140" s="77"/>
      <c r="Y140" s="47"/>
    </row>
    <row r="141" spans="1:25" x14ac:dyDescent="0.35">
      <c r="A141" s="46"/>
      <c r="B141" s="2" t="s">
        <v>71</v>
      </c>
      <c r="C141" s="3">
        <v>3.8194444444444441E-2</v>
      </c>
      <c r="D141" s="32">
        <v>6</v>
      </c>
      <c r="E141" s="67"/>
      <c r="F141" s="68"/>
      <c r="G141" s="69">
        <f>IFERROR(VLOOKUP($B141,'Dinh muc'!$A$2:$I$40,3,0),0)</f>
        <v>7</v>
      </c>
      <c r="H141" s="70">
        <f t="shared" si="39"/>
        <v>2.1484374999999997E-2</v>
      </c>
      <c r="I141" s="84">
        <f t="shared" si="42"/>
        <v>0.15039062499999997</v>
      </c>
      <c r="J141" s="68"/>
      <c r="K141" s="71">
        <f>IFERROR(VLOOKUP($B141,'Dinh muc'!$A$2:$I$40,7,0),0)</f>
        <v>4.125</v>
      </c>
      <c r="L141" s="71">
        <f t="shared" si="41"/>
        <v>6.5454545454545467</v>
      </c>
      <c r="M141" s="2"/>
      <c r="N141" s="68"/>
      <c r="O141" s="85"/>
      <c r="P141" s="74"/>
      <c r="Q141" s="85"/>
      <c r="R141" s="77"/>
      <c r="S141" s="68"/>
      <c r="T141" s="77"/>
      <c r="U141" s="95"/>
      <c r="V141" s="77"/>
      <c r="W141" s="77"/>
      <c r="X141" s="77"/>
      <c r="Y141" s="47"/>
    </row>
    <row r="142" spans="1:25" x14ac:dyDescent="0.35">
      <c r="A142" s="46"/>
      <c r="B142" s="2" t="s">
        <v>91</v>
      </c>
      <c r="C142" s="3">
        <v>7.9861111111111105E-2</v>
      </c>
      <c r="D142" s="32">
        <v>7</v>
      </c>
      <c r="E142" s="67"/>
      <c r="F142" s="68"/>
      <c r="G142" s="69">
        <f>IFERROR(VLOOKUP($B142,'Dinh muc'!$A$2:$I$40,3,0),0)</f>
        <v>0</v>
      </c>
      <c r="H142" s="70">
        <f t="shared" si="39"/>
        <v>4.4921875E-2</v>
      </c>
      <c r="I142" s="84">
        <f t="shared" si="42"/>
        <v>0</v>
      </c>
      <c r="J142" s="68"/>
      <c r="K142" s="71">
        <f>IFERROR(VLOOKUP($B142,'Dinh muc'!$A$2:$I$40,7,0),0)</f>
        <v>0</v>
      </c>
      <c r="L142" s="71">
        <f t="shared" si="41"/>
        <v>3.6521739130434785</v>
      </c>
      <c r="M142" s="2"/>
      <c r="N142" s="68"/>
      <c r="O142" s="85"/>
      <c r="P142" s="74"/>
      <c r="Q142" s="85"/>
      <c r="R142" s="77"/>
      <c r="S142" s="68"/>
      <c r="T142" s="77"/>
      <c r="U142" s="95"/>
      <c r="V142" s="77"/>
      <c r="W142" s="77"/>
      <c r="X142" s="77"/>
      <c r="Y142" s="47"/>
    </row>
    <row r="143" spans="1:25" x14ac:dyDescent="0.35">
      <c r="A143" s="46"/>
      <c r="B143" s="2" t="s">
        <v>92</v>
      </c>
      <c r="C143" s="3">
        <v>6.5972222222222224E-2</v>
      </c>
      <c r="D143" s="32">
        <v>9</v>
      </c>
      <c r="E143" s="67"/>
      <c r="F143" s="68"/>
      <c r="G143" s="69">
        <f>IFERROR(VLOOKUP($B143,'Dinh muc'!$A$2:$I$40,3,0),0)</f>
        <v>0</v>
      </c>
      <c r="H143" s="70">
        <f t="shared" si="39"/>
        <v>3.7109375000000007E-2</v>
      </c>
      <c r="I143" s="84">
        <f t="shared" si="42"/>
        <v>0</v>
      </c>
      <c r="J143" s="68"/>
      <c r="K143" s="71">
        <f>IFERROR(VLOOKUP($B143,'Dinh muc'!$A$2:$I$40,7,0),0)</f>
        <v>0</v>
      </c>
      <c r="L143" s="71">
        <f t="shared" si="41"/>
        <v>5.6842105263157894</v>
      </c>
      <c r="M143" s="2"/>
      <c r="N143" s="68"/>
      <c r="O143" s="85"/>
      <c r="P143" s="74"/>
      <c r="Q143" s="85"/>
      <c r="R143" s="77"/>
      <c r="S143" s="68"/>
      <c r="T143" s="77"/>
      <c r="U143" s="95"/>
      <c r="V143" s="77"/>
      <c r="W143" s="77"/>
      <c r="X143" s="77"/>
      <c r="Y143" s="47"/>
    </row>
    <row r="144" spans="1:25" x14ac:dyDescent="0.35">
      <c r="A144" s="46"/>
      <c r="B144" s="2" t="s">
        <v>90</v>
      </c>
      <c r="C144" s="3">
        <v>0.22569444444444445</v>
      </c>
      <c r="D144" s="32">
        <v>25</v>
      </c>
      <c r="E144" s="67"/>
      <c r="F144" s="68"/>
      <c r="G144" s="69">
        <f>IFERROR(VLOOKUP($B144,'Dinh muc'!$A$2:$I$40,3,0),0)</f>
        <v>0</v>
      </c>
      <c r="H144" s="70">
        <f t="shared" si="39"/>
        <v>0.12695312500000003</v>
      </c>
      <c r="I144" s="84">
        <f t="shared" si="42"/>
        <v>0</v>
      </c>
      <c r="J144" s="68"/>
      <c r="K144" s="71">
        <f>IFERROR(VLOOKUP($B144,'Dinh muc'!$A$2:$I$40,7,0),0)</f>
        <v>0</v>
      </c>
      <c r="L144" s="71">
        <f t="shared" si="41"/>
        <v>4.615384615384615</v>
      </c>
      <c r="M144" s="2"/>
      <c r="N144" s="68"/>
      <c r="O144" s="85"/>
      <c r="P144" s="74"/>
      <c r="Q144" s="85"/>
      <c r="R144" s="77"/>
      <c r="S144" s="68"/>
      <c r="T144" s="77"/>
      <c r="U144" s="95"/>
      <c r="V144" s="77"/>
      <c r="W144" s="77"/>
      <c r="X144" s="77"/>
      <c r="Y144" s="47"/>
    </row>
    <row r="145" spans="1:25" x14ac:dyDescent="0.35">
      <c r="A145" s="46"/>
      <c r="B145" s="2" t="s">
        <v>93</v>
      </c>
      <c r="C145" s="3">
        <v>1.0416666666666666E-2</v>
      </c>
      <c r="D145" s="32">
        <v>1</v>
      </c>
      <c r="E145" s="67"/>
      <c r="F145" s="68"/>
      <c r="G145" s="69">
        <f>IFERROR(VLOOKUP($B145,'Dinh muc'!$A$2:$I$40,3,0),0)</f>
        <v>0</v>
      </c>
      <c r="H145" s="70">
        <f t="shared" si="39"/>
        <v>5.859375E-3</v>
      </c>
      <c r="I145" s="84">
        <f t="shared" si="42"/>
        <v>0</v>
      </c>
      <c r="J145" s="68"/>
      <c r="K145" s="71">
        <f>IFERROR(VLOOKUP($B145,'Dinh muc'!$A$2:$I$40,7,0),0)</f>
        <v>0</v>
      </c>
      <c r="L145" s="71">
        <f t="shared" si="41"/>
        <v>4</v>
      </c>
      <c r="M145" s="2"/>
      <c r="N145" s="68"/>
      <c r="O145" s="85"/>
      <c r="P145" s="74"/>
      <c r="Q145" s="85"/>
      <c r="R145" s="77"/>
      <c r="S145" s="68"/>
      <c r="T145" s="77"/>
      <c r="U145" s="95"/>
      <c r="V145" s="77"/>
      <c r="W145" s="77"/>
      <c r="X145" s="77"/>
      <c r="Y145" s="47"/>
    </row>
    <row r="146" spans="1:25" x14ac:dyDescent="0.35">
      <c r="A146" s="46"/>
      <c r="B146" s="2" t="s">
        <v>82</v>
      </c>
      <c r="C146" s="3">
        <v>2.0833333333333332E-2</v>
      </c>
      <c r="D146" s="32"/>
      <c r="E146" s="67"/>
      <c r="F146" s="68"/>
      <c r="G146" s="69">
        <f>IFERROR(VLOOKUP($B146,'Dinh muc'!$A$2:$I$40,3,0),0)</f>
        <v>-20</v>
      </c>
      <c r="H146" s="70">
        <f t="shared" si="39"/>
        <v>1.171875E-2</v>
      </c>
      <c r="I146" s="84">
        <f t="shared" si="42"/>
        <v>-0.234375</v>
      </c>
      <c r="J146" s="68"/>
      <c r="K146" s="71">
        <f>IFERROR(VLOOKUP($B146,'Dinh muc'!$A$2:$I$40,7,0),0)</f>
        <v>0</v>
      </c>
      <c r="L146" s="71">
        <f t="shared" si="41"/>
        <v>0</v>
      </c>
      <c r="M146" s="2"/>
      <c r="N146" s="68"/>
      <c r="O146" s="85"/>
      <c r="P146" s="74"/>
      <c r="Q146" s="85"/>
      <c r="R146" s="77"/>
      <c r="S146" s="68"/>
      <c r="T146" s="77"/>
      <c r="U146" s="95"/>
      <c r="V146" s="77"/>
      <c r="W146" s="77"/>
      <c r="X146" s="77"/>
      <c r="Y146" s="47"/>
    </row>
    <row r="147" spans="1:25" x14ac:dyDescent="0.35">
      <c r="A147" s="35"/>
      <c r="B147" s="8"/>
      <c r="C147" s="9"/>
      <c r="D147" s="33"/>
      <c r="E147" s="10"/>
      <c r="F147" s="30"/>
      <c r="G147" s="11"/>
      <c r="H147" s="27"/>
      <c r="I147" s="29">
        <f>SUM(I137:I146)</f>
        <v>3.431640625</v>
      </c>
      <c r="J147" s="30"/>
      <c r="K147" s="30">
        <f>AVERAGE(K137:K146)</f>
        <v>1.4750000000000001</v>
      </c>
      <c r="L147" s="30">
        <f>AVERAGE(L137:L146)</f>
        <v>3.8791698882980166</v>
      </c>
      <c r="M147" s="29">
        <f>(L147*8)/K147</f>
        <v>21.039565495853648</v>
      </c>
      <c r="N147" s="30"/>
      <c r="O147" s="30">
        <f>AVERAGE(O137)</f>
        <v>3.5</v>
      </c>
      <c r="P147" s="30">
        <f>AVERAGE(P137)</f>
        <v>3.7944664031620556</v>
      </c>
      <c r="Q147" s="29">
        <f>(O147*8)/P147</f>
        <v>7.3791666666666664</v>
      </c>
      <c r="R147" s="98"/>
      <c r="S147" s="79"/>
      <c r="T147" s="79"/>
      <c r="U147" s="93"/>
      <c r="V147" s="98"/>
      <c r="W147" s="79"/>
      <c r="X147" s="79"/>
      <c r="Y147" s="61"/>
    </row>
    <row r="148" spans="1:25" x14ac:dyDescent="0.35">
      <c r="A148" s="46" t="s">
        <v>24</v>
      </c>
      <c r="B148" s="2" t="s">
        <v>18</v>
      </c>
      <c r="C148" s="3">
        <v>0.22222222222222221</v>
      </c>
      <c r="D148" s="32">
        <v>12</v>
      </c>
      <c r="E148" s="67">
        <v>333</v>
      </c>
      <c r="F148" s="68">
        <v>0.5</v>
      </c>
      <c r="G148" s="69">
        <f>IFERROR(VLOOKUP($B148,'Dinh muc'!$A$2:$I$40,3,0),0)</f>
        <v>7</v>
      </c>
      <c r="H148" s="70">
        <f t="shared" ref="H148:H158" si="43">(C148*24)/(SUM($C$148:$C$158)*24)</f>
        <v>0.11878247958426132</v>
      </c>
      <c r="I148" s="84">
        <f t="shared" ref="I148" si="44">G148*H148</f>
        <v>0.83147735708982917</v>
      </c>
      <c r="J148" s="68">
        <v>0.25</v>
      </c>
      <c r="K148" s="71">
        <f>IFERROR(VLOOKUP($B148,'Dinh muc'!$A$2:$I$40,7,0),0)</f>
        <v>4.125</v>
      </c>
      <c r="L148" s="71">
        <f t="shared" ref="L148:L158" si="45">IFERROR(D148/(C148*24),0)</f>
        <v>2.25</v>
      </c>
      <c r="M148" s="2"/>
      <c r="N148" s="68">
        <v>0.25</v>
      </c>
      <c r="O148" s="85">
        <v>3.5</v>
      </c>
      <c r="P148" s="85">
        <f>(SUM(E148:E158)/(SUM(C148:C157)*24))</f>
        <v>8.1751227495908338</v>
      </c>
      <c r="Q148" s="85"/>
      <c r="R148" s="77">
        <f>F148*I159+J148*M159+N148*Q159</f>
        <v>6.3770120044224106</v>
      </c>
      <c r="S148" s="76">
        <v>0.7</v>
      </c>
      <c r="T148" s="69">
        <f>T137</f>
        <v>164835.16483516482</v>
      </c>
      <c r="U148" s="91">
        <f>IFERROR(VLOOKUP(A148,'chi phi XCG'!$A$2:$C$39,3,0),0)</f>
        <v>181318.68131868137</v>
      </c>
      <c r="V148" s="83">
        <f>(T148*8)/U148</f>
        <v>7.2727272727272698</v>
      </c>
      <c r="W148" s="77">
        <v>0.3</v>
      </c>
      <c r="X148" s="78">
        <f>R148*S148+V148*W148</f>
        <v>6.6457265849138683</v>
      </c>
      <c r="Y148" s="47" t="str">
        <f>IF(X148&gt;=10,"A++",IF(X148&gt;=9,"A+",IF(X148&gt;=8,"A",IF(X148&gt;=7,"B","C"))))</f>
        <v>C</v>
      </c>
    </row>
    <row r="149" spans="1:25" x14ac:dyDescent="0.35">
      <c r="A149" s="46"/>
      <c r="B149" s="2" t="s">
        <v>89</v>
      </c>
      <c r="C149" s="3">
        <v>0.43888888888888888</v>
      </c>
      <c r="D149" s="32">
        <v>42</v>
      </c>
      <c r="E149" s="67"/>
      <c r="F149" s="68"/>
      <c r="G149" s="69">
        <f>IFERROR(VLOOKUP($B149,'Dinh muc'!$A$2:$I$40,3,0),0)</f>
        <v>0</v>
      </c>
      <c r="H149" s="70">
        <f t="shared" si="43"/>
        <v>0.23459539717891612</v>
      </c>
      <c r="I149" s="84">
        <f t="shared" ref="I149:I158" si="46">G149*H149</f>
        <v>0</v>
      </c>
      <c r="J149" s="68"/>
      <c r="K149" s="71">
        <f>IFERROR(VLOOKUP($B149,'Dinh muc'!$A$2:$I$40,7,0),0)</f>
        <v>0</v>
      </c>
      <c r="L149" s="71">
        <f t="shared" si="45"/>
        <v>3.9873417721518987</v>
      </c>
      <c r="M149" s="2"/>
      <c r="N149" s="68"/>
      <c r="O149" s="85"/>
      <c r="P149" s="85"/>
      <c r="Q149" s="85"/>
      <c r="R149" s="77"/>
      <c r="S149" s="68"/>
      <c r="T149" s="77"/>
      <c r="U149" s="95"/>
      <c r="V149" s="77"/>
      <c r="W149" s="77"/>
      <c r="X149" s="77"/>
      <c r="Y149" s="86"/>
    </row>
    <row r="150" spans="1:25" x14ac:dyDescent="0.35">
      <c r="A150" s="46"/>
      <c r="B150" s="2" t="s">
        <v>51</v>
      </c>
      <c r="C150" s="3">
        <v>4.5138888888888888E-2</v>
      </c>
      <c r="D150" s="32">
        <v>2</v>
      </c>
      <c r="E150" s="67"/>
      <c r="F150" s="68"/>
      <c r="G150" s="69">
        <f>IFERROR(VLOOKUP($B150,'Dinh muc'!$A$2:$I$40,3,0),0)</f>
        <v>10</v>
      </c>
      <c r="H150" s="70">
        <f t="shared" si="43"/>
        <v>2.4127691165553081E-2</v>
      </c>
      <c r="I150" s="84">
        <f t="shared" si="46"/>
        <v>0.24127691165553081</v>
      </c>
      <c r="J150" s="68"/>
      <c r="K150" s="71">
        <f>IFERROR(VLOOKUP($B150,'Dinh muc'!$A$2:$I$40,7,0),0)</f>
        <v>3.25</v>
      </c>
      <c r="L150" s="71">
        <f t="shared" si="45"/>
        <v>1.8461538461538463</v>
      </c>
      <c r="M150" s="2"/>
      <c r="N150" s="68"/>
      <c r="O150" s="85"/>
      <c r="P150" s="85"/>
      <c r="Q150" s="85"/>
      <c r="R150" s="77"/>
      <c r="S150" s="68"/>
      <c r="T150" s="77"/>
      <c r="U150" s="95"/>
      <c r="V150" s="77"/>
      <c r="W150" s="77"/>
      <c r="X150" s="77"/>
      <c r="Y150" s="86"/>
    </row>
    <row r="151" spans="1:25" x14ac:dyDescent="0.35">
      <c r="A151" s="46"/>
      <c r="B151" s="2" t="s">
        <v>53</v>
      </c>
      <c r="C151" s="3">
        <v>0.49444444444444452</v>
      </c>
      <c r="D151" s="32">
        <v>63</v>
      </c>
      <c r="E151" s="67"/>
      <c r="F151" s="68"/>
      <c r="G151" s="69">
        <f>IFERROR(VLOOKUP($B151,'Dinh muc'!$A$2:$I$40,3,0),0)</f>
        <v>8</v>
      </c>
      <c r="H151" s="70">
        <f t="shared" si="43"/>
        <v>0.26429101707498148</v>
      </c>
      <c r="I151" s="84">
        <f t="shared" si="46"/>
        <v>2.1143281365998519</v>
      </c>
      <c r="J151" s="68"/>
      <c r="K151" s="71">
        <f>IFERROR(VLOOKUP($B151,'Dinh muc'!$A$2:$I$40,7,0),0)</f>
        <v>3.25</v>
      </c>
      <c r="L151" s="71">
        <f t="shared" si="45"/>
        <v>5.3089887640449431</v>
      </c>
      <c r="M151" s="2"/>
      <c r="N151" s="68"/>
      <c r="O151" s="85"/>
      <c r="P151" s="85"/>
      <c r="Q151" s="85"/>
      <c r="R151" s="77"/>
      <c r="S151" s="68"/>
      <c r="T151" s="77"/>
      <c r="U151" s="95"/>
      <c r="V151" s="77"/>
      <c r="W151" s="77"/>
      <c r="X151" s="77"/>
      <c r="Y151" s="86"/>
    </row>
    <row r="152" spans="1:25" x14ac:dyDescent="0.35">
      <c r="A152" s="46"/>
      <c r="B152" s="2" t="s">
        <v>71</v>
      </c>
      <c r="C152" s="3">
        <v>3.8194444444444441E-2</v>
      </c>
      <c r="D152" s="32">
        <v>6</v>
      </c>
      <c r="E152" s="67"/>
      <c r="F152" s="68"/>
      <c r="G152" s="69">
        <f>IFERROR(VLOOKUP($B152,'Dinh muc'!$A$2:$I$40,3,0),0)</f>
        <v>7</v>
      </c>
      <c r="H152" s="70">
        <f t="shared" si="43"/>
        <v>2.041573867854491E-2</v>
      </c>
      <c r="I152" s="84">
        <f t="shared" si="46"/>
        <v>0.14291017074981438</v>
      </c>
      <c r="J152" s="68"/>
      <c r="K152" s="71">
        <f>IFERROR(VLOOKUP($B152,'Dinh muc'!$A$2:$I$40,7,0),0)</f>
        <v>4.125</v>
      </c>
      <c r="L152" s="71">
        <f t="shared" si="45"/>
        <v>6.5454545454545467</v>
      </c>
      <c r="M152" s="2"/>
      <c r="N152" s="68"/>
      <c r="O152" s="85"/>
      <c r="P152" s="85"/>
      <c r="Q152" s="85"/>
      <c r="R152" s="77"/>
      <c r="S152" s="68"/>
      <c r="T152" s="77"/>
      <c r="U152" s="95"/>
      <c r="V152" s="77"/>
      <c r="W152" s="77"/>
      <c r="X152" s="77"/>
      <c r="Y152" s="86"/>
    </row>
    <row r="153" spans="1:25" x14ac:dyDescent="0.35">
      <c r="A153" s="46"/>
      <c r="B153" s="2" t="s">
        <v>91</v>
      </c>
      <c r="C153" s="3">
        <v>7.9861111111111105E-2</v>
      </c>
      <c r="D153" s="32">
        <v>6</v>
      </c>
      <c r="E153" s="67"/>
      <c r="F153" s="68"/>
      <c r="G153" s="69">
        <f>IFERROR(VLOOKUP($B153,'Dinh muc'!$A$2:$I$40,3,0),0)</f>
        <v>0</v>
      </c>
      <c r="H153" s="70">
        <f t="shared" si="43"/>
        <v>4.2687453600593908E-2</v>
      </c>
      <c r="I153" s="84">
        <f t="shared" si="46"/>
        <v>0</v>
      </c>
      <c r="J153" s="68"/>
      <c r="K153" s="71">
        <f>IFERROR(VLOOKUP($B153,'Dinh muc'!$A$2:$I$40,7,0),0)</f>
        <v>0</v>
      </c>
      <c r="L153" s="71">
        <f t="shared" si="45"/>
        <v>3.1304347826086958</v>
      </c>
      <c r="M153" s="2"/>
      <c r="N153" s="68"/>
      <c r="O153" s="85"/>
      <c r="P153" s="85"/>
      <c r="Q153" s="85"/>
      <c r="R153" s="77"/>
      <c r="S153" s="68"/>
      <c r="T153" s="77"/>
      <c r="U153" s="95"/>
      <c r="V153" s="77"/>
      <c r="W153" s="77"/>
      <c r="X153" s="77"/>
      <c r="Y153" s="86"/>
    </row>
    <row r="154" spans="1:25" x14ac:dyDescent="0.35">
      <c r="A154" s="46"/>
      <c r="B154" s="2" t="s">
        <v>92</v>
      </c>
      <c r="C154" s="3">
        <v>6.9444444444444434E-2</v>
      </c>
      <c r="D154" s="32">
        <v>9</v>
      </c>
      <c r="E154" s="67"/>
      <c r="F154" s="68"/>
      <c r="G154" s="69">
        <f>IFERROR(VLOOKUP($B154,'Dinh muc'!$A$2:$I$40,3,0),0)</f>
        <v>0</v>
      </c>
      <c r="H154" s="70">
        <f t="shared" si="43"/>
        <v>3.711952487008166E-2</v>
      </c>
      <c r="I154" s="84">
        <f t="shared" si="46"/>
        <v>0</v>
      </c>
      <c r="J154" s="68"/>
      <c r="K154" s="71">
        <f>IFERROR(VLOOKUP($B154,'Dinh muc'!$A$2:$I$40,7,0),0)</f>
        <v>0</v>
      </c>
      <c r="L154" s="71">
        <f t="shared" si="45"/>
        <v>5.4</v>
      </c>
      <c r="M154" s="2"/>
      <c r="N154" s="68"/>
      <c r="O154" s="85"/>
      <c r="P154" s="85"/>
      <c r="Q154" s="85"/>
      <c r="R154" s="77"/>
      <c r="S154" s="68"/>
      <c r="T154" s="77"/>
      <c r="U154" s="95"/>
      <c r="V154" s="77"/>
      <c r="W154" s="77"/>
      <c r="X154" s="77"/>
      <c r="Y154" s="86"/>
    </row>
    <row r="155" spans="1:25" x14ac:dyDescent="0.35">
      <c r="A155" s="46"/>
      <c r="B155" s="2" t="s">
        <v>90</v>
      </c>
      <c r="C155" s="3">
        <v>0.2951388888888889</v>
      </c>
      <c r="D155" s="32">
        <v>27</v>
      </c>
      <c r="E155" s="67"/>
      <c r="F155" s="68"/>
      <c r="G155" s="69">
        <f>IFERROR(VLOOKUP($B155,'Dinh muc'!$A$2:$I$40,3,0),0)</f>
        <v>0</v>
      </c>
      <c r="H155" s="70">
        <f t="shared" si="43"/>
        <v>0.15775798069784708</v>
      </c>
      <c r="I155" s="84">
        <f t="shared" si="46"/>
        <v>0</v>
      </c>
      <c r="J155" s="68"/>
      <c r="K155" s="71">
        <f>IFERROR(VLOOKUP($B155,'Dinh muc'!$A$2:$I$40,7,0),0)</f>
        <v>0</v>
      </c>
      <c r="L155" s="71">
        <f t="shared" si="45"/>
        <v>3.8117647058823527</v>
      </c>
      <c r="M155" s="2"/>
      <c r="N155" s="68"/>
      <c r="O155" s="85"/>
      <c r="P155" s="85"/>
      <c r="Q155" s="85"/>
      <c r="R155" s="77"/>
      <c r="S155" s="68"/>
      <c r="T155" s="77"/>
      <c r="U155" s="95"/>
      <c r="V155" s="77"/>
      <c r="W155" s="77"/>
      <c r="X155" s="77"/>
      <c r="Y155" s="86"/>
    </row>
    <row r="156" spans="1:25" x14ac:dyDescent="0.35">
      <c r="A156" s="46"/>
      <c r="B156" s="2" t="s">
        <v>93</v>
      </c>
      <c r="C156" s="3">
        <v>1.3888888888888888E-2</v>
      </c>
      <c r="D156" s="32">
        <v>1</v>
      </c>
      <c r="E156" s="67"/>
      <c r="F156" s="68"/>
      <c r="G156" s="69">
        <f>IFERROR(VLOOKUP($B156,'Dinh muc'!$A$2:$I$40,3,0),0)</f>
        <v>0</v>
      </c>
      <c r="H156" s="70">
        <f t="shared" si="43"/>
        <v>7.4239049740163323E-3</v>
      </c>
      <c r="I156" s="84">
        <f t="shared" si="46"/>
        <v>0</v>
      </c>
      <c r="J156" s="68"/>
      <c r="K156" s="71">
        <f>IFERROR(VLOOKUP($B156,'Dinh muc'!$A$2:$I$40,7,0),0)</f>
        <v>0</v>
      </c>
      <c r="L156" s="71">
        <f t="shared" si="45"/>
        <v>3</v>
      </c>
      <c r="M156" s="2"/>
      <c r="N156" s="68"/>
      <c r="O156" s="85"/>
      <c r="P156" s="85"/>
      <c r="Q156" s="85"/>
      <c r="R156" s="77"/>
      <c r="S156" s="68"/>
      <c r="T156" s="77"/>
      <c r="U156" s="95"/>
      <c r="V156" s="77"/>
      <c r="W156" s="77"/>
      <c r="X156" s="77"/>
      <c r="Y156" s="86"/>
    </row>
    <row r="157" spans="1:25" x14ac:dyDescent="0.35">
      <c r="A157" s="46"/>
      <c r="B157" s="2"/>
      <c r="C157" s="3"/>
      <c r="D157" s="32"/>
      <c r="E157" s="67"/>
      <c r="F157" s="68"/>
      <c r="G157" s="69">
        <f>IFERROR(VLOOKUP($B157,'Dinh muc'!$A$2:$I$40,3,0),0)</f>
        <v>0</v>
      </c>
      <c r="H157" s="70">
        <f t="shared" si="43"/>
        <v>0</v>
      </c>
      <c r="I157" s="84">
        <f t="shared" si="46"/>
        <v>0</v>
      </c>
      <c r="J157" s="68"/>
      <c r="K157" s="71">
        <f>IFERROR(VLOOKUP($B157,'Dinh muc'!$A$2:$I$40,7,0),0)</f>
        <v>0</v>
      </c>
      <c r="L157" s="71">
        <f t="shared" si="45"/>
        <v>0</v>
      </c>
      <c r="M157" s="2"/>
      <c r="N157" s="68"/>
      <c r="O157" s="85"/>
      <c r="P157" s="85"/>
      <c r="Q157" s="85"/>
      <c r="R157" s="77"/>
      <c r="S157" s="68"/>
      <c r="T157" s="77"/>
      <c r="U157" s="95"/>
      <c r="V157" s="77"/>
      <c r="W157" s="77"/>
      <c r="X157" s="77"/>
      <c r="Y157" s="86"/>
    </row>
    <row r="158" spans="1:25" x14ac:dyDescent="0.35">
      <c r="A158" s="46"/>
      <c r="B158" s="2" t="s">
        <v>82</v>
      </c>
      <c r="C158" s="3">
        <v>0.17361111111111113</v>
      </c>
      <c r="D158" s="32"/>
      <c r="E158" s="67"/>
      <c r="F158" s="68"/>
      <c r="G158" s="69">
        <f>IFERROR(VLOOKUP($B158,'Dinh muc'!$A$2:$I$40,3,0),0)</f>
        <v>-20</v>
      </c>
      <c r="H158" s="70">
        <f t="shared" si="43"/>
        <v>9.2798812175204165E-2</v>
      </c>
      <c r="I158" s="84">
        <f t="shared" si="46"/>
        <v>-1.8559762435040832</v>
      </c>
      <c r="J158" s="68"/>
      <c r="K158" s="71">
        <f>IFERROR(VLOOKUP($B158,'Dinh muc'!$A$2:$I$40,7,0),0)</f>
        <v>0</v>
      </c>
      <c r="L158" s="71">
        <f t="shared" si="45"/>
        <v>0</v>
      </c>
      <c r="M158" s="2"/>
      <c r="N158" s="68"/>
      <c r="O158" s="85"/>
      <c r="P158" s="85"/>
      <c r="Q158" s="85"/>
      <c r="R158" s="77"/>
      <c r="S158" s="68"/>
      <c r="T158" s="77"/>
      <c r="U158" s="95"/>
      <c r="V158" s="77"/>
      <c r="W158" s="77"/>
      <c r="X158" s="77"/>
      <c r="Y158" s="86"/>
    </row>
    <row r="159" spans="1:25" x14ac:dyDescent="0.35">
      <c r="A159" s="35"/>
      <c r="B159" s="8"/>
      <c r="C159" s="9"/>
      <c r="D159" s="33"/>
      <c r="E159" s="10"/>
      <c r="F159" s="30"/>
      <c r="G159" s="11"/>
      <c r="H159" s="27"/>
      <c r="I159" s="29">
        <f>SUM(I148:I158)</f>
        <v>1.474016332590943</v>
      </c>
      <c r="J159" s="30"/>
      <c r="K159" s="30">
        <f>AVERAGE(K148:K158)</f>
        <v>1.3409090909090908</v>
      </c>
      <c r="L159" s="30">
        <f>AVERAGE(L148:L158)</f>
        <v>3.2072853105723893</v>
      </c>
      <c r="M159" s="29">
        <f>(L159*8)/K159</f>
        <v>19.134990327482729</v>
      </c>
      <c r="N159" s="30"/>
      <c r="O159" s="30">
        <f>AVERAGE(O148)</f>
        <v>3.5</v>
      </c>
      <c r="P159" s="30">
        <f>AVERAGE(P148)</f>
        <v>8.1751227495908338</v>
      </c>
      <c r="Q159" s="29">
        <f>(O159*8)/P159</f>
        <v>3.4250250250250254</v>
      </c>
      <c r="R159" s="98"/>
      <c r="S159" s="79"/>
      <c r="T159" s="79"/>
      <c r="U159" s="93"/>
      <c r="V159" s="98"/>
      <c r="W159" s="79"/>
      <c r="X159" s="79"/>
      <c r="Y159" s="61"/>
    </row>
    <row r="160" spans="1:25" x14ac:dyDescent="0.35">
      <c r="A160" s="46" t="s">
        <v>32</v>
      </c>
      <c r="B160" s="2" t="s">
        <v>52</v>
      </c>
      <c r="C160" s="3">
        <v>0.57986111111111116</v>
      </c>
      <c r="D160" s="32">
        <v>95</v>
      </c>
      <c r="E160" s="67">
        <v>270</v>
      </c>
      <c r="F160" s="68">
        <v>0.5</v>
      </c>
      <c r="G160" s="69">
        <f>IFERROR(VLOOKUP($B160,'Dinh muc'!$A$2:$I$40,3,0),0)</f>
        <v>8</v>
      </c>
      <c r="H160" s="70">
        <f t="shared" ref="H160:H169" si="47">(C160*24)/(SUM($C$160:$C$169)*24)</f>
        <v>0.23587570621468928</v>
      </c>
      <c r="I160" s="84">
        <f t="shared" ref="I160" si="48">G160*H160</f>
        <v>1.8870056497175143</v>
      </c>
      <c r="J160" s="68">
        <v>0.25</v>
      </c>
      <c r="K160" s="71">
        <f>IFERROR(VLOOKUP($B160,'Dinh muc'!$A$2:$I$40,7,0),0)</f>
        <v>3.25</v>
      </c>
      <c r="L160" s="71">
        <f t="shared" ref="L160:L169" si="49">IFERROR(D160/(C160*24),0)</f>
        <v>6.8263473053892207</v>
      </c>
      <c r="M160" s="2"/>
      <c r="N160" s="68">
        <v>0.25</v>
      </c>
      <c r="O160" s="85">
        <v>3.5</v>
      </c>
      <c r="P160" s="85">
        <f>(SUM(E160:E169)/(SUM(C160:C168)*24))</f>
        <v>4.6418338108882518</v>
      </c>
      <c r="Q160" s="85"/>
      <c r="R160" s="77">
        <f>F160*I170+J160*M170+N160*Q170</f>
        <v>8.8156781918391278</v>
      </c>
      <c r="S160" s="76">
        <v>0.7</v>
      </c>
      <c r="T160" s="69">
        <f>T148</f>
        <v>164835.16483516482</v>
      </c>
      <c r="U160" s="91">
        <f>IFERROR(VLOOKUP(A160,'chi phi XCG'!$A$2:$C$39,3,0),0)</f>
        <v>187362.63736263735</v>
      </c>
      <c r="V160" s="83">
        <f>(T160*8)/U160</f>
        <v>7.0381231671554252</v>
      </c>
      <c r="W160" s="77">
        <v>0.3</v>
      </c>
      <c r="X160" s="78">
        <f>R160*S160+V160*W160</f>
        <v>8.2824116844340168</v>
      </c>
      <c r="Y160" s="47" t="str">
        <f>IF(X160&gt;=10,"A++",IF(X160&gt;=9,"A+",IF(X160&gt;=8,"A",IF(X160&gt;=7,"B","C"))))</f>
        <v>A</v>
      </c>
    </row>
    <row r="161" spans="1:25" x14ac:dyDescent="0.35">
      <c r="A161" s="46"/>
      <c r="B161" s="2" t="s">
        <v>58</v>
      </c>
      <c r="C161" s="3">
        <v>1.6284722222222223</v>
      </c>
      <c r="D161" s="32">
        <v>164</v>
      </c>
      <c r="E161" s="67"/>
      <c r="F161" s="68"/>
      <c r="G161" s="69">
        <f>IFERROR(VLOOKUP($B161,'Dinh muc'!$A$2:$I$40,3,0),0)</f>
        <v>9</v>
      </c>
      <c r="H161" s="70">
        <f t="shared" si="47"/>
        <v>0.66242937853107353</v>
      </c>
      <c r="I161" s="84">
        <f t="shared" ref="I161:I169" si="50">G161*H161</f>
        <v>5.9618644067796618</v>
      </c>
      <c r="J161" s="68"/>
      <c r="K161" s="71">
        <f>IFERROR(VLOOKUP($B161,'Dinh muc'!$A$2:$I$40,7,0),0)</f>
        <v>3.25</v>
      </c>
      <c r="L161" s="71">
        <f t="shared" si="49"/>
        <v>4.1961620469083156</v>
      </c>
      <c r="M161" s="2"/>
      <c r="N161" s="68"/>
      <c r="O161" s="85"/>
      <c r="P161" s="85"/>
      <c r="Q161" s="85"/>
      <c r="R161" s="77"/>
      <c r="S161" s="68"/>
      <c r="T161" s="77"/>
      <c r="U161" s="95"/>
      <c r="V161" s="77"/>
      <c r="W161" s="77"/>
      <c r="X161" s="77"/>
      <c r="Y161" s="47"/>
    </row>
    <row r="162" spans="1:25" x14ac:dyDescent="0.35">
      <c r="A162" s="46"/>
      <c r="B162" s="2" t="s">
        <v>60</v>
      </c>
      <c r="C162" s="3">
        <v>0.21527777777777779</v>
      </c>
      <c r="D162" s="32">
        <v>23</v>
      </c>
      <c r="E162" s="67"/>
      <c r="F162" s="68"/>
      <c r="G162" s="69">
        <f>IFERROR(VLOOKUP($B162,'Dinh muc'!$A$2:$I$40,3,0),0)</f>
        <v>8</v>
      </c>
      <c r="H162" s="70">
        <f t="shared" si="47"/>
        <v>8.7570621468926566E-2</v>
      </c>
      <c r="I162" s="84">
        <f t="shared" si="50"/>
        <v>0.70056497175141252</v>
      </c>
      <c r="J162" s="68"/>
      <c r="K162" s="71">
        <f>IFERROR(VLOOKUP($B162,'Dinh muc'!$A$2:$I$40,7,0),0)</f>
        <v>3.25</v>
      </c>
      <c r="L162" s="71">
        <f t="shared" si="49"/>
        <v>4.4516129032258061</v>
      </c>
      <c r="M162" s="2"/>
      <c r="N162" s="68"/>
      <c r="O162" s="85"/>
      <c r="P162" s="85"/>
      <c r="Q162" s="85"/>
      <c r="R162" s="77"/>
      <c r="S162" s="68"/>
      <c r="T162" s="77"/>
      <c r="U162" s="95"/>
      <c r="V162" s="77"/>
      <c r="W162" s="77"/>
      <c r="X162" s="77"/>
      <c r="Y162" s="47"/>
    </row>
    <row r="163" spans="1:25" x14ac:dyDescent="0.35">
      <c r="A163" s="46"/>
      <c r="B163" s="2"/>
      <c r="C163" s="3"/>
      <c r="D163" s="32"/>
      <c r="E163" s="67"/>
      <c r="F163" s="68"/>
      <c r="G163" s="69">
        <f>IFERROR(VLOOKUP($B163,'Dinh muc'!$A$2:$I$40,3,0),0)</f>
        <v>0</v>
      </c>
      <c r="H163" s="70">
        <f t="shared" si="47"/>
        <v>0</v>
      </c>
      <c r="I163" s="84">
        <f t="shared" si="50"/>
        <v>0</v>
      </c>
      <c r="J163" s="68"/>
      <c r="K163" s="71">
        <f>IFERROR(VLOOKUP($B163,'Dinh muc'!$A$2:$I$40,7,0),0)</f>
        <v>0</v>
      </c>
      <c r="L163" s="71">
        <f t="shared" si="49"/>
        <v>0</v>
      </c>
      <c r="M163" s="2"/>
      <c r="N163" s="68"/>
      <c r="O163" s="85"/>
      <c r="P163" s="85"/>
      <c r="Q163" s="85"/>
      <c r="R163" s="77"/>
      <c r="S163" s="68"/>
      <c r="T163" s="77"/>
      <c r="U163" s="95"/>
      <c r="V163" s="77"/>
      <c r="W163" s="77"/>
      <c r="X163" s="77"/>
      <c r="Y163" s="47"/>
    </row>
    <row r="164" spans="1:25" x14ac:dyDescent="0.35">
      <c r="A164" s="46"/>
      <c r="B164" s="2"/>
      <c r="C164" s="3"/>
      <c r="D164" s="32"/>
      <c r="E164" s="67"/>
      <c r="F164" s="68"/>
      <c r="G164" s="69">
        <f>IFERROR(VLOOKUP($B164,'Dinh muc'!$A$2:$I$40,3,0),0)</f>
        <v>0</v>
      </c>
      <c r="H164" s="70">
        <f t="shared" si="47"/>
        <v>0</v>
      </c>
      <c r="I164" s="84">
        <f t="shared" si="50"/>
        <v>0</v>
      </c>
      <c r="J164" s="68"/>
      <c r="K164" s="71">
        <f>IFERROR(VLOOKUP($B164,'Dinh muc'!$A$2:$I$40,7,0),0)</f>
        <v>0</v>
      </c>
      <c r="L164" s="71">
        <f t="shared" si="49"/>
        <v>0</v>
      </c>
      <c r="M164" s="2"/>
      <c r="N164" s="68"/>
      <c r="O164" s="85"/>
      <c r="P164" s="85"/>
      <c r="Q164" s="85"/>
      <c r="R164" s="77"/>
      <c r="S164" s="68"/>
      <c r="T164" s="77"/>
      <c r="U164" s="95"/>
      <c r="V164" s="77"/>
      <c r="W164" s="77"/>
      <c r="X164" s="77"/>
      <c r="Y164" s="47"/>
    </row>
    <row r="165" spans="1:25" x14ac:dyDescent="0.35">
      <c r="A165" s="46"/>
      <c r="B165" s="2"/>
      <c r="C165" s="3"/>
      <c r="D165" s="32"/>
      <c r="E165" s="67"/>
      <c r="F165" s="68"/>
      <c r="G165" s="69">
        <f>IFERROR(VLOOKUP($B165,'Dinh muc'!$A$2:$I$40,3,0),0)</f>
        <v>0</v>
      </c>
      <c r="H165" s="70">
        <f t="shared" si="47"/>
        <v>0</v>
      </c>
      <c r="I165" s="84">
        <f t="shared" si="50"/>
        <v>0</v>
      </c>
      <c r="J165" s="68"/>
      <c r="K165" s="71">
        <f>IFERROR(VLOOKUP($B165,'Dinh muc'!$A$2:$I$40,7,0),0)</f>
        <v>0</v>
      </c>
      <c r="L165" s="71">
        <f t="shared" si="49"/>
        <v>0</v>
      </c>
      <c r="M165" s="2"/>
      <c r="N165" s="68"/>
      <c r="O165" s="85"/>
      <c r="P165" s="85"/>
      <c r="Q165" s="85"/>
      <c r="R165" s="77"/>
      <c r="S165" s="68"/>
      <c r="T165" s="77"/>
      <c r="U165" s="95"/>
      <c r="V165" s="77"/>
      <c r="W165" s="77"/>
      <c r="X165" s="77"/>
      <c r="Y165" s="47"/>
    </row>
    <row r="166" spans="1:25" x14ac:dyDescent="0.35">
      <c r="A166" s="46"/>
      <c r="B166" s="2"/>
      <c r="C166" s="3"/>
      <c r="D166" s="32"/>
      <c r="E166" s="67"/>
      <c r="F166" s="68"/>
      <c r="G166" s="69">
        <f>IFERROR(VLOOKUP($B166,'Dinh muc'!$A$2:$I$40,3,0),0)</f>
        <v>0</v>
      </c>
      <c r="H166" s="70">
        <f t="shared" si="47"/>
        <v>0</v>
      </c>
      <c r="I166" s="84">
        <f t="shared" si="50"/>
        <v>0</v>
      </c>
      <c r="J166" s="68"/>
      <c r="K166" s="71">
        <f>IFERROR(VLOOKUP($B166,'Dinh muc'!$A$2:$I$40,7,0),0)</f>
        <v>0</v>
      </c>
      <c r="L166" s="71">
        <f t="shared" si="49"/>
        <v>0</v>
      </c>
      <c r="M166" s="2"/>
      <c r="N166" s="68"/>
      <c r="O166" s="85"/>
      <c r="P166" s="85"/>
      <c r="Q166" s="85"/>
      <c r="R166" s="77"/>
      <c r="S166" s="68"/>
      <c r="T166" s="77"/>
      <c r="U166" s="95"/>
      <c r="V166" s="77"/>
      <c r="W166" s="77"/>
      <c r="X166" s="77"/>
      <c r="Y166" s="47"/>
    </row>
    <row r="167" spans="1:25" x14ac:dyDescent="0.35">
      <c r="A167" s="46"/>
      <c r="B167" s="2"/>
      <c r="C167" s="3"/>
      <c r="D167" s="32"/>
      <c r="E167" s="67"/>
      <c r="F167" s="68"/>
      <c r="G167" s="69">
        <f>IFERROR(VLOOKUP($B167,'Dinh muc'!$A$2:$I$40,3,0),0)</f>
        <v>0</v>
      </c>
      <c r="H167" s="70">
        <f t="shared" si="47"/>
        <v>0</v>
      </c>
      <c r="I167" s="84">
        <f t="shared" si="50"/>
        <v>0</v>
      </c>
      <c r="J167" s="68"/>
      <c r="K167" s="71">
        <f>IFERROR(VLOOKUP($B167,'Dinh muc'!$A$2:$I$40,7,0),0)</f>
        <v>0</v>
      </c>
      <c r="L167" s="71">
        <f t="shared" si="49"/>
        <v>0</v>
      </c>
      <c r="M167" s="2"/>
      <c r="N167" s="68"/>
      <c r="O167" s="85"/>
      <c r="P167" s="85"/>
      <c r="Q167" s="85"/>
      <c r="R167" s="77"/>
      <c r="S167" s="68"/>
      <c r="T167" s="77"/>
      <c r="U167" s="95"/>
      <c r="V167" s="77"/>
      <c r="W167" s="77"/>
      <c r="X167" s="77"/>
      <c r="Y167" s="47"/>
    </row>
    <row r="168" spans="1:25" x14ac:dyDescent="0.35">
      <c r="A168" s="46"/>
      <c r="B168" s="2"/>
      <c r="C168" s="3"/>
      <c r="D168" s="32"/>
      <c r="E168" s="67"/>
      <c r="F168" s="68"/>
      <c r="G168" s="69">
        <f>IFERROR(VLOOKUP($B168,'Dinh muc'!$A$2:$I$40,3,0),0)</f>
        <v>0</v>
      </c>
      <c r="H168" s="70">
        <f t="shared" si="47"/>
        <v>0</v>
      </c>
      <c r="I168" s="84">
        <f t="shared" si="50"/>
        <v>0</v>
      </c>
      <c r="J168" s="68"/>
      <c r="K168" s="71">
        <f>IFERROR(VLOOKUP($B168,'Dinh muc'!$A$2:$I$40,7,0),0)</f>
        <v>0</v>
      </c>
      <c r="L168" s="71">
        <f t="shared" si="49"/>
        <v>0</v>
      </c>
      <c r="M168" s="2"/>
      <c r="N168" s="68"/>
      <c r="O168" s="85"/>
      <c r="P168" s="85"/>
      <c r="Q168" s="85"/>
      <c r="R168" s="77"/>
      <c r="S168" s="68"/>
      <c r="T168" s="77"/>
      <c r="U168" s="95"/>
      <c r="V168" s="77"/>
      <c r="W168" s="77"/>
      <c r="X168" s="77"/>
      <c r="Y168" s="47"/>
    </row>
    <row r="169" spans="1:25" x14ac:dyDescent="0.35">
      <c r="A169" s="46"/>
      <c r="B169" s="2" t="s">
        <v>82</v>
      </c>
      <c r="C169" s="3">
        <v>3.4722222222222224E-2</v>
      </c>
      <c r="D169" s="32"/>
      <c r="E169" s="67"/>
      <c r="F169" s="68"/>
      <c r="G169" s="69">
        <f>IFERROR(VLOOKUP($B169,'Dinh muc'!$A$2:$I$40,3,0),0)</f>
        <v>-20</v>
      </c>
      <c r="H169" s="70">
        <f t="shared" si="47"/>
        <v>1.4124293785310734E-2</v>
      </c>
      <c r="I169" s="84">
        <f t="shared" si="50"/>
        <v>-0.2824858757062147</v>
      </c>
      <c r="J169" s="68"/>
      <c r="K169" s="71">
        <f>IFERROR(VLOOKUP($B169,'Dinh muc'!$A$2:$I$40,7,0),0)</f>
        <v>0</v>
      </c>
      <c r="L169" s="71">
        <f t="shared" si="49"/>
        <v>0</v>
      </c>
      <c r="M169" s="2"/>
      <c r="N169" s="68"/>
      <c r="O169" s="85"/>
      <c r="P169" s="85"/>
      <c r="Q169" s="85"/>
      <c r="R169" s="77"/>
      <c r="S169" s="68"/>
      <c r="T169" s="77"/>
      <c r="U169" s="95"/>
      <c r="V169" s="77"/>
      <c r="W169" s="77"/>
      <c r="X169" s="77"/>
      <c r="Y169" s="47"/>
    </row>
    <row r="170" spans="1:25" x14ac:dyDescent="0.35">
      <c r="A170" s="35"/>
      <c r="B170" s="8"/>
      <c r="C170" s="9"/>
      <c r="D170" s="33"/>
      <c r="E170" s="10"/>
      <c r="F170" s="30"/>
      <c r="G170" s="11"/>
      <c r="H170" s="27"/>
      <c r="I170" s="29">
        <f>SUM(I160:I169)</f>
        <v>8.2669491525423737</v>
      </c>
      <c r="J170" s="30"/>
      <c r="K170" s="30">
        <f>AVERAGE(K160:K169)</f>
        <v>0.97499999999999998</v>
      </c>
      <c r="L170" s="30">
        <f>AVERAGE(L160:L169)</f>
        <v>1.5474122255523342</v>
      </c>
      <c r="M170" s="29">
        <f>(L170*8)/K170</f>
        <v>12.696715696839664</v>
      </c>
      <c r="N170" s="30"/>
      <c r="O170" s="30">
        <f>AVERAGE(O160)</f>
        <v>3.5</v>
      </c>
      <c r="P170" s="30">
        <f>AVERAGE(P160)</f>
        <v>4.6418338108882518</v>
      </c>
      <c r="Q170" s="29">
        <f>(O170*8)/P170</f>
        <v>6.0320987654320994</v>
      </c>
      <c r="R170" s="98"/>
      <c r="S170" s="79"/>
      <c r="T170" s="79"/>
      <c r="U170" s="93"/>
      <c r="V170" s="98"/>
      <c r="W170" s="79"/>
      <c r="X170" s="79"/>
      <c r="Y170" s="61"/>
    </row>
    <row r="171" spans="1:25" x14ac:dyDescent="0.35">
      <c r="A171" s="46" t="s">
        <v>33</v>
      </c>
      <c r="B171" s="2" t="s">
        <v>52</v>
      </c>
      <c r="C171" s="3">
        <v>1.03125</v>
      </c>
      <c r="D171" s="32">
        <v>127</v>
      </c>
      <c r="E171" s="67">
        <v>224</v>
      </c>
      <c r="F171" s="68">
        <v>0.5</v>
      </c>
      <c r="G171" s="69">
        <f>IFERROR(VLOOKUP($B171,'Dinh muc'!$A$2:$I$40,3,0),0)</f>
        <v>8</v>
      </c>
      <c r="H171" s="70">
        <f t="shared" ref="H171:H180" si="51">(C171*24)/(SUM($C$171:$C$180)*24)</f>
        <v>0.59519038076152309</v>
      </c>
      <c r="I171" s="84">
        <f t="shared" ref="I171:I180" si="52">G171*H171</f>
        <v>4.7615230460921847</v>
      </c>
      <c r="J171" s="68">
        <v>0.25</v>
      </c>
      <c r="K171" s="71">
        <f>IFERROR(VLOOKUP($B171,'Dinh muc'!$A$2:$I$40,7,0),0)</f>
        <v>3.25</v>
      </c>
      <c r="L171" s="71">
        <f t="shared" ref="L171:L180" si="53">IFERROR(D171/(C171*24),0)</f>
        <v>5.1313131313131315</v>
      </c>
      <c r="M171" s="2"/>
      <c r="N171" s="68">
        <v>0.25</v>
      </c>
      <c r="O171" s="85">
        <v>3.5</v>
      </c>
      <c r="P171" s="85">
        <f>(SUM(E171:E180)/(SUM(C171:C179)*24))</f>
        <v>5.4523326572008113</v>
      </c>
      <c r="Q171" s="85"/>
      <c r="R171" s="77">
        <f>F171*I181+J171*M181+N171*Q181</f>
        <v>8.1814267965984087</v>
      </c>
      <c r="S171" s="76">
        <v>0.7</v>
      </c>
      <c r="T171" s="69">
        <f>T160</f>
        <v>164835.16483516482</v>
      </c>
      <c r="U171" s="91">
        <f>IFERROR(VLOOKUP(A171,'chi phi XCG'!$A$2:$C$39,3,0),0)</f>
        <v>181318.68131868137</v>
      </c>
      <c r="V171" s="83">
        <f>(T171*8)/U171</f>
        <v>7.2727272727272698</v>
      </c>
      <c r="W171" s="77">
        <v>0.3</v>
      </c>
      <c r="X171" s="78">
        <f>R171*S171+V171*W171</f>
        <v>7.9088169394370667</v>
      </c>
      <c r="Y171" s="47" t="str">
        <f>IF(X171&gt;=10,"A++",IF(X171&gt;=9,"A+",IF(X171&gt;=8,"A",IF(X171&gt;=7,"B","C"))))</f>
        <v>B</v>
      </c>
    </row>
    <row r="172" spans="1:25" x14ac:dyDescent="0.35">
      <c r="A172" s="46"/>
      <c r="B172" s="2" t="s">
        <v>58</v>
      </c>
      <c r="C172" s="3">
        <v>0.40972222222222221</v>
      </c>
      <c r="D172" s="32">
        <v>50</v>
      </c>
      <c r="E172" s="67"/>
      <c r="F172" s="68"/>
      <c r="G172" s="69">
        <f>IFERROR(VLOOKUP($B172,'Dinh muc'!$A$2:$I$40,3,0),0)</f>
        <v>9</v>
      </c>
      <c r="H172" s="70">
        <f t="shared" si="51"/>
        <v>0.23647294589178355</v>
      </c>
      <c r="I172" s="84">
        <f t="shared" si="52"/>
        <v>2.1282565130260518</v>
      </c>
      <c r="J172" s="68"/>
      <c r="K172" s="71">
        <f>IFERROR(VLOOKUP($B172,'Dinh muc'!$A$2:$I$40,7,0),0)</f>
        <v>3.25</v>
      </c>
      <c r="L172" s="71">
        <f t="shared" si="53"/>
        <v>5.0847457627118651</v>
      </c>
      <c r="M172" s="2"/>
      <c r="N172" s="68"/>
      <c r="O172" s="85"/>
      <c r="P172" s="85"/>
      <c r="Q172" s="85"/>
      <c r="R172" s="77"/>
      <c r="S172" s="68"/>
      <c r="T172" s="77"/>
      <c r="U172" s="95"/>
      <c r="V172" s="77"/>
      <c r="W172" s="77"/>
      <c r="X172" s="77"/>
      <c r="Y172" s="47"/>
    </row>
    <row r="173" spans="1:25" x14ac:dyDescent="0.35">
      <c r="A173" s="46"/>
      <c r="B173" s="2" t="s">
        <v>60</v>
      </c>
      <c r="C173" s="3">
        <v>0.27083333333333331</v>
      </c>
      <c r="D173" s="32">
        <v>27</v>
      </c>
      <c r="E173" s="67"/>
      <c r="F173" s="68"/>
      <c r="G173" s="69">
        <f>IFERROR(VLOOKUP($B173,'Dinh muc'!$A$2:$I$40,3,0),0)</f>
        <v>8</v>
      </c>
      <c r="H173" s="70">
        <f t="shared" si="51"/>
        <v>0.15631262525050102</v>
      </c>
      <c r="I173" s="84">
        <f t="shared" si="52"/>
        <v>1.2505010020040082</v>
      </c>
      <c r="J173" s="68"/>
      <c r="K173" s="71">
        <f>IFERROR(VLOOKUP($B173,'Dinh muc'!$A$2:$I$40,7,0),0)</f>
        <v>3.25</v>
      </c>
      <c r="L173" s="71">
        <f t="shared" si="53"/>
        <v>4.1538461538461542</v>
      </c>
      <c r="M173" s="2"/>
      <c r="N173" s="68"/>
      <c r="O173" s="85"/>
      <c r="P173" s="85"/>
      <c r="Q173" s="85"/>
      <c r="R173" s="77"/>
      <c r="S173" s="68"/>
      <c r="T173" s="77"/>
      <c r="U173" s="95"/>
      <c r="V173" s="77"/>
      <c r="W173" s="77"/>
      <c r="X173" s="77"/>
      <c r="Y173" s="47"/>
    </row>
    <row r="174" spans="1:25" x14ac:dyDescent="0.35">
      <c r="A174" s="46"/>
      <c r="B174" s="2"/>
      <c r="C174" s="3"/>
      <c r="D174" s="32"/>
      <c r="E174" s="67"/>
      <c r="F174" s="68"/>
      <c r="G174" s="69">
        <f>IFERROR(VLOOKUP($B174,'Dinh muc'!$A$2:$I$40,3,0),0)</f>
        <v>0</v>
      </c>
      <c r="H174" s="70">
        <f t="shared" si="51"/>
        <v>0</v>
      </c>
      <c r="I174" s="84">
        <f t="shared" si="52"/>
        <v>0</v>
      </c>
      <c r="J174" s="68"/>
      <c r="K174" s="71">
        <f>IFERROR(VLOOKUP($B174,'Dinh muc'!$A$2:$I$40,7,0),0)</f>
        <v>0</v>
      </c>
      <c r="L174" s="71">
        <f t="shared" si="53"/>
        <v>0</v>
      </c>
      <c r="M174" s="2"/>
      <c r="N174" s="68"/>
      <c r="O174" s="85"/>
      <c r="P174" s="85"/>
      <c r="Q174" s="85"/>
      <c r="R174" s="77"/>
      <c r="S174" s="68"/>
      <c r="T174" s="77"/>
      <c r="U174" s="95"/>
      <c r="V174" s="77"/>
      <c r="W174" s="77"/>
      <c r="X174" s="77"/>
      <c r="Y174" s="47"/>
    </row>
    <row r="175" spans="1:25" x14ac:dyDescent="0.35">
      <c r="A175" s="46"/>
      <c r="B175" s="2"/>
      <c r="C175" s="3"/>
      <c r="D175" s="32"/>
      <c r="E175" s="67"/>
      <c r="F175" s="68"/>
      <c r="G175" s="69">
        <f>IFERROR(VLOOKUP($B175,'Dinh muc'!$A$2:$I$40,3,0),0)</f>
        <v>0</v>
      </c>
      <c r="H175" s="70">
        <f t="shared" si="51"/>
        <v>0</v>
      </c>
      <c r="I175" s="84">
        <f t="shared" si="52"/>
        <v>0</v>
      </c>
      <c r="J175" s="68"/>
      <c r="K175" s="71">
        <f>IFERROR(VLOOKUP($B175,'Dinh muc'!$A$2:$I$40,7,0),0)</f>
        <v>0</v>
      </c>
      <c r="L175" s="71">
        <f t="shared" si="53"/>
        <v>0</v>
      </c>
      <c r="M175" s="2"/>
      <c r="N175" s="68"/>
      <c r="O175" s="85"/>
      <c r="P175" s="85"/>
      <c r="Q175" s="85"/>
      <c r="R175" s="77"/>
      <c r="S175" s="68"/>
      <c r="T175" s="77"/>
      <c r="U175" s="95"/>
      <c r="V175" s="77"/>
      <c r="W175" s="77"/>
      <c r="X175" s="77"/>
      <c r="Y175" s="47"/>
    </row>
    <row r="176" spans="1:25" x14ac:dyDescent="0.35">
      <c r="A176" s="46"/>
      <c r="B176" s="2"/>
      <c r="C176" s="3"/>
      <c r="D176" s="32"/>
      <c r="E176" s="67"/>
      <c r="F176" s="68"/>
      <c r="G176" s="69">
        <f>IFERROR(VLOOKUP($B176,'Dinh muc'!$A$2:$I$40,3,0),0)</f>
        <v>0</v>
      </c>
      <c r="H176" s="70">
        <f t="shared" si="51"/>
        <v>0</v>
      </c>
      <c r="I176" s="84">
        <f t="shared" si="52"/>
        <v>0</v>
      </c>
      <c r="J176" s="68"/>
      <c r="K176" s="71">
        <f>IFERROR(VLOOKUP($B176,'Dinh muc'!$A$2:$I$40,7,0),0)</f>
        <v>0</v>
      </c>
      <c r="L176" s="71">
        <f t="shared" si="53"/>
        <v>0</v>
      </c>
      <c r="M176" s="2"/>
      <c r="N176" s="68"/>
      <c r="O176" s="85"/>
      <c r="P176" s="85"/>
      <c r="Q176" s="85"/>
      <c r="R176" s="77"/>
      <c r="S176" s="68"/>
      <c r="T176" s="77"/>
      <c r="U176" s="95"/>
      <c r="V176" s="77"/>
      <c r="W176" s="77"/>
      <c r="X176" s="77"/>
      <c r="Y176" s="47"/>
    </row>
    <row r="177" spans="1:25" x14ac:dyDescent="0.35">
      <c r="A177" s="46"/>
      <c r="B177" s="2"/>
      <c r="C177" s="3"/>
      <c r="D177" s="32"/>
      <c r="E177" s="67"/>
      <c r="F177" s="68"/>
      <c r="G177" s="69">
        <f>IFERROR(VLOOKUP($B177,'Dinh muc'!$A$2:$I$40,3,0),0)</f>
        <v>0</v>
      </c>
      <c r="H177" s="70">
        <f t="shared" si="51"/>
        <v>0</v>
      </c>
      <c r="I177" s="84">
        <f t="shared" si="52"/>
        <v>0</v>
      </c>
      <c r="J177" s="68"/>
      <c r="K177" s="71">
        <f>IFERROR(VLOOKUP($B177,'Dinh muc'!$A$2:$I$40,7,0),0)</f>
        <v>0</v>
      </c>
      <c r="L177" s="71">
        <f t="shared" si="53"/>
        <v>0</v>
      </c>
      <c r="M177" s="2"/>
      <c r="N177" s="68"/>
      <c r="O177" s="85"/>
      <c r="P177" s="85"/>
      <c r="Q177" s="85"/>
      <c r="R177" s="77"/>
      <c r="S177" s="68"/>
      <c r="T177" s="77"/>
      <c r="U177" s="95"/>
      <c r="V177" s="77"/>
      <c r="W177" s="77"/>
      <c r="X177" s="77"/>
      <c r="Y177" s="47"/>
    </row>
    <row r="178" spans="1:25" x14ac:dyDescent="0.35">
      <c r="A178" s="46"/>
      <c r="B178" s="2"/>
      <c r="C178" s="3"/>
      <c r="D178" s="32"/>
      <c r="E178" s="67"/>
      <c r="F178" s="68"/>
      <c r="G178" s="69">
        <f>IFERROR(VLOOKUP($B178,'Dinh muc'!$A$2:$I$40,3,0),0)</f>
        <v>0</v>
      </c>
      <c r="H178" s="70">
        <f t="shared" si="51"/>
        <v>0</v>
      </c>
      <c r="I178" s="84">
        <f t="shared" si="52"/>
        <v>0</v>
      </c>
      <c r="J178" s="68"/>
      <c r="K178" s="71">
        <f>IFERROR(VLOOKUP($B178,'Dinh muc'!$A$2:$I$40,7,0),0)</f>
        <v>0</v>
      </c>
      <c r="L178" s="71">
        <f t="shared" si="53"/>
        <v>0</v>
      </c>
      <c r="M178" s="2"/>
      <c r="N178" s="68"/>
      <c r="O178" s="85"/>
      <c r="P178" s="85"/>
      <c r="Q178" s="85"/>
      <c r="R178" s="77"/>
      <c r="S178" s="68"/>
      <c r="T178" s="77"/>
      <c r="U178" s="95"/>
      <c r="V178" s="77"/>
      <c r="W178" s="77"/>
      <c r="X178" s="77"/>
      <c r="Y178" s="47"/>
    </row>
    <row r="179" spans="1:25" x14ac:dyDescent="0.35">
      <c r="A179" s="46"/>
      <c r="B179" s="2"/>
      <c r="C179" s="3"/>
      <c r="D179" s="32"/>
      <c r="E179" s="67"/>
      <c r="F179" s="68"/>
      <c r="G179" s="69">
        <f>IFERROR(VLOOKUP($B179,'Dinh muc'!$A$2:$I$40,3,0),0)</f>
        <v>0</v>
      </c>
      <c r="H179" s="70">
        <f t="shared" si="51"/>
        <v>0</v>
      </c>
      <c r="I179" s="84">
        <f t="shared" si="52"/>
        <v>0</v>
      </c>
      <c r="J179" s="68"/>
      <c r="K179" s="71">
        <f>IFERROR(VLOOKUP($B179,'Dinh muc'!$A$2:$I$40,7,0),0)</f>
        <v>0</v>
      </c>
      <c r="L179" s="71">
        <f t="shared" si="53"/>
        <v>0</v>
      </c>
      <c r="M179" s="2"/>
      <c r="N179" s="68"/>
      <c r="O179" s="85"/>
      <c r="P179" s="85"/>
      <c r="Q179" s="85"/>
      <c r="R179" s="77"/>
      <c r="S179" s="68"/>
      <c r="T179" s="77"/>
      <c r="U179" s="95"/>
      <c r="V179" s="77"/>
      <c r="W179" s="77"/>
      <c r="X179" s="77"/>
      <c r="Y179" s="47"/>
    </row>
    <row r="180" spans="1:25" x14ac:dyDescent="0.35">
      <c r="A180" s="46"/>
      <c r="B180" s="2" t="s">
        <v>82</v>
      </c>
      <c r="C180" s="3">
        <v>2.0833333333333332E-2</v>
      </c>
      <c r="D180" s="32"/>
      <c r="E180" s="67"/>
      <c r="F180" s="68"/>
      <c r="G180" s="69">
        <f>IFERROR(VLOOKUP($B180,'Dinh muc'!$A$2:$I$40,3,0),0)</f>
        <v>-20</v>
      </c>
      <c r="H180" s="70">
        <f t="shared" si="51"/>
        <v>1.2024048096192386E-2</v>
      </c>
      <c r="I180" s="84">
        <f t="shared" si="52"/>
        <v>-0.24048096192384771</v>
      </c>
      <c r="J180" s="68"/>
      <c r="K180" s="71">
        <f>IFERROR(VLOOKUP($B180,'Dinh muc'!$A$2:$I$40,7,0),0)</f>
        <v>0</v>
      </c>
      <c r="L180" s="71">
        <f t="shared" si="53"/>
        <v>0</v>
      </c>
      <c r="M180" s="2"/>
      <c r="N180" s="68"/>
      <c r="O180" s="85"/>
      <c r="P180" s="85"/>
      <c r="Q180" s="85"/>
      <c r="R180" s="77"/>
      <c r="S180" s="68"/>
      <c r="T180" s="77"/>
      <c r="U180" s="95"/>
      <c r="V180" s="77"/>
      <c r="W180" s="77"/>
      <c r="X180" s="77"/>
      <c r="Y180" s="47"/>
    </row>
    <row r="181" spans="1:25" x14ac:dyDescent="0.35">
      <c r="A181" s="35"/>
      <c r="B181" s="8"/>
      <c r="C181" s="9"/>
      <c r="D181" s="33"/>
      <c r="E181" s="10"/>
      <c r="F181" s="30"/>
      <c r="G181" s="11"/>
      <c r="H181" s="27"/>
      <c r="I181" s="29">
        <f>SUM(I171:I180)</f>
        <v>7.8997995991983965</v>
      </c>
      <c r="J181" s="30"/>
      <c r="K181" s="30">
        <f>AVERAGE(K171:K180)</f>
        <v>0.97499999999999998</v>
      </c>
      <c r="L181" s="30">
        <f>AVERAGE(L171:L180)</f>
        <v>1.436990504787115</v>
      </c>
      <c r="M181" s="29">
        <f>(L181*8)/K181</f>
        <v>11.790691321330174</v>
      </c>
      <c r="N181" s="30"/>
      <c r="O181" s="30">
        <f>AVERAGE(O171:O180)</f>
        <v>3.5</v>
      </c>
      <c r="P181" s="30">
        <f>AVERAGE(P171:P180)</f>
        <v>5.4523326572008113</v>
      </c>
      <c r="Q181" s="29">
        <f>(O181*8)/P181</f>
        <v>5.135416666666667</v>
      </c>
      <c r="R181" s="98"/>
      <c r="S181" s="79"/>
      <c r="T181" s="79"/>
      <c r="U181" s="93"/>
      <c r="V181" s="98"/>
      <c r="W181" s="79"/>
      <c r="X181" s="79"/>
      <c r="Y181" s="61"/>
    </row>
    <row r="182" spans="1:25" x14ac:dyDescent="0.35">
      <c r="A182" s="46" t="s">
        <v>34</v>
      </c>
      <c r="B182" s="2" t="s">
        <v>18</v>
      </c>
      <c r="C182" s="3">
        <v>5.2083333333333329E-2</v>
      </c>
      <c r="D182" s="32">
        <v>5</v>
      </c>
      <c r="E182" s="67">
        <v>60</v>
      </c>
      <c r="F182" s="68">
        <v>0.5</v>
      </c>
      <c r="G182" s="69">
        <f>IFERROR(VLOOKUP($B182,'Dinh muc'!$A$2:$I$40,3,0),0)</f>
        <v>7</v>
      </c>
      <c r="H182" s="70">
        <f t="shared" ref="H182:H191" si="54">(C182*24)/(SUM($C$182:$C$191)*24)</f>
        <v>2.8957528957528959E-2</v>
      </c>
      <c r="I182" s="84">
        <f t="shared" ref="I182:I190" si="55">G182*H182</f>
        <v>0.20270270270270271</v>
      </c>
      <c r="J182" s="68">
        <v>0.25</v>
      </c>
      <c r="K182" s="71">
        <f>IFERROR(VLOOKUP($B182,'Dinh muc'!$A$2:$I$40,7,0),0)</f>
        <v>4.125</v>
      </c>
      <c r="L182" s="71">
        <f t="shared" ref="L182:L191" si="56">IFERROR(D182/(C182*24),0)</f>
        <v>4</v>
      </c>
      <c r="M182" s="2"/>
      <c r="N182" s="68">
        <v>0.25</v>
      </c>
      <c r="O182" s="85">
        <v>1.9389105058365754</v>
      </c>
      <c r="P182" s="85">
        <f>(SUM(E182:E191)/(SUM(C182:C190)*24))</f>
        <v>1.3899613899613901</v>
      </c>
      <c r="Q182" s="85"/>
      <c r="R182" s="77">
        <f>F182*I192+J182*M192+N182*Q192</f>
        <v>7.8350797921497968</v>
      </c>
      <c r="S182" s="76">
        <v>0.7</v>
      </c>
      <c r="T182" s="69">
        <f>T171/2</f>
        <v>82417.582417582409</v>
      </c>
      <c r="U182" s="91">
        <f>IFERROR(VLOOKUP(A182,'chi phi XCG'!$A$2:$C$39,3,0),0)</f>
        <v>93271.962403846148</v>
      </c>
      <c r="V182" s="83">
        <f>(T182*8)/U182</f>
        <v>7.0690124057416721</v>
      </c>
      <c r="W182" s="77">
        <v>0.3</v>
      </c>
      <c r="X182" s="78">
        <f>R182*S182+V182*W182</f>
        <v>7.6052595762273594</v>
      </c>
      <c r="Y182" s="47" t="str">
        <f>IF(X182&gt;=10,"A++",IF(X182&gt;=9,"A+",IF(X182&gt;=8,"A",IF(X182&gt;=7,"B","C"))))</f>
        <v>B</v>
      </c>
    </row>
    <row r="183" spans="1:25" x14ac:dyDescent="0.35">
      <c r="A183" s="46"/>
      <c r="B183" s="2" t="s">
        <v>46</v>
      </c>
      <c r="C183" s="3">
        <v>1.7465277777777777</v>
      </c>
      <c r="D183" s="32">
        <v>225</v>
      </c>
      <c r="E183" s="67"/>
      <c r="F183" s="68"/>
      <c r="G183" s="69">
        <f>IFERROR(VLOOKUP($B183,'Dinh muc'!$A$2:$I$40,3,0),0)</f>
        <v>7</v>
      </c>
      <c r="H183" s="70">
        <f t="shared" si="54"/>
        <v>0.97104247104247099</v>
      </c>
      <c r="I183" s="84">
        <f t="shared" si="55"/>
        <v>6.7972972972972965</v>
      </c>
      <c r="J183" s="68"/>
      <c r="K183" s="71">
        <f>IFERROR(VLOOKUP($B183,'Dinh muc'!$A$2:$I$40,7,0),0)</f>
        <v>8</v>
      </c>
      <c r="L183" s="71">
        <f t="shared" si="56"/>
        <v>5.3677932405566606</v>
      </c>
      <c r="M183" s="2"/>
      <c r="N183" s="68"/>
      <c r="O183" s="85"/>
      <c r="P183" s="85"/>
      <c r="Q183" s="85"/>
      <c r="R183" s="77"/>
      <c r="S183" s="68"/>
      <c r="T183" s="69"/>
      <c r="U183" s="95"/>
      <c r="V183" s="77"/>
      <c r="W183" s="77"/>
      <c r="X183" s="77"/>
      <c r="Y183" s="47"/>
    </row>
    <row r="184" spans="1:25" x14ac:dyDescent="0.35">
      <c r="A184" s="46"/>
      <c r="B184" s="2"/>
      <c r="C184" s="3"/>
      <c r="D184" s="32"/>
      <c r="E184" s="67"/>
      <c r="F184" s="68"/>
      <c r="G184" s="69">
        <f>IFERROR(VLOOKUP($B184,'Dinh muc'!$A$2:$I$40,3,0),0)</f>
        <v>0</v>
      </c>
      <c r="H184" s="70">
        <f t="shared" si="54"/>
        <v>0</v>
      </c>
      <c r="I184" s="84">
        <f t="shared" si="55"/>
        <v>0</v>
      </c>
      <c r="J184" s="68"/>
      <c r="K184" s="71">
        <f>IFERROR(VLOOKUP($B184,'Dinh muc'!$A$2:$I$40,7,0),0)</f>
        <v>0</v>
      </c>
      <c r="L184" s="71">
        <f t="shared" si="56"/>
        <v>0</v>
      </c>
      <c r="M184" s="2"/>
      <c r="N184" s="68"/>
      <c r="O184" s="85"/>
      <c r="P184" s="85"/>
      <c r="Q184" s="85"/>
      <c r="R184" s="77"/>
      <c r="S184" s="68"/>
      <c r="T184" s="77"/>
      <c r="U184" s="95"/>
      <c r="V184" s="77"/>
      <c r="W184" s="77"/>
      <c r="X184" s="77"/>
      <c r="Y184" s="47"/>
    </row>
    <row r="185" spans="1:25" x14ac:dyDescent="0.35">
      <c r="A185" s="46"/>
      <c r="B185" s="2"/>
      <c r="C185" s="3"/>
      <c r="D185" s="32"/>
      <c r="E185" s="67"/>
      <c r="F185" s="68"/>
      <c r="G185" s="69">
        <f>IFERROR(VLOOKUP($B185,'Dinh muc'!$A$2:$I$40,3,0),0)</f>
        <v>0</v>
      </c>
      <c r="H185" s="70">
        <f t="shared" si="54"/>
        <v>0</v>
      </c>
      <c r="I185" s="84">
        <f t="shared" si="55"/>
        <v>0</v>
      </c>
      <c r="J185" s="68"/>
      <c r="K185" s="71">
        <f>IFERROR(VLOOKUP($B185,'Dinh muc'!$A$2:$I$40,7,0),0)</f>
        <v>0</v>
      </c>
      <c r="L185" s="71">
        <f t="shared" si="56"/>
        <v>0</v>
      </c>
      <c r="M185" s="2"/>
      <c r="N185" s="68"/>
      <c r="O185" s="85"/>
      <c r="P185" s="85"/>
      <c r="Q185" s="85"/>
      <c r="R185" s="77"/>
      <c r="S185" s="68"/>
      <c r="T185" s="77"/>
      <c r="U185" s="95"/>
      <c r="V185" s="77"/>
      <c r="W185" s="77"/>
      <c r="X185" s="77"/>
      <c r="Y185" s="47"/>
    </row>
    <row r="186" spans="1:25" x14ac:dyDescent="0.35">
      <c r="A186" s="46"/>
      <c r="B186" s="2"/>
      <c r="C186" s="3"/>
      <c r="D186" s="32"/>
      <c r="E186" s="67"/>
      <c r="F186" s="68"/>
      <c r="G186" s="69">
        <f>IFERROR(VLOOKUP($B186,'Dinh muc'!$A$2:$I$40,3,0),0)</f>
        <v>0</v>
      </c>
      <c r="H186" s="70">
        <f t="shared" si="54"/>
        <v>0</v>
      </c>
      <c r="I186" s="84">
        <f t="shared" si="55"/>
        <v>0</v>
      </c>
      <c r="J186" s="68"/>
      <c r="K186" s="71">
        <f>IFERROR(VLOOKUP($B186,'Dinh muc'!$A$2:$I$40,7,0),0)</f>
        <v>0</v>
      </c>
      <c r="L186" s="71">
        <f t="shared" si="56"/>
        <v>0</v>
      </c>
      <c r="M186" s="2"/>
      <c r="N186" s="68"/>
      <c r="O186" s="85"/>
      <c r="P186" s="85"/>
      <c r="Q186" s="85"/>
      <c r="R186" s="77"/>
      <c r="S186" s="68"/>
      <c r="T186" s="77"/>
      <c r="U186" s="95"/>
      <c r="V186" s="77"/>
      <c r="W186" s="77"/>
      <c r="X186" s="77"/>
      <c r="Y186" s="47"/>
    </row>
    <row r="187" spans="1:25" x14ac:dyDescent="0.35">
      <c r="A187" s="46"/>
      <c r="B187" s="2"/>
      <c r="C187" s="3"/>
      <c r="D187" s="32"/>
      <c r="E187" s="67"/>
      <c r="F187" s="68"/>
      <c r="G187" s="69">
        <f>IFERROR(VLOOKUP($B187,'Dinh muc'!$A$2:$I$40,3,0),0)</f>
        <v>0</v>
      </c>
      <c r="H187" s="70">
        <f t="shared" si="54"/>
        <v>0</v>
      </c>
      <c r="I187" s="84">
        <f t="shared" si="55"/>
        <v>0</v>
      </c>
      <c r="J187" s="68"/>
      <c r="K187" s="71">
        <f>IFERROR(VLOOKUP($B187,'Dinh muc'!$A$2:$I$40,7,0),0)</f>
        <v>0</v>
      </c>
      <c r="L187" s="71">
        <f t="shared" si="56"/>
        <v>0</v>
      </c>
      <c r="M187" s="2"/>
      <c r="N187" s="68"/>
      <c r="O187" s="85"/>
      <c r="P187" s="85"/>
      <c r="Q187" s="85"/>
      <c r="R187" s="77"/>
      <c r="S187" s="68"/>
      <c r="T187" s="77"/>
      <c r="U187" s="95"/>
      <c r="V187" s="77"/>
      <c r="W187" s="77"/>
      <c r="X187" s="77"/>
      <c r="Y187" s="47"/>
    </row>
    <row r="188" spans="1:25" x14ac:dyDescent="0.35">
      <c r="A188" s="46"/>
      <c r="B188" s="2"/>
      <c r="C188" s="3"/>
      <c r="D188" s="32"/>
      <c r="E188" s="67"/>
      <c r="F188" s="68"/>
      <c r="G188" s="69">
        <f>IFERROR(VLOOKUP($B188,'Dinh muc'!$A$2:$I$40,3,0),0)</f>
        <v>0</v>
      </c>
      <c r="H188" s="70">
        <f t="shared" si="54"/>
        <v>0</v>
      </c>
      <c r="I188" s="84">
        <f t="shared" si="55"/>
        <v>0</v>
      </c>
      <c r="J188" s="68"/>
      <c r="K188" s="71">
        <f>IFERROR(VLOOKUP($B188,'Dinh muc'!$A$2:$I$40,7,0),0)</f>
        <v>0</v>
      </c>
      <c r="L188" s="71">
        <f t="shared" si="56"/>
        <v>0</v>
      </c>
      <c r="M188" s="2"/>
      <c r="N188" s="68"/>
      <c r="O188" s="85"/>
      <c r="P188" s="85"/>
      <c r="Q188" s="85"/>
      <c r="R188" s="77"/>
      <c r="S188" s="68"/>
      <c r="T188" s="77"/>
      <c r="U188" s="95"/>
      <c r="V188" s="77"/>
      <c r="W188" s="77"/>
      <c r="X188" s="77"/>
      <c r="Y188" s="47"/>
    </row>
    <row r="189" spans="1:25" x14ac:dyDescent="0.35">
      <c r="A189" s="46"/>
      <c r="B189" s="2"/>
      <c r="C189" s="3"/>
      <c r="D189" s="32"/>
      <c r="E189" s="67"/>
      <c r="F189" s="68"/>
      <c r="G189" s="69">
        <f>IFERROR(VLOOKUP($B189,'Dinh muc'!$A$2:$I$40,3,0),0)</f>
        <v>0</v>
      </c>
      <c r="H189" s="70">
        <f t="shared" si="54"/>
        <v>0</v>
      </c>
      <c r="I189" s="84">
        <f t="shared" si="55"/>
        <v>0</v>
      </c>
      <c r="J189" s="68"/>
      <c r="K189" s="71">
        <f>IFERROR(VLOOKUP($B189,'Dinh muc'!$A$2:$I$40,7,0),0)</f>
        <v>0</v>
      </c>
      <c r="L189" s="71">
        <f t="shared" si="56"/>
        <v>0</v>
      </c>
      <c r="M189" s="2"/>
      <c r="N189" s="68"/>
      <c r="O189" s="85"/>
      <c r="P189" s="85"/>
      <c r="Q189" s="85"/>
      <c r="R189" s="77"/>
      <c r="S189" s="68"/>
      <c r="T189" s="77"/>
      <c r="U189" s="95"/>
      <c r="V189" s="77"/>
      <c r="W189" s="77"/>
      <c r="X189" s="77"/>
      <c r="Y189" s="47"/>
    </row>
    <row r="190" spans="1:25" x14ac:dyDescent="0.35">
      <c r="A190" s="46"/>
      <c r="B190" s="2"/>
      <c r="C190" s="3"/>
      <c r="D190" s="32"/>
      <c r="E190" s="67"/>
      <c r="F190" s="68"/>
      <c r="G190" s="69">
        <f>IFERROR(VLOOKUP($B190,'Dinh muc'!$A$2:$I$40,3,0),0)</f>
        <v>0</v>
      </c>
      <c r="H190" s="70">
        <f t="shared" si="54"/>
        <v>0</v>
      </c>
      <c r="I190" s="84">
        <f t="shared" si="55"/>
        <v>0</v>
      </c>
      <c r="J190" s="68"/>
      <c r="K190" s="71">
        <f>IFERROR(VLOOKUP($B190,'Dinh muc'!$A$2:$I$40,7,0),0)</f>
        <v>0</v>
      </c>
      <c r="L190" s="71">
        <f t="shared" si="56"/>
        <v>0</v>
      </c>
      <c r="M190" s="2"/>
      <c r="N190" s="68"/>
      <c r="O190" s="85"/>
      <c r="P190" s="85"/>
      <c r="Q190" s="85"/>
      <c r="R190" s="77"/>
      <c r="S190" s="68"/>
      <c r="T190" s="77"/>
      <c r="U190" s="95"/>
      <c r="V190" s="77"/>
      <c r="W190" s="77"/>
      <c r="X190" s="77"/>
      <c r="Y190" s="47"/>
    </row>
    <row r="191" spans="1:25" x14ac:dyDescent="0.35">
      <c r="A191" s="46"/>
      <c r="B191" s="2" t="s">
        <v>82</v>
      </c>
      <c r="C191" s="3"/>
      <c r="D191" s="32"/>
      <c r="E191" s="67"/>
      <c r="F191" s="68"/>
      <c r="G191" s="69">
        <f>IFERROR(VLOOKUP($B191,'Dinh muc'!$A$2:$I$40,3,0),0)</f>
        <v>-20</v>
      </c>
      <c r="H191" s="70">
        <f t="shared" si="54"/>
        <v>0</v>
      </c>
      <c r="I191" s="84">
        <f t="shared" ref="I191" si="57">G191*H191</f>
        <v>0</v>
      </c>
      <c r="J191" s="68"/>
      <c r="K191" s="71">
        <f>IFERROR(VLOOKUP($B191,'Dinh muc'!$A$2:$I$40,7,0),0)</f>
        <v>0</v>
      </c>
      <c r="L191" s="71">
        <f t="shared" si="56"/>
        <v>0</v>
      </c>
      <c r="M191" s="2"/>
      <c r="N191" s="68"/>
      <c r="O191" s="85"/>
      <c r="P191" s="85"/>
      <c r="Q191" s="85"/>
      <c r="R191" s="77"/>
      <c r="S191" s="68"/>
      <c r="T191" s="77"/>
      <c r="U191" s="95"/>
      <c r="V191" s="77"/>
      <c r="W191" s="77"/>
      <c r="X191" s="77"/>
      <c r="Y191" s="47"/>
    </row>
    <row r="192" spans="1:25" x14ac:dyDescent="0.35">
      <c r="A192" s="35"/>
      <c r="B192" s="8"/>
      <c r="C192" s="9"/>
      <c r="D192" s="33"/>
      <c r="E192" s="10"/>
      <c r="F192" s="30"/>
      <c r="G192" s="11"/>
      <c r="H192" s="27"/>
      <c r="I192" s="29">
        <f>SUM(I182:I191)</f>
        <v>6.9999999999999991</v>
      </c>
      <c r="J192" s="30"/>
      <c r="K192" s="30">
        <f>AVERAGE(K182:K191)</f>
        <v>1.2124999999999999</v>
      </c>
      <c r="L192" s="30">
        <f>AVERAGE(L182:L191)</f>
        <v>0.93677932405566611</v>
      </c>
      <c r="M192" s="29">
        <f>(L192*8)/K192</f>
        <v>6.1808120350064568</v>
      </c>
      <c r="N192" s="30"/>
      <c r="O192" s="30">
        <f>AVERAGE(O182:O191)</f>
        <v>1.9389105058365754</v>
      </c>
      <c r="P192" s="30">
        <f>AVERAGE(P182:P191)</f>
        <v>1.3899613899613901</v>
      </c>
      <c r="Q192" s="29">
        <f>(O192*8)/P192</f>
        <v>11.159507133592733</v>
      </c>
      <c r="R192" s="98"/>
      <c r="S192" s="79"/>
      <c r="T192" s="79"/>
      <c r="U192" s="93"/>
      <c r="V192" s="98"/>
      <c r="W192" s="79"/>
      <c r="X192" s="79"/>
      <c r="Y192" s="61"/>
    </row>
    <row r="193" spans="1:25" x14ac:dyDescent="0.35">
      <c r="A193" s="87" t="s">
        <v>0</v>
      </c>
      <c r="B193" s="2" t="s">
        <v>9</v>
      </c>
      <c r="C193" s="3">
        <v>1.8333333333333328</v>
      </c>
      <c r="D193" s="88">
        <v>1759.9999999999995</v>
      </c>
      <c r="E193" s="67">
        <v>90</v>
      </c>
      <c r="F193" s="68">
        <v>0.5</v>
      </c>
      <c r="G193" s="69">
        <f>IFERROR(VLOOKUP($B193,'Dinh muc'!$A$2:$I$40,2,0),0)</f>
        <v>7</v>
      </c>
      <c r="H193" s="70">
        <f t="shared" ref="H193:H202" si="58">(C193*24)/(SUM($C$193:$C$202)*24)</f>
        <v>0.79041916167664672</v>
      </c>
      <c r="I193" s="84">
        <f t="shared" ref="I193:I202" si="59">G193*H193</f>
        <v>5.5329341317365266</v>
      </c>
      <c r="J193" s="68">
        <v>0.25</v>
      </c>
      <c r="K193" s="71">
        <f>IFERROR(VLOOKUP($B193,'Dinh muc'!$A$2:$I$40,6,0),0)</f>
        <v>40</v>
      </c>
      <c r="L193" s="71">
        <f t="shared" ref="L193:L202" si="60">IFERROR(D193/(C193*24),0)</f>
        <v>40</v>
      </c>
      <c r="M193" s="2"/>
      <c r="N193" s="68">
        <v>0.25</v>
      </c>
      <c r="O193" s="85">
        <v>2.4950191570881226</v>
      </c>
      <c r="P193" s="85">
        <f>(SUM(E193:E202)/(SUM(C193:C201)*24))</f>
        <v>1.6167664670658688</v>
      </c>
      <c r="Q193" s="85"/>
      <c r="R193" s="77">
        <f>F193*I203+J193*M203+N193*Q203</f>
        <v>8.5864311054349365</v>
      </c>
      <c r="S193" s="76">
        <v>0.7</v>
      </c>
      <c r="T193" s="69">
        <f>'Dinh muc'!L4</f>
        <v>96153.846153846156</v>
      </c>
      <c r="U193" s="91">
        <f>IFERROR(VLOOKUP(A193,'chi phi XCG'!$A$2:$C$39,3,0),0)</f>
        <v>66287.878798076912</v>
      </c>
      <c r="V193" s="83">
        <f>(T193*8)/U193</f>
        <v>11.604395602610316</v>
      </c>
      <c r="W193" s="77">
        <v>0.3</v>
      </c>
      <c r="X193" s="78">
        <f>R193*S193+V193*W193</f>
        <v>9.4918204545875504</v>
      </c>
      <c r="Y193" s="47" t="str">
        <f>IF(X193&gt;=10,"A++",IF(X193&gt;=9,"A+",IF(X193&gt;=8,"A",IF(X193&gt;=7,"B","C"))))</f>
        <v>A+</v>
      </c>
    </row>
    <row r="194" spans="1:25" x14ac:dyDescent="0.35">
      <c r="A194" s="46"/>
      <c r="B194" s="2" t="s">
        <v>18</v>
      </c>
      <c r="C194" s="3">
        <v>0.4861111111111111</v>
      </c>
      <c r="D194" s="88">
        <v>144.375</v>
      </c>
      <c r="E194" s="67"/>
      <c r="F194" s="68"/>
      <c r="G194" s="69">
        <f>IFERROR(VLOOKUP($B194,'Dinh muc'!$A$2:$I$40,2,0),0)</f>
        <v>7</v>
      </c>
      <c r="H194" s="70">
        <f t="shared" si="58"/>
        <v>0.20958083832335334</v>
      </c>
      <c r="I194" s="84">
        <f t="shared" si="59"/>
        <v>1.4670658682634734</v>
      </c>
      <c r="J194" s="68"/>
      <c r="K194" s="71">
        <f>IFERROR(VLOOKUP($B194,'Dinh muc'!$A$2:$I$40,6,0),0)</f>
        <v>12.375</v>
      </c>
      <c r="L194" s="71">
        <f t="shared" si="60"/>
        <v>12.375</v>
      </c>
      <c r="M194" s="2"/>
      <c r="N194" s="68"/>
      <c r="O194" s="85"/>
      <c r="P194" s="85"/>
      <c r="Q194" s="85"/>
      <c r="R194" s="77"/>
      <c r="S194" s="68"/>
      <c r="T194" s="77"/>
      <c r="U194" s="95"/>
      <c r="V194" s="77"/>
      <c r="W194" s="77"/>
      <c r="X194" s="77"/>
      <c r="Y194" s="47"/>
    </row>
    <row r="195" spans="1:25" x14ac:dyDescent="0.35">
      <c r="A195" s="46"/>
      <c r="B195" s="2"/>
      <c r="C195" s="3"/>
      <c r="D195" s="88"/>
      <c r="E195" s="67"/>
      <c r="F195" s="68"/>
      <c r="G195" s="69">
        <f>IFERROR(VLOOKUP($B195,'Dinh muc'!$A$2:$I$40,2,0),0)</f>
        <v>0</v>
      </c>
      <c r="H195" s="70">
        <f t="shared" si="58"/>
        <v>0</v>
      </c>
      <c r="I195" s="84">
        <f t="shared" si="59"/>
        <v>0</v>
      </c>
      <c r="J195" s="68"/>
      <c r="K195" s="71">
        <f>IFERROR(VLOOKUP($B195,'Dinh muc'!$A$2:$I$40,6,0),0)</f>
        <v>0</v>
      </c>
      <c r="L195" s="71">
        <f t="shared" si="60"/>
        <v>0</v>
      </c>
      <c r="M195" s="2"/>
      <c r="N195" s="68"/>
      <c r="O195" s="85"/>
      <c r="P195" s="85"/>
      <c r="Q195" s="85"/>
      <c r="R195" s="77"/>
      <c r="S195" s="68"/>
      <c r="T195" s="77"/>
      <c r="U195" s="95"/>
      <c r="V195" s="77"/>
      <c r="W195" s="77"/>
      <c r="X195" s="77"/>
      <c r="Y195" s="47"/>
    </row>
    <row r="196" spans="1:25" x14ac:dyDescent="0.35">
      <c r="A196" s="46"/>
      <c r="B196" s="2"/>
      <c r="C196" s="3"/>
      <c r="D196" s="88"/>
      <c r="E196" s="67"/>
      <c r="F196" s="68"/>
      <c r="G196" s="69">
        <f>IFERROR(VLOOKUP($B196,'Dinh muc'!$A$2:$I$40,2,0),0)</f>
        <v>0</v>
      </c>
      <c r="H196" s="70">
        <f t="shared" si="58"/>
        <v>0</v>
      </c>
      <c r="I196" s="84">
        <f t="shared" si="59"/>
        <v>0</v>
      </c>
      <c r="J196" s="68"/>
      <c r="K196" s="71">
        <f>IFERROR(VLOOKUP($B196,'Dinh muc'!$A$2:$I$40,6,0),0)</f>
        <v>0</v>
      </c>
      <c r="L196" s="71">
        <f t="shared" si="60"/>
        <v>0</v>
      </c>
      <c r="M196" s="2"/>
      <c r="N196" s="68"/>
      <c r="O196" s="85"/>
      <c r="P196" s="85"/>
      <c r="Q196" s="85"/>
      <c r="R196" s="77"/>
      <c r="S196" s="68"/>
      <c r="T196" s="77"/>
      <c r="U196" s="95"/>
      <c r="V196" s="77"/>
      <c r="W196" s="77"/>
      <c r="X196" s="77"/>
      <c r="Y196" s="47"/>
    </row>
    <row r="197" spans="1:25" x14ac:dyDescent="0.35">
      <c r="A197" s="46"/>
      <c r="B197" s="2"/>
      <c r="C197" s="3"/>
      <c r="D197" s="88"/>
      <c r="E197" s="67"/>
      <c r="F197" s="68"/>
      <c r="G197" s="69">
        <f>IFERROR(VLOOKUP($B197,'Dinh muc'!$A$2:$I$40,2,0),0)</f>
        <v>0</v>
      </c>
      <c r="H197" s="70">
        <f t="shared" si="58"/>
        <v>0</v>
      </c>
      <c r="I197" s="84">
        <f t="shared" si="59"/>
        <v>0</v>
      </c>
      <c r="J197" s="68"/>
      <c r="K197" s="71">
        <f>IFERROR(VLOOKUP($B197,'Dinh muc'!$A$2:$I$40,6,0),0)</f>
        <v>0</v>
      </c>
      <c r="L197" s="71">
        <f t="shared" si="60"/>
        <v>0</v>
      </c>
      <c r="M197" s="2"/>
      <c r="N197" s="68"/>
      <c r="O197" s="85"/>
      <c r="P197" s="85"/>
      <c r="Q197" s="85"/>
      <c r="R197" s="77"/>
      <c r="S197" s="68"/>
      <c r="T197" s="77"/>
      <c r="U197" s="95"/>
      <c r="V197" s="77"/>
      <c r="W197" s="77"/>
      <c r="X197" s="77"/>
      <c r="Y197" s="47"/>
    </row>
    <row r="198" spans="1:25" x14ac:dyDescent="0.35">
      <c r="A198" s="46"/>
      <c r="B198" s="2"/>
      <c r="C198" s="3"/>
      <c r="D198" s="88"/>
      <c r="E198" s="67"/>
      <c r="F198" s="68"/>
      <c r="G198" s="69">
        <f>IFERROR(VLOOKUP($B198,'Dinh muc'!$A$2:$I$40,2,0),0)</f>
        <v>0</v>
      </c>
      <c r="H198" s="70">
        <f t="shared" si="58"/>
        <v>0</v>
      </c>
      <c r="I198" s="84">
        <f t="shared" si="59"/>
        <v>0</v>
      </c>
      <c r="J198" s="68"/>
      <c r="K198" s="71">
        <f>IFERROR(VLOOKUP($B198,'Dinh muc'!$A$2:$I$40,6,0),0)</f>
        <v>0</v>
      </c>
      <c r="L198" s="71">
        <f t="shared" si="60"/>
        <v>0</v>
      </c>
      <c r="M198" s="2"/>
      <c r="N198" s="68"/>
      <c r="O198" s="85"/>
      <c r="P198" s="85"/>
      <c r="Q198" s="85"/>
      <c r="R198" s="77"/>
      <c r="S198" s="68"/>
      <c r="T198" s="77"/>
      <c r="U198" s="95"/>
      <c r="V198" s="77"/>
      <c r="W198" s="77"/>
      <c r="X198" s="77"/>
      <c r="Y198" s="47"/>
    </row>
    <row r="199" spans="1:25" x14ac:dyDescent="0.35">
      <c r="A199" s="46"/>
      <c r="B199" s="2"/>
      <c r="C199" s="3"/>
      <c r="D199" s="88"/>
      <c r="E199" s="67"/>
      <c r="F199" s="68"/>
      <c r="G199" s="69">
        <f>IFERROR(VLOOKUP($B199,'Dinh muc'!$A$2:$I$40,2,0),0)</f>
        <v>0</v>
      </c>
      <c r="H199" s="70">
        <f t="shared" si="58"/>
        <v>0</v>
      </c>
      <c r="I199" s="84">
        <f t="shared" si="59"/>
        <v>0</v>
      </c>
      <c r="J199" s="68"/>
      <c r="K199" s="71">
        <f>IFERROR(VLOOKUP($B199,'Dinh muc'!$A$2:$I$40,6,0),0)</f>
        <v>0</v>
      </c>
      <c r="L199" s="71">
        <f t="shared" si="60"/>
        <v>0</v>
      </c>
      <c r="M199" s="2"/>
      <c r="N199" s="68"/>
      <c r="O199" s="85"/>
      <c r="P199" s="85"/>
      <c r="Q199" s="85"/>
      <c r="R199" s="77"/>
      <c r="S199" s="68"/>
      <c r="T199" s="77"/>
      <c r="U199" s="95"/>
      <c r="V199" s="77"/>
      <c r="W199" s="77"/>
      <c r="X199" s="77"/>
      <c r="Y199" s="47"/>
    </row>
    <row r="200" spans="1:25" x14ac:dyDescent="0.35">
      <c r="A200" s="46"/>
      <c r="B200" s="2"/>
      <c r="C200" s="3"/>
      <c r="D200" s="88"/>
      <c r="E200" s="67"/>
      <c r="F200" s="68"/>
      <c r="G200" s="69">
        <f>IFERROR(VLOOKUP($B200,'Dinh muc'!$A$2:$I$40,2,0),0)</f>
        <v>0</v>
      </c>
      <c r="H200" s="70">
        <f t="shared" si="58"/>
        <v>0</v>
      </c>
      <c r="I200" s="84">
        <f t="shared" si="59"/>
        <v>0</v>
      </c>
      <c r="J200" s="68"/>
      <c r="K200" s="71">
        <f>IFERROR(VLOOKUP($B200,'Dinh muc'!$A$2:$I$40,6,0),0)</f>
        <v>0</v>
      </c>
      <c r="L200" s="71">
        <f t="shared" si="60"/>
        <v>0</v>
      </c>
      <c r="M200" s="2"/>
      <c r="N200" s="68"/>
      <c r="O200" s="85"/>
      <c r="P200" s="85"/>
      <c r="Q200" s="85"/>
      <c r="R200" s="77"/>
      <c r="S200" s="68"/>
      <c r="T200" s="77"/>
      <c r="U200" s="95"/>
      <c r="V200" s="77"/>
      <c r="W200" s="77"/>
      <c r="X200" s="77"/>
      <c r="Y200" s="47"/>
    </row>
    <row r="201" spans="1:25" x14ac:dyDescent="0.35">
      <c r="A201" s="46"/>
      <c r="B201" s="2"/>
      <c r="C201" s="3"/>
      <c r="D201" s="88"/>
      <c r="E201" s="67"/>
      <c r="F201" s="68"/>
      <c r="G201" s="69">
        <f>IFERROR(VLOOKUP($B201,'Dinh muc'!$A$2:$I$40,2,0),0)</f>
        <v>0</v>
      </c>
      <c r="H201" s="70">
        <f t="shared" si="58"/>
        <v>0</v>
      </c>
      <c r="I201" s="84">
        <f t="shared" si="59"/>
        <v>0</v>
      </c>
      <c r="J201" s="68"/>
      <c r="K201" s="71">
        <f>IFERROR(VLOOKUP($B201,'Dinh muc'!$A$2:$I$40,6,0),0)</f>
        <v>0</v>
      </c>
      <c r="L201" s="71">
        <f t="shared" si="60"/>
        <v>0</v>
      </c>
      <c r="M201" s="2"/>
      <c r="N201" s="68"/>
      <c r="O201" s="85"/>
      <c r="P201" s="85"/>
      <c r="Q201" s="85"/>
      <c r="R201" s="77"/>
      <c r="S201" s="68"/>
      <c r="T201" s="77"/>
      <c r="U201" s="95"/>
      <c r="V201" s="77"/>
      <c r="W201" s="77"/>
      <c r="X201" s="77"/>
      <c r="Y201" s="47"/>
    </row>
    <row r="202" spans="1:25" x14ac:dyDescent="0.35">
      <c r="A202" s="46"/>
      <c r="B202" s="2" t="s">
        <v>82</v>
      </c>
      <c r="C202" s="3"/>
      <c r="D202" s="88"/>
      <c r="E202" s="67"/>
      <c r="F202" s="68"/>
      <c r="G202" s="69">
        <f>IFERROR(VLOOKUP($B202,'Dinh muc'!$A$2:$I$40,2,0),0)</f>
        <v>-20</v>
      </c>
      <c r="H202" s="70">
        <f t="shared" si="58"/>
        <v>0</v>
      </c>
      <c r="I202" s="84">
        <f t="shared" si="59"/>
        <v>0</v>
      </c>
      <c r="J202" s="68"/>
      <c r="K202" s="71">
        <f>IFERROR(VLOOKUP($B202,'Dinh muc'!$A$2:$I$40,6,0),0)</f>
        <v>0</v>
      </c>
      <c r="L202" s="71">
        <f t="shared" si="60"/>
        <v>0</v>
      </c>
      <c r="M202" s="2"/>
      <c r="N202" s="68"/>
      <c r="O202" s="85"/>
      <c r="P202" s="85"/>
      <c r="Q202" s="85"/>
      <c r="R202" s="77"/>
      <c r="S202" s="68"/>
      <c r="T202" s="77"/>
      <c r="U202" s="95"/>
      <c r="V202" s="77"/>
      <c r="W202" s="77"/>
      <c r="X202" s="77"/>
      <c r="Y202" s="47"/>
    </row>
    <row r="203" spans="1:25" x14ac:dyDescent="0.35">
      <c r="A203" s="35"/>
      <c r="B203" s="8"/>
      <c r="C203" s="9"/>
      <c r="D203" s="33"/>
      <c r="E203" s="10"/>
      <c r="F203" s="30"/>
      <c r="G203" s="11"/>
      <c r="H203" s="27"/>
      <c r="I203" s="29">
        <f>SUM(I193:I202)</f>
        <v>7</v>
      </c>
      <c r="J203" s="30"/>
      <c r="K203" s="30">
        <f>AVERAGE(K193:K202)</f>
        <v>5.2374999999999998</v>
      </c>
      <c r="L203" s="30">
        <f>AVERAGE(L193:L202)</f>
        <v>5.2374999999999998</v>
      </c>
      <c r="M203" s="29">
        <f>(L203*8)/K203</f>
        <v>8</v>
      </c>
      <c r="N203" s="30"/>
      <c r="O203" s="30">
        <f>AVERAGE(O193)</f>
        <v>2.4950191570881226</v>
      </c>
      <c r="P203" s="30">
        <f>AVERAGE(P193)</f>
        <v>1.6167664670658688</v>
      </c>
      <c r="Q203" s="29">
        <f>(O203*8)/P203</f>
        <v>12.345724421739744</v>
      </c>
      <c r="R203" s="98"/>
      <c r="S203" s="79"/>
      <c r="T203" s="79"/>
      <c r="U203" s="93"/>
      <c r="V203" s="98"/>
      <c r="W203" s="79"/>
      <c r="X203" s="79"/>
      <c r="Y203" s="61"/>
    </row>
    <row r="204" spans="1:25" x14ac:dyDescent="0.35">
      <c r="A204" s="46" t="s">
        <v>96</v>
      </c>
      <c r="B204" s="2" t="s">
        <v>18</v>
      </c>
      <c r="C204" s="3">
        <v>0.67361111111111116</v>
      </c>
      <c r="D204" s="88">
        <v>200.06250000000003</v>
      </c>
      <c r="E204" s="67"/>
      <c r="F204" s="68">
        <v>0.5</v>
      </c>
      <c r="G204" s="69">
        <f>IFERROR(VLOOKUP($B204,'Dinh muc'!$A$2:$I$40,2,0),0)</f>
        <v>7</v>
      </c>
      <c r="H204" s="70">
        <f t="shared" ref="H204:H213" si="61">(C204*24)/(SUM($C$204:$C$213)*24)</f>
        <v>0.43111111111111106</v>
      </c>
      <c r="I204" s="84">
        <f t="shared" ref="I204" si="62">G204*H204</f>
        <v>3.0177777777777774</v>
      </c>
      <c r="J204" s="68">
        <v>0.25</v>
      </c>
      <c r="K204" s="71">
        <f>IFERROR(VLOOKUP($B204,'Dinh muc'!$A$2:$I$40,6,0),0)</f>
        <v>12.375</v>
      </c>
      <c r="L204" s="71">
        <f>IFERROR(D204/(C204*24),0)</f>
        <v>12.375</v>
      </c>
      <c r="M204" s="2"/>
      <c r="N204" s="68">
        <v>0.25</v>
      </c>
      <c r="O204" s="85">
        <v>2.48</v>
      </c>
      <c r="P204" s="85">
        <f>(SUM(E204:E213)/(SUM(C204:C212)*24))</f>
        <v>2.6133333333333328</v>
      </c>
      <c r="Q204" s="85"/>
      <c r="R204" s="77">
        <f>F204*I214+J204*M214+N204*Q214</f>
        <v>6.8974263038548758</v>
      </c>
      <c r="S204" s="76">
        <v>0.7</v>
      </c>
      <c r="T204" s="32">
        <f>'Dinh muc'!K4</f>
        <v>164835.16483516482</v>
      </c>
      <c r="U204" s="91">
        <f>IFERROR(VLOOKUP(A204,'chi phi XCG'!$A$2:$C$39,3,0),0)</f>
        <v>99900.099890109879</v>
      </c>
      <c r="V204" s="83">
        <f>(T204*8)/U204</f>
        <v>13.200000001319999</v>
      </c>
      <c r="W204" s="77">
        <v>0.3</v>
      </c>
      <c r="X204" s="78">
        <f>R204*S204+V204*W204</f>
        <v>8.7881984130944133</v>
      </c>
      <c r="Y204" s="47" t="str">
        <f>IF(X204&gt;=10,"A++",IF(X204&gt;=9,"A+",IF(X204&gt;=8,"A",IF(X204&gt;=7,"B","C"))))</f>
        <v>A</v>
      </c>
    </row>
    <row r="205" spans="1:25" x14ac:dyDescent="0.35">
      <c r="A205" s="46"/>
      <c r="B205" s="2" t="s">
        <v>97</v>
      </c>
      <c r="C205" s="3">
        <v>0.48958333333333337</v>
      </c>
      <c r="D205" s="88">
        <v>264.375</v>
      </c>
      <c r="E205" s="67"/>
      <c r="F205" s="68"/>
      <c r="G205" s="69">
        <f>IFERROR(VLOOKUP($B205,'Dinh muc'!$A$2:$I$40,2,0),0)</f>
        <v>8</v>
      </c>
      <c r="H205" s="70">
        <f t="shared" si="61"/>
        <v>0.3133333333333333</v>
      </c>
      <c r="I205" s="84">
        <f t="shared" ref="I205:I213" si="63">G205*H205</f>
        <v>2.5066666666666664</v>
      </c>
      <c r="J205" s="68"/>
      <c r="K205" s="71">
        <f>IFERROR(VLOOKUP($B205,'Dinh muc'!$A$2:$I$40,6,0),0)</f>
        <v>22.5</v>
      </c>
      <c r="L205" s="71">
        <f t="shared" ref="L205:L213" si="64">IFERROR(D205/(C205*24),0)</f>
        <v>22.5</v>
      </c>
      <c r="M205" s="2"/>
      <c r="N205" s="68"/>
      <c r="O205" s="85"/>
      <c r="P205" s="85"/>
      <c r="Q205" s="85"/>
      <c r="R205" s="77"/>
      <c r="S205" s="68"/>
      <c r="T205" s="77"/>
      <c r="U205" s="95"/>
      <c r="V205" s="77"/>
      <c r="W205" s="77"/>
      <c r="X205" s="77"/>
      <c r="Y205" s="47"/>
    </row>
    <row r="206" spans="1:25" x14ac:dyDescent="0.35">
      <c r="A206" s="46"/>
      <c r="B206" s="2" t="s">
        <v>98</v>
      </c>
      <c r="C206" s="3">
        <v>0.39930555555555558</v>
      </c>
      <c r="D206" s="88">
        <v>0</v>
      </c>
      <c r="E206" s="67">
        <v>98</v>
      </c>
      <c r="F206" s="68"/>
      <c r="G206" s="69">
        <f>IFERROR(VLOOKUP($B206,'Dinh muc'!$A$2:$I$40,2,0),0)</f>
        <v>0</v>
      </c>
      <c r="H206" s="70">
        <f t="shared" si="61"/>
        <v>0.25555555555555554</v>
      </c>
      <c r="I206" s="84">
        <f t="shared" si="63"/>
        <v>0</v>
      </c>
      <c r="J206" s="68"/>
      <c r="K206" s="71">
        <f>IFERROR(VLOOKUP($B206,'Dinh muc'!$A$2:$I$40,6,0),0)</f>
        <v>0</v>
      </c>
      <c r="L206" s="71">
        <f t="shared" si="64"/>
        <v>0</v>
      </c>
      <c r="M206" s="2"/>
      <c r="N206" s="68"/>
      <c r="O206" s="85"/>
      <c r="P206" s="85"/>
      <c r="Q206" s="85"/>
      <c r="R206" s="77"/>
      <c r="S206" s="68"/>
      <c r="T206" s="77"/>
      <c r="U206" s="95"/>
      <c r="V206" s="77"/>
      <c r="W206" s="77"/>
      <c r="X206" s="77"/>
      <c r="Y206" s="47"/>
    </row>
    <row r="207" spans="1:25" x14ac:dyDescent="0.35">
      <c r="A207" s="46"/>
      <c r="B207" s="2"/>
      <c r="C207" s="3"/>
      <c r="D207" s="32"/>
      <c r="E207" s="67"/>
      <c r="F207" s="68"/>
      <c r="G207" s="69">
        <f>IFERROR(VLOOKUP($B207,'Dinh muc'!$A$2:$I$40,2,0),0)</f>
        <v>0</v>
      </c>
      <c r="H207" s="70">
        <f t="shared" si="61"/>
        <v>0</v>
      </c>
      <c r="I207" s="84">
        <f t="shared" si="63"/>
        <v>0</v>
      </c>
      <c r="J207" s="68"/>
      <c r="K207" s="71">
        <f>IFERROR(VLOOKUP($B207,'Dinh muc'!$A$2:$I$40,6,0),0)</f>
        <v>0</v>
      </c>
      <c r="L207" s="71">
        <f t="shared" si="64"/>
        <v>0</v>
      </c>
      <c r="M207" s="2"/>
      <c r="N207" s="68"/>
      <c r="O207" s="85"/>
      <c r="P207" s="85"/>
      <c r="Q207" s="85"/>
      <c r="R207" s="77"/>
      <c r="S207" s="68"/>
      <c r="T207" s="77"/>
      <c r="U207" s="95"/>
      <c r="V207" s="77"/>
      <c r="W207" s="77"/>
      <c r="X207" s="77"/>
      <c r="Y207" s="47"/>
    </row>
    <row r="208" spans="1:25" x14ac:dyDescent="0.35">
      <c r="A208" s="46"/>
      <c r="B208" s="2"/>
      <c r="C208" s="3"/>
      <c r="D208" s="32"/>
      <c r="E208" s="67"/>
      <c r="F208" s="68"/>
      <c r="G208" s="69">
        <f>IFERROR(VLOOKUP($B208,'Dinh muc'!$A$2:$I$40,2,0),0)</f>
        <v>0</v>
      </c>
      <c r="H208" s="70">
        <f t="shared" si="61"/>
        <v>0</v>
      </c>
      <c r="I208" s="84">
        <f t="shared" si="63"/>
        <v>0</v>
      </c>
      <c r="J208" s="68"/>
      <c r="K208" s="71">
        <f>IFERROR(VLOOKUP($B208,'Dinh muc'!$A$2:$I$40,6,0),0)</f>
        <v>0</v>
      </c>
      <c r="L208" s="71">
        <f t="shared" si="64"/>
        <v>0</v>
      </c>
      <c r="M208" s="2"/>
      <c r="N208" s="68"/>
      <c r="O208" s="85"/>
      <c r="P208" s="85"/>
      <c r="Q208" s="85"/>
      <c r="R208" s="77"/>
      <c r="S208" s="68"/>
      <c r="T208" s="77"/>
      <c r="U208" s="95"/>
      <c r="V208" s="77"/>
      <c r="W208" s="77"/>
      <c r="X208" s="77"/>
      <c r="Y208" s="47"/>
    </row>
    <row r="209" spans="1:25" x14ac:dyDescent="0.35">
      <c r="A209" s="46"/>
      <c r="B209" s="2"/>
      <c r="C209" s="3"/>
      <c r="D209" s="32"/>
      <c r="E209" s="67"/>
      <c r="F209" s="68"/>
      <c r="G209" s="69">
        <f>IFERROR(VLOOKUP($B209,'Dinh muc'!$A$2:$I$40,2,0),0)</f>
        <v>0</v>
      </c>
      <c r="H209" s="70">
        <f t="shared" si="61"/>
        <v>0</v>
      </c>
      <c r="I209" s="84">
        <f t="shared" si="63"/>
        <v>0</v>
      </c>
      <c r="J209" s="68"/>
      <c r="K209" s="71">
        <f>IFERROR(VLOOKUP($B209,'Dinh muc'!$A$2:$I$40,6,0),0)</f>
        <v>0</v>
      </c>
      <c r="L209" s="71">
        <f t="shared" si="64"/>
        <v>0</v>
      </c>
      <c r="M209" s="2"/>
      <c r="N209" s="68"/>
      <c r="O209" s="85"/>
      <c r="P209" s="85"/>
      <c r="Q209" s="85"/>
      <c r="R209" s="77"/>
      <c r="S209" s="68"/>
      <c r="T209" s="77"/>
      <c r="U209" s="95"/>
      <c r="V209" s="77"/>
      <c r="W209" s="77"/>
      <c r="X209" s="77"/>
      <c r="Y209" s="47"/>
    </row>
    <row r="210" spans="1:25" x14ac:dyDescent="0.35">
      <c r="A210" s="46"/>
      <c r="B210" s="2"/>
      <c r="C210" s="3"/>
      <c r="D210" s="32"/>
      <c r="E210" s="67"/>
      <c r="F210" s="68"/>
      <c r="G210" s="69">
        <f>IFERROR(VLOOKUP($B210,'Dinh muc'!$A$2:$I$40,2,0),0)</f>
        <v>0</v>
      </c>
      <c r="H210" s="70">
        <f t="shared" si="61"/>
        <v>0</v>
      </c>
      <c r="I210" s="84">
        <f t="shared" si="63"/>
        <v>0</v>
      </c>
      <c r="J210" s="68"/>
      <c r="K210" s="71">
        <f>IFERROR(VLOOKUP($B210,'Dinh muc'!$A$2:$I$40,6,0),0)</f>
        <v>0</v>
      </c>
      <c r="L210" s="71">
        <f t="shared" si="64"/>
        <v>0</v>
      </c>
      <c r="M210" s="2"/>
      <c r="N210" s="68"/>
      <c r="O210" s="85"/>
      <c r="P210" s="85"/>
      <c r="Q210" s="85"/>
      <c r="R210" s="77"/>
      <c r="S210" s="68"/>
      <c r="T210" s="77"/>
      <c r="U210" s="95"/>
      <c r="V210" s="77"/>
      <c r="W210" s="77"/>
      <c r="X210" s="77"/>
      <c r="Y210" s="47"/>
    </row>
    <row r="211" spans="1:25" x14ac:dyDescent="0.35">
      <c r="A211" s="46"/>
      <c r="B211" s="2"/>
      <c r="C211" s="3"/>
      <c r="D211" s="32"/>
      <c r="E211" s="67"/>
      <c r="F211" s="68"/>
      <c r="G211" s="69">
        <f>IFERROR(VLOOKUP($B211,'Dinh muc'!$A$2:$I$40,2,0),0)</f>
        <v>0</v>
      </c>
      <c r="H211" s="70">
        <f t="shared" si="61"/>
        <v>0</v>
      </c>
      <c r="I211" s="84">
        <f t="shared" si="63"/>
        <v>0</v>
      </c>
      <c r="J211" s="68"/>
      <c r="K211" s="71">
        <f>IFERROR(VLOOKUP($B211,'Dinh muc'!$A$2:$I$40,6,0),0)</f>
        <v>0</v>
      </c>
      <c r="L211" s="71">
        <f t="shared" si="64"/>
        <v>0</v>
      </c>
      <c r="M211" s="2"/>
      <c r="N211" s="68"/>
      <c r="O211" s="85"/>
      <c r="P211" s="85"/>
      <c r="Q211" s="85"/>
      <c r="R211" s="77"/>
      <c r="S211" s="68"/>
      <c r="T211" s="77"/>
      <c r="U211" s="95"/>
      <c r="V211" s="77"/>
      <c r="W211" s="77"/>
      <c r="X211" s="77"/>
      <c r="Y211" s="47"/>
    </row>
    <row r="212" spans="1:25" x14ac:dyDescent="0.35">
      <c r="A212" s="46"/>
      <c r="B212" s="2"/>
      <c r="C212" s="3"/>
      <c r="D212" s="32"/>
      <c r="E212" s="67"/>
      <c r="F212" s="68"/>
      <c r="G212" s="69">
        <f>IFERROR(VLOOKUP($B212,'Dinh muc'!$A$2:$I$40,2,0),0)</f>
        <v>0</v>
      </c>
      <c r="H212" s="70">
        <f t="shared" si="61"/>
        <v>0</v>
      </c>
      <c r="I212" s="84">
        <f t="shared" si="63"/>
        <v>0</v>
      </c>
      <c r="J212" s="68"/>
      <c r="K212" s="71">
        <f>IFERROR(VLOOKUP($B212,'Dinh muc'!$A$2:$I$40,6,0),0)</f>
        <v>0</v>
      </c>
      <c r="L212" s="71">
        <f t="shared" si="64"/>
        <v>0</v>
      </c>
      <c r="M212" s="2"/>
      <c r="N212" s="68"/>
      <c r="O212" s="85"/>
      <c r="P212" s="85"/>
      <c r="Q212" s="85"/>
      <c r="R212" s="77"/>
      <c r="S212" s="68"/>
      <c r="T212" s="77"/>
      <c r="U212" s="95"/>
      <c r="V212" s="77"/>
      <c r="W212" s="77"/>
      <c r="X212" s="77"/>
      <c r="Y212" s="47"/>
    </row>
    <row r="213" spans="1:25" x14ac:dyDescent="0.35">
      <c r="A213" s="46"/>
      <c r="B213" s="2" t="s">
        <v>82</v>
      </c>
      <c r="C213" s="3"/>
      <c r="D213" s="32"/>
      <c r="E213" s="67"/>
      <c r="F213" s="68"/>
      <c r="G213" s="69">
        <f>IFERROR(VLOOKUP($B213,'Dinh muc'!$A$2:$I$40,2,0),0)</f>
        <v>-20</v>
      </c>
      <c r="H213" s="70">
        <f t="shared" si="61"/>
        <v>0</v>
      </c>
      <c r="I213" s="84">
        <f t="shared" si="63"/>
        <v>0</v>
      </c>
      <c r="J213" s="68"/>
      <c r="K213" s="71">
        <f>IFERROR(VLOOKUP($B213,'Dinh muc'!$A$2:$I$40,6,0),0)</f>
        <v>0</v>
      </c>
      <c r="L213" s="71">
        <f t="shared" si="64"/>
        <v>0</v>
      </c>
      <c r="M213" s="2"/>
      <c r="N213" s="68"/>
      <c r="O213" s="85"/>
      <c r="P213" s="85"/>
      <c r="Q213" s="85"/>
      <c r="R213" s="77"/>
      <c r="S213" s="68"/>
      <c r="T213" s="77"/>
      <c r="U213" s="95"/>
      <c r="V213" s="77"/>
      <c r="W213" s="77"/>
      <c r="X213" s="77"/>
      <c r="Y213" s="47"/>
    </row>
    <row r="214" spans="1:25" x14ac:dyDescent="0.35">
      <c r="A214" s="35"/>
      <c r="B214" s="8"/>
      <c r="C214" s="9"/>
      <c r="D214" s="33"/>
      <c r="E214" s="10"/>
      <c r="F214" s="30"/>
      <c r="G214" s="11"/>
      <c r="H214" s="27"/>
      <c r="I214" s="29">
        <f>SUM(I204:I213)</f>
        <v>5.5244444444444438</v>
      </c>
      <c r="J214" s="30"/>
      <c r="K214" s="30">
        <f>AVERAGE(K204:K213)</f>
        <v>3.4874999999999998</v>
      </c>
      <c r="L214" s="30">
        <f>AVERAGE(L204:L213)</f>
        <v>3.4874999999999998</v>
      </c>
      <c r="M214" s="29">
        <f>(L214*8)/K214</f>
        <v>8</v>
      </c>
      <c r="N214" s="30"/>
      <c r="O214" s="30">
        <f>AVERAGE(O204)</f>
        <v>2.48</v>
      </c>
      <c r="P214" s="30">
        <f>AVERAGE(P204)</f>
        <v>2.6133333333333328</v>
      </c>
      <c r="Q214" s="29">
        <f>(O214*9)/P214</f>
        <v>8.5408163265306136</v>
      </c>
      <c r="R214" s="98"/>
      <c r="S214" s="79"/>
      <c r="T214" s="79"/>
      <c r="U214" s="93"/>
      <c r="V214" s="98"/>
      <c r="W214" s="79"/>
      <c r="X214" s="79"/>
      <c r="Y214" s="61"/>
    </row>
    <row r="215" spans="1:25" x14ac:dyDescent="0.35">
      <c r="A215" s="46" t="s">
        <v>14</v>
      </c>
      <c r="B215" s="2" t="s">
        <v>18</v>
      </c>
      <c r="C215" s="3">
        <v>0.29166666666666669</v>
      </c>
      <c r="D215" s="88">
        <v>86.625</v>
      </c>
      <c r="E215" s="67"/>
      <c r="F215" s="68">
        <v>0.5</v>
      </c>
      <c r="G215" s="69">
        <f>IFERROR(VLOOKUP($B215,'Dinh muc'!$A$2:$I$40,2,0),0)</f>
        <v>7</v>
      </c>
      <c r="H215" s="70">
        <f t="shared" ref="H215:H224" si="65">(C215*24)/(SUM($C$215:$C$224)*24)</f>
        <v>0.125</v>
      </c>
      <c r="I215" s="84">
        <f t="shared" ref="I215:I224" si="66">G215*H215</f>
        <v>0.875</v>
      </c>
      <c r="J215" s="68">
        <v>0.25</v>
      </c>
      <c r="K215" s="71">
        <f>IFERROR(VLOOKUP($B215,'Dinh muc'!$A$2:$I$40,6,0),0)</f>
        <v>12.375</v>
      </c>
      <c r="L215" s="71">
        <f>IFERROR(D215/(C215*24),0)</f>
        <v>12.375</v>
      </c>
      <c r="M215" s="2"/>
      <c r="N215" s="68">
        <v>0.25</v>
      </c>
      <c r="O215" s="85">
        <v>2.48</v>
      </c>
      <c r="P215" s="85">
        <f>(SUM(E215:E224)/(SUM(C215:C223)*24))</f>
        <v>4.9107142857142856</v>
      </c>
      <c r="Q215" s="85"/>
      <c r="R215" s="77">
        <f>F215*I225+J215*M225+N215*Q225</f>
        <v>7.5680720779220785</v>
      </c>
      <c r="S215" s="76">
        <v>0.7</v>
      </c>
      <c r="T215" s="32">
        <f>T204</f>
        <v>164835.16483516482</v>
      </c>
      <c r="U215" s="91">
        <f>IFERROR(VLOOKUP(A215,'chi phi XCG'!$A$2:$C$39,3,0),0)</f>
        <v>181318.68131868137</v>
      </c>
      <c r="V215" s="83">
        <f>(T215*8)/U215</f>
        <v>7.2727272727272698</v>
      </c>
      <c r="W215" s="77">
        <v>0.3</v>
      </c>
      <c r="X215" s="78">
        <f>R215*S215+V215*W215</f>
        <v>7.4794686363636353</v>
      </c>
      <c r="Y215" s="47" t="str">
        <f>IF(X215&gt;=10,"A++",IF(X215&gt;=9,"A+",IF(X215&gt;=8,"A",IF(X215&gt;=7,"B","C"))))</f>
        <v>B</v>
      </c>
    </row>
    <row r="216" spans="1:25" x14ac:dyDescent="0.35">
      <c r="A216" s="46"/>
      <c r="B216" s="2" t="s">
        <v>42</v>
      </c>
      <c r="C216" s="3">
        <v>1.4375</v>
      </c>
      <c r="D216" s="88">
        <v>336.375</v>
      </c>
      <c r="E216" s="67">
        <v>275</v>
      </c>
      <c r="F216" s="68"/>
      <c r="G216" s="69">
        <f>IFERROR(VLOOKUP($B216,'Dinh muc'!$A$2:$I$40,2,0),0)</f>
        <v>10</v>
      </c>
      <c r="H216" s="70">
        <f t="shared" si="65"/>
        <v>0.6160714285714286</v>
      </c>
      <c r="I216" s="84">
        <f t="shared" si="66"/>
        <v>6.1607142857142865</v>
      </c>
      <c r="J216" s="68"/>
      <c r="K216" s="71">
        <f>IFERROR(VLOOKUP($B216,'Dinh muc'!$A$2:$I$40,6,0),0)</f>
        <v>9.75</v>
      </c>
      <c r="L216" s="71">
        <f t="shared" ref="L216:L224" si="67">IFERROR(D216/(C216*24),0)</f>
        <v>9.75</v>
      </c>
      <c r="M216" s="2"/>
      <c r="N216" s="68"/>
      <c r="O216" s="85"/>
      <c r="P216" s="85"/>
      <c r="Q216" s="85"/>
      <c r="R216" s="77"/>
      <c r="S216" s="68"/>
      <c r="T216" s="77"/>
      <c r="U216" s="95"/>
      <c r="V216" s="77"/>
      <c r="W216" s="77"/>
      <c r="X216" s="77"/>
      <c r="Y216" s="47"/>
    </row>
    <row r="217" spans="1:25" x14ac:dyDescent="0.35">
      <c r="A217" s="46"/>
      <c r="B217" s="2" t="s">
        <v>51</v>
      </c>
      <c r="C217" s="3">
        <v>2.0833333333333332E-2</v>
      </c>
      <c r="D217" s="88">
        <v>4.875</v>
      </c>
      <c r="E217" s="67"/>
      <c r="F217" s="68"/>
      <c r="G217" s="69">
        <f>IFERROR(VLOOKUP($B217,'Dinh muc'!$A$2:$I$40,2,0),0)</f>
        <v>9</v>
      </c>
      <c r="H217" s="70">
        <f t="shared" si="65"/>
        <v>8.9285714285714281E-3</v>
      </c>
      <c r="I217" s="84">
        <f t="shared" si="66"/>
        <v>8.0357142857142849E-2</v>
      </c>
      <c r="J217" s="68"/>
      <c r="K217" s="71">
        <f>IFERROR(VLOOKUP($B217,'Dinh muc'!$A$2:$I$40,6,0),0)</f>
        <v>9.75</v>
      </c>
      <c r="L217" s="71">
        <f t="shared" si="67"/>
        <v>9.75</v>
      </c>
      <c r="M217" s="2"/>
      <c r="N217" s="68"/>
      <c r="O217" s="85"/>
      <c r="P217" s="85"/>
      <c r="Q217" s="85"/>
      <c r="R217" s="77"/>
      <c r="S217" s="68"/>
      <c r="T217" s="77"/>
      <c r="U217" s="95"/>
      <c r="V217" s="77"/>
      <c r="W217" s="77"/>
      <c r="X217" s="77"/>
      <c r="Y217" s="47"/>
    </row>
    <row r="218" spans="1:25" x14ac:dyDescent="0.35">
      <c r="A218" s="46"/>
      <c r="B218" s="2" t="s">
        <v>58</v>
      </c>
      <c r="C218" s="3">
        <v>0.58333333333333337</v>
      </c>
      <c r="D218" s="88">
        <v>136.5</v>
      </c>
      <c r="E218" s="67"/>
      <c r="F218" s="68"/>
      <c r="G218" s="69">
        <f>IFERROR(VLOOKUP($B218,'Dinh muc'!$A$2:$I$40,2,0),0)</f>
        <v>8</v>
      </c>
      <c r="H218" s="70">
        <f t="shared" si="65"/>
        <v>0.25</v>
      </c>
      <c r="I218" s="84">
        <f t="shared" si="66"/>
        <v>2</v>
      </c>
      <c r="J218" s="68"/>
      <c r="K218" s="71">
        <f>IFERROR(VLOOKUP($B218,'Dinh muc'!$A$2:$I$40,6,0),0)</f>
        <v>9.75</v>
      </c>
      <c r="L218" s="71">
        <f t="shared" si="67"/>
        <v>9.75</v>
      </c>
      <c r="M218" s="2"/>
      <c r="N218" s="68"/>
      <c r="O218" s="85"/>
      <c r="P218" s="85"/>
      <c r="Q218" s="85"/>
      <c r="R218" s="77"/>
      <c r="S218" s="68"/>
      <c r="T218" s="77"/>
      <c r="U218" s="95"/>
      <c r="V218" s="77"/>
      <c r="W218" s="77"/>
      <c r="X218" s="77"/>
      <c r="Y218" s="47"/>
    </row>
    <row r="219" spans="1:25" x14ac:dyDescent="0.35">
      <c r="A219" s="46"/>
      <c r="B219" s="2"/>
      <c r="C219" s="3"/>
      <c r="D219" s="32"/>
      <c r="E219" s="67"/>
      <c r="F219" s="68"/>
      <c r="G219" s="69">
        <f>IFERROR(VLOOKUP($B219,'Dinh muc'!$A$2:$I$40,2,0),0)</f>
        <v>0</v>
      </c>
      <c r="H219" s="70">
        <f t="shared" si="65"/>
        <v>0</v>
      </c>
      <c r="I219" s="84">
        <f t="shared" si="66"/>
        <v>0</v>
      </c>
      <c r="J219" s="68"/>
      <c r="K219" s="71">
        <f>IFERROR(VLOOKUP($B219,'Dinh muc'!$A$2:$I$40,6,0),0)</f>
        <v>0</v>
      </c>
      <c r="L219" s="71">
        <f t="shared" si="67"/>
        <v>0</v>
      </c>
      <c r="M219" s="2"/>
      <c r="N219" s="68"/>
      <c r="O219" s="85"/>
      <c r="P219" s="85"/>
      <c r="Q219" s="85"/>
      <c r="R219" s="77"/>
      <c r="S219" s="68"/>
      <c r="T219" s="77"/>
      <c r="U219" s="95"/>
      <c r="V219" s="77"/>
      <c r="W219" s="77"/>
      <c r="X219" s="77"/>
      <c r="Y219" s="47"/>
    </row>
    <row r="220" spans="1:25" x14ac:dyDescent="0.35">
      <c r="A220" s="46"/>
      <c r="B220" s="2"/>
      <c r="C220" s="3"/>
      <c r="D220" s="32"/>
      <c r="E220" s="67"/>
      <c r="F220" s="68"/>
      <c r="G220" s="69">
        <f>IFERROR(VLOOKUP($B220,'Dinh muc'!$A$2:$I$40,2,0),0)</f>
        <v>0</v>
      </c>
      <c r="H220" s="70">
        <f t="shared" si="65"/>
        <v>0</v>
      </c>
      <c r="I220" s="84">
        <f t="shared" si="66"/>
        <v>0</v>
      </c>
      <c r="J220" s="68"/>
      <c r="K220" s="71">
        <f>IFERROR(VLOOKUP($B220,'Dinh muc'!$A$2:$I$40,6,0),0)</f>
        <v>0</v>
      </c>
      <c r="L220" s="71">
        <f t="shared" si="67"/>
        <v>0</v>
      </c>
      <c r="M220" s="2"/>
      <c r="N220" s="68"/>
      <c r="O220" s="85"/>
      <c r="P220" s="85"/>
      <c r="Q220" s="85"/>
      <c r="R220" s="77"/>
      <c r="S220" s="68"/>
      <c r="T220" s="77"/>
      <c r="U220" s="95"/>
      <c r="V220" s="77"/>
      <c r="W220" s="77"/>
      <c r="X220" s="77"/>
      <c r="Y220" s="47"/>
    </row>
    <row r="221" spans="1:25" x14ac:dyDescent="0.35">
      <c r="A221" s="46"/>
      <c r="B221" s="2"/>
      <c r="C221" s="3"/>
      <c r="D221" s="32"/>
      <c r="E221" s="67"/>
      <c r="F221" s="68"/>
      <c r="G221" s="69">
        <f>IFERROR(VLOOKUP($B221,'Dinh muc'!$A$2:$I$40,2,0),0)</f>
        <v>0</v>
      </c>
      <c r="H221" s="70">
        <f t="shared" si="65"/>
        <v>0</v>
      </c>
      <c r="I221" s="84">
        <f t="shared" si="66"/>
        <v>0</v>
      </c>
      <c r="J221" s="68"/>
      <c r="K221" s="71">
        <f>IFERROR(VLOOKUP($B221,'Dinh muc'!$A$2:$I$40,6,0),0)</f>
        <v>0</v>
      </c>
      <c r="L221" s="71">
        <f t="shared" si="67"/>
        <v>0</v>
      </c>
      <c r="M221" s="2"/>
      <c r="N221" s="68"/>
      <c r="O221" s="85"/>
      <c r="P221" s="85"/>
      <c r="Q221" s="85"/>
      <c r="R221" s="77"/>
      <c r="S221" s="68"/>
      <c r="T221" s="77"/>
      <c r="U221" s="95"/>
      <c r="V221" s="77"/>
      <c r="W221" s="77"/>
      <c r="X221" s="77"/>
      <c r="Y221" s="47"/>
    </row>
    <row r="222" spans="1:25" x14ac:dyDescent="0.35">
      <c r="A222" s="46"/>
      <c r="B222" s="2"/>
      <c r="C222" s="3"/>
      <c r="D222" s="32"/>
      <c r="E222" s="67"/>
      <c r="F222" s="68"/>
      <c r="G222" s="69">
        <f>IFERROR(VLOOKUP($B222,'Dinh muc'!$A$2:$I$40,2,0),0)</f>
        <v>0</v>
      </c>
      <c r="H222" s="70">
        <f t="shared" si="65"/>
        <v>0</v>
      </c>
      <c r="I222" s="84">
        <f t="shared" si="66"/>
        <v>0</v>
      </c>
      <c r="J222" s="68"/>
      <c r="K222" s="71">
        <f>IFERROR(VLOOKUP($B222,'Dinh muc'!$A$2:$I$40,6,0),0)</f>
        <v>0</v>
      </c>
      <c r="L222" s="71">
        <f t="shared" si="67"/>
        <v>0</v>
      </c>
      <c r="M222" s="2"/>
      <c r="N222" s="68"/>
      <c r="O222" s="85"/>
      <c r="P222" s="85"/>
      <c r="Q222" s="85"/>
      <c r="R222" s="77"/>
      <c r="S222" s="68"/>
      <c r="T222" s="77"/>
      <c r="U222" s="95"/>
      <c r="V222" s="77"/>
      <c r="W222" s="77"/>
      <c r="X222" s="77"/>
      <c r="Y222" s="47"/>
    </row>
    <row r="223" spans="1:25" x14ac:dyDescent="0.35">
      <c r="A223" s="46"/>
      <c r="B223" s="2"/>
      <c r="C223" s="3"/>
      <c r="D223" s="32"/>
      <c r="E223" s="67"/>
      <c r="F223" s="68"/>
      <c r="G223" s="69">
        <f>IFERROR(VLOOKUP($B223,'Dinh muc'!$A$2:$I$40,2,0),0)</f>
        <v>0</v>
      </c>
      <c r="H223" s="70">
        <f t="shared" si="65"/>
        <v>0</v>
      </c>
      <c r="I223" s="84">
        <f t="shared" si="66"/>
        <v>0</v>
      </c>
      <c r="J223" s="68"/>
      <c r="K223" s="71">
        <f>IFERROR(VLOOKUP($B223,'Dinh muc'!$A$2:$I$40,6,0),0)</f>
        <v>0</v>
      </c>
      <c r="L223" s="71">
        <f t="shared" si="67"/>
        <v>0</v>
      </c>
      <c r="M223" s="2"/>
      <c r="N223" s="68"/>
      <c r="O223" s="85"/>
      <c r="P223" s="85"/>
      <c r="Q223" s="85"/>
      <c r="R223" s="77"/>
      <c r="S223" s="68"/>
      <c r="T223" s="77"/>
      <c r="U223" s="95"/>
      <c r="V223" s="77"/>
      <c r="W223" s="77"/>
      <c r="X223" s="77"/>
      <c r="Y223" s="47"/>
    </row>
    <row r="224" spans="1:25" x14ac:dyDescent="0.35">
      <c r="A224" s="46"/>
      <c r="B224" s="2" t="s">
        <v>82</v>
      </c>
      <c r="C224" s="3"/>
      <c r="D224" s="32"/>
      <c r="E224" s="67"/>
      <c r="F224" s="68"/>
      <c r="G224" s="69">
        <f>IFERROR(VLOOKUP($B224,'Dinh muc'!$A$2:$I$40,2,0),0)</f>
        <v>-20</v>
      </c>
      <c r="H224" s="70">
        <f t="shared" si="65"/>
        <v>0</v>
      </c>
      <c r="I224" s="84">
        <f t="shared" si="66"/>
        <v>0</v>
      </c>
      <c r="J224" s="68"/>
      <c r="K224" s="71">
        <f>IFERROR(VLOOKUP($B224,'Dinh muc'!$A$2:$I$40,6,0),0)</f>
        <v>0</v>
      </c>
      <c r="L224" s="71">
        <f t="shared" si="67"/>
        <v>0</v>
      </c>
      <c r="M224" s="2"/>
      <c r="N224" s="68"/>
      <c r="O224" s="85"/>
      <c r="P224" s="85"/>
      <c r="Q224" s="85"/>
      <c r="R224" s="77"/>
      <c r="S224" s="68"/>
      <c r="T224" s="77"/>
      <c r="U224" s="95"/>
      <c r="V224" s="77"/>
      <c r="W224" s="77"/>
      <c r="X224" s="77"/>
      <c r="Y224" s="47"/>
    </row>
    <row r="225" spans="1:25" x14ac:dyDescent="0.35">
      <c r="A225" s="35"/>
      <c r="B225" s="8"/>
      <c r="C225" s="9"/>
      <c r="D225" s="33"/>
      <c r="E225" s="10"/>
      <c r="F225" s="30"/>
      <c r="G225" s="11"/>
      <c r="H225" s="27"/>
      <c r="I225" s="29">
        <f>SUM(I215:I224)</f>
        <v>9.1160714285714306</v>
      </c>
      <c r="J225" s="30"/>
      <c r="K225" s="30">
        <f>AVERAGE(K215:K224)</f>
        <v>4.1624999999999996</v>
      </c>
      <c r="L225" s="30">
        <f>AVERAGE(L215:L224)</f>
        <v>4.1624999999999996</v>
      </c>
      <c r="M225" s="29">
        <f>(L225*8)/K225</f>
        <v>8</v>
      </c>
      <c r="N225" s="30"/>
      <c r="O225" s="30">
        <f>AVERAGE(O215)</f>
        <v>2.48</v>
      </c>
      <c r="P225" s="30">
        <f>AVERAGE(P215)</f>
        <v>4.9107142857142856</v>
      </c>
      <c r="Q225" s="29">
        <f>(O225*8)/P225</f>
        <v>4.0401454545454545</v>
      </c>
      <c r="R225" s="98"/>
      <c r="S225" s="79"/>
      <c r="T225" s="79"/>
      <c r="U225" s="93"/>
      <c r="V225" s="98"/>
      <c r="W225" s="79"/>
      <c r="X225" s="79"/>
      <c r="Y225" s="61"/>
    </row>
    <row r="226" spans="1:25" x14ac:dyDescent="0.35">
      <c r="A226" s="46" t="s">
        <v>1</v>
      </c>
      <c r="B226" s="2" t="s">
        <v>42</v>
      </c>
      <c r="C226" s="3">
        <v>1.4166666666666667</v>
      </c>
      <c r="D226" s="88">
        <v>331.5</v>
      </c>
      <c r="E226" s="67">
        <v>235</v>
      </c>
      <c r="F226" s="68">
        <v>0.5</v>
      </c>
      <c r="G226" s="69">
        <f>IFERROR(VLOOKUP($B226,'Dinh muc'!$A$2:$I$40,2,0),0)</f>
        <v>10</v>
      </c>
      <c r="H226" s="70">
        <f t="shared" ref="H226:H235" si="68">(C226*24)/(SUM($C$226:$C$235)*24)</f>
        <v>1</v>
      </c>
      <c r="I226" s="84">
        <f t="shared" ref="I226:I235" si="69">G226*H226</f>
        <v>10</v>
      </c>
      <c r="J226" s="68">
        <v>0.25</v>
      </c>
      <c r="K226" s="71">
        <f>IFERROR(VLOOKUP($B226,'Dinh muc'!$A$2:$I$40,6,0),0)</f>
        <v>9.75</v>
      </c>
      <c r="L226" s="71">
        <f>IFERROR(D226/(C226*24),0)</f>
        <v>9.75</v>
      </c>
      <c r="M226" s="2"/>
      <c r="N226" s="68">
        <v>0.25</v>
      </c>
      <c r="O226" s="85">
        <v>2.48</v>
      </c>
      <c r="P226" s="85">
        <f>(SUM(E226:E235)/(SUM(C226:C234)*24))</f>
        <v>6.9117647058823533</v>
      </c>
      <c r="Q226" s="85"/>
      <c r="R226" s="77">
        <f>F226*I236+J226*M236+N226*Q236</f>
        <v>7.7176170212765953</v>
      </c>
      <c r="S226" s="76">
        <v>0.7</v>
      </c>
      <c r="T226" s="32">
        <f>T215</f>
        <v>164835.16483516482</v>
      </c>
      <c r="U226" s="91">
        <f>IFERROR(VLOOKUP(A226,'chi phi XCG'!$A$2:$C$39,3,0),0)</f>
        <v>181318.68131868137</v>
      </c>
      <c r="V226" s="83">
        <f>(T226*8)/U226</f>
        <v>7.2727272727272698</v>
      </c>
      <c r="W226" s="77">
        <v>0.3</v>
      </c>
      <c r="X226" s="78">
        <f>R226*S226+V226*W226</f>
        <v>7.584150096711797</v>
      </c>
      <c r="Y226" s="47" t="str">
        <f>IF(X226&gt;=10,"A++",IF(X226&gt;=9,"A+",IF(X226&gt;=8,"A",IF(X226&gt;=7,"B","C"))))</f>
        <v>B</v>
      </c>
    </row>
    <row r="227" spans="1:25" x14ac:dyDescent="0.35">
      <c r="A227" s="46"/>
      <c r="B227" s="2"/>
      <c r="C227" s="3"/>
      <c r="D227" s="32"/>
      <c r="E227" s="67"/>
      <c r="F227" s="68"/>
      <c r="G227" s="69">
        <f>IFERROR(VLOOKUP($B227,'Dinh muc'!$A$2:$I$40,2,0),0)</f>
        <v>0</v>
      </c>
      <c r="H227" s="70">
        <f t="shared" si="68"/>
        <v>0</v>
      </c>
      <c r="I227" s="84">
        <f t="shared" si="69"/>
        <v>0</v>
      </c>
      <c r="J227" s="68"/>
      <c r="K227" s="71">
        <f>IFERROR(VLOOKUP($B227,'Dinh muc'!$A$2:$I$40,6,0),0)</f>
        <v>0</v>
      </c>
      <c r="L227" s="71">
        <f t="shared" ref="L227:L235" si="70">IFERROR(D227/(C227*24),0)</f>
        <v>0</v>
      </c>
      <c r="M227" s="2"/>
      <c r="N227" s="68"/>
      <c r="O227" s="85"/>
      <c r="P227" s="85"/>
      <c r="Q227" s="85"/>
      <c r="R227" s="77"/>
      <c r="S227" s="68"/>
      <c r="T227" s="32"/>
      <c r="U227" s="95"/>
      <c r="V227" s="77"/>
      <c r="W227" s="77"/>
      <c r="X227" s="77"/>
      <c r="Y227" s="47"/>
    </row>
    <row r="228" spans="1:25" x14ac:dyDescent="0.35">
      <c r="A228" s="46"/>
      <c r="B228" s="2"/>
      <c r="C228" s="3"/>
      <c r="D228" s="32"/>
      <c r="E228" s="67"/>
      <c r="F228" s="68"/>
      <c r="G228" s="69">
        <f>IFERROR(VLOOKUP($B228,'Dinh muc'!$A$2:$I$40,2,0),0)</f>
        <v>0</v>
      </c>
      <c r="H228" s="70">
        <f t="shared" si="68"/>
        <v>0</v>
      </c>
      <c r="I228" s="84">
        <f t="shared" si="69"/>
        <v>0</v>
      </c>
      <c r="J228" s="68"/>
      <c r="K228" s="71">
        <f>IFERROR(VLOOKUP($B228,'Dinh muc'!$A$2:$I$40,6,0),0)</f>
        <v>0</v>
      </c>
      <c r="L228" s="71">
        <f t="shared" si="70"/>
        <v>0</v>
      </c>
      <c r="M228" s="2"/>
      <c r="N228" s="68"/>
      <c r="O228" s="85"/>
      <c r="P228" s="85"/>
      <c r="Q228" s="85"/>
      <c r="R228" s="77"/>
      <c r="S228" s="68"/>
      <c r="T228" s="77"/>
      <c r="U228" s="95"/>
      <c r="V228" s="77"/>
      <c r="W228" s="77"/>
      <c r="X228" s="77"/>
      <c r="Y228" s="47"/>
    </row>
    <row r="229" spans="1:25" x14ac:dyDescent="0.35">
      <c r="A229" s="46"/>
      <c r="B229" s="2"/>
      <c r="C229" s="3"/>
      <c r="D229" s="32"/>
      <c r="E229" s="67"/>
      <c r="F229" s="68"/>
      <c r="G229" s="69">
        <f>IFERROR(VLOOKUP($B229,'Dinh muc'!$A$2:$I$40,2,0),0)</f>
        <v>0</v>
      </c>
      <c r="H229" s="70">
        <f t="shared" si="68"/>
        <v>0</v>
      </c>
      <c r="I229" s="84">
        <f t="shared" si="69"/>
        <v>0</v>
      </c>
      <c r="J229" s="68"/>
      <c r="K229" s="71">
        <f>IFERROR(VLOOKUP($B229,'Dinh muc'!$A$2:$I$40,6,0),0)</f>
        <v>0</v>
      </c>
      <c r="L229" s="71">
        <f t="shared" si="70"/>
        <v>0</v>
      </c>
      <c r="M229" s="2"/>
      <c r="N229" s="68"/>
      <c r="O229" s="85"/>
      <c r="P229" s="85"/>
      <c r="Q229" s="85"/>
      <c r="R229" s="77"/>
      <c r="S229" s="68"/>
      <c r="T229" s="77"/>
      <c r="U229" s="95"/>
      <c r="V229" s="77"/>
      <c r="W229" s="77"/>
      <c r="X229" s="77"/>
      <c r="Y229" s="47"/>
    </row>
    <row r="230" spans="1:25" x14ac:dyDescent="0.35">
      <c r="A230" s="46"/>
      <c r="B230" s="2"/>
      <c r="C230" s="3"/>
      <c r="D230" s="32"/>
      <c r="E230" s="67"/>
      <c r="F230" s="68"/>
      <c r="G230" s="69">
        <f>IFERROR(VLOOKUP($B230,'Dinh muc'!$A$2:$I$40,2,0),0)</f>
        <v>0</v>
      </c>
      <c r="H230" s="70">
        <f t="shared" si="68"/>
        <v>0</v>
      </c>
      <c r="I230" s="84">
        <f t="shared" si="69"/>
        <v>0</v>
      </c>
      <c r="J230" s="68"/>
      <c r="K230" s="71">
        <f>IFERROR(VLOOKUP($B230,'Dinh muc'!$A$2:$I$40,6,0),0)</f>
        <v>0</v>
      </c>
      <c r="L230" s="71">
        <f t="shared" si="70"/>
        <v>0</v>
      </c>
      <c r="M230" s="2"/>
      <c r="N230" s="68"/>
      <c r="O230" s="85"/>
      <c r="P230" s="85"/>
      <c r="Q230" s="85"/>
      <c r="R230" s="77"/>
      <c r="S230" s="68"/>
      <c r="T230" s="77"/>
      <c r="U230" s="95"/>
      <c r="V230" s="77"/>
      <c r="W230" s="77"/>
      <c r="X230" s="77"/>
      <c r="Y230" s="47"/>
    </row>
    <row r="231" spans="1:25" x14ac:dyDescent="0.35">
      <c r="A231" s="46"/>
      <c r="B231" s="2"/>
      <c r="C231" s="3"/>
      <c r="D231" s="32"/>
      <c r="E231" s="67"/>
      <c r="F231" s="68"/>
      <c r="G231" s="69">
        <f>IFERROR(VLOOKUP($B231,'Dinh muc'!$A$2:$I$40,2,0),0)</f>
        <v>0</v>
      </c>
      <c r="H231" s="70">
        <f t="shared" si="68"/>
        <v>0</v>
      </c>
      <c r="I231" s="84">
        <f t="shared" si="69"/>
        <v>0</v>
      </c>
      <c r="J231" s="68"/>
      <c r="K231" s="71">
        <f>IFERROR(VLOOKUP($B231,'Dinh muc'!$A$2:$I$40,6,0),0)</f>
        <v>0</v>
      </c>
      <c r="L231" s="71">
        <f t="shared" si="70"/>
        <v>0</v>
      </c>
      <c r="M231" s="2"/>
      <c r="N231" s="68"/>
      <c r="O231" s="85"/>
      <c r="P231" s="85"/>
      <c r="Q231" s="85"/>
      <c r="R231" s="77"/>
      <c r="S231" s="68"/>
      <c r="T231" s="77"/>
      <c r="U231" s="95"/>
      <c r="V231" s="77"/>
      <c r="W231" s="77"/>
      <c r="X231" s="77"/>
      <c r="Y231" s="47"/>
    </row>
    <row r="232" spans="1:25" x14ac:dyDescent="0.35">
      <c r="A232" s="46"/>
      <c r="B232" s="2"/>
      <c r="C232" s="3"/>
      <c r="D232" s="32"/>
      <c r="E232" s="67"/>
      <c r="F232" s="68"/>
      <c r="G232" s="69">
        <f>IFERROR(VLOOKUP($B232,'Dinh muc'!$A$2:$I$40,2,0),0)</f>
        <v>0</v>
      </c>
      <c r="H232" s="70">
        <f t="shared" si="68"/>
        <v>0</v>
      </c>
      <c r="I232" s="84">
        <f t="shared" si="69"/>
        <v>0</v>
      </c>
      <c r="J232" s="68"/>
      <c r="K232" s="71">
        <f>IFERROR(VLOOKUP($B232,'Dinh muc'!$A$2:$I$40,6,0),0)</f>
        <v>0</v>
      </c>
      <c r="L232" s="71">
        <f t="shared" si="70"/>
        <v>0</v>
      </c>
      <c r="M232" s="2"/>
      <c r="N232" s="68"/>
      <c r="O232" s="85"/>
      <c r="P232" s="85"/>
      <c r="Q232" s="85"/>
      <c r="R232" s="77"/>
      <c r="S232" s="68"/>
      <c r="T232" s="77"/>
      <c r="U232" s="95"/>
      <c r="V232" s="77"/>
      <c r="W232" s="77"/>
      <c r="X232" s="77"/>
      <c r="Y232" s="47"/>
    </row>
    <row r="233" spans="1:25" x14ac:dyDescent="0.35">
      <c r="A233" s="46"/>
      <c r="B233" s="2"/>
      <c r="C233" s="3"/>
      <c r="D233" s="32"/>
      <c r="E233" s="67"/>
      <c r="F233" s="68"/>
      <c r="G233" s="69">
        <f>IFERROR(VLOOKUP($B233,'Dinh muc'!$A$2:$I$40,2,0),0)</f>
        <v>0</v>
      </c>
      <c r="H233" s="70">
        <f t="shared" si="68"/>
        <v>0</v>
      </c>
      <c r="I233" s="84">
        <f t="shared" si="69"/>
        <v>0</v>
      </c>
      <c r="J233" s="68"/>
      <c r="K233" s="71">
        <f>IFERROR(VLOOKUP($B233,'Dinh muc'!$A$2:$I$40,6,0),0)</f>
        <v>0</v>
      </c>
      <c r="L233" s="71">
        <f t="shared" si="70"/>
        <v>0</v>
      </c>
      <c r="M233" s="2"/>
      <c r="N233" s="68"/>
      <c r="O233" s="85"/>
      <c r="P233" s="85"/>
      <c r="Q233" s="85"/>
      <c r="R233" s="77"/>
      <c r="S233" s="68"/>
      <c r="T233" s="77"/>
      <c r="U233" s="95"/>
      <c r="V233" s="77"/>
      <c r="W233" s="77"/>
      <c r="X233" s="77"/>
      <c r="Y233" s="47"/>
    </row>
    <row r="234" spans="1:25" x14ac:dyDescent="0.35">
      <c r="A234" s="46"/>
      <c r="B234" s="2"/>
      <c r="C234" s="3"/>
      <c r="D234" s="32"/>
      <c r="E234" s="67"/>
      <c r="F234" s="68"/>
      <c r="G234" s="69">
        <f>IFERROR(VLOOKUP($B234,'Dinh muc'!$A$2:$I$40,2,0),0)</f>
        <v>0</v>
      </c>
      <c r="H234" s="70">
        <f t="shared" si="68"/>
        <v>0</v>
      </c>
      <c r="I234" s="84">
        <f t="shared" si="69"/>
        <v>0</v>
      </c>
      <c r="J234" s="68"/>
      <c r="K234" s="71">
        <f>IFERROR(VLOOKUP($B234,'Dinh muc'!$A$2:$I$40,6,0),0)</f>
        <v>0</v>
      </c>
      <c r="L234" s="71">
        <f t="shared" si="70"/>
        <v>0</v>
      </c>
      <c r="M234" s="2"/>
      <c r="N234" s="68"/>
      <c r="O234" s="85"/>
      <c r="P234" s="85"/>
      <c r="Q234" s="85"/>
      <c r="R234" s="77"/>
      <c r="S234" s="68"/>
      <c r="T234" s="77"/>
      <c r="U234" s="95"/>
      <c r="V234" s="77"/>
      <c r="W234" s="77"/>
      <c r="X234" s="77"/>
      <c r="Y234" s="47"/>
    </row>
    <row r="235" spans="1:25" x14ac:dyDescent="0.35">
      <c r="A235" s="46"/>
      <c r="B235" s="2" t="s">
        <v>82</v>
      </c>
      <c r="C235" s="3"/>
      <c r="D235" s="32"/>
      <c r="E235" s="67"/>
      <c r="F235" s="68"/>
      <c r="G235" s="69">
        <f>IFERROR(VLOOKUP($B235,'Dinh muc'!$A$2:$I$40,2,0),0)</f>
        <v>-20</v>
      </c>
      <c r="H235" s="70">
        <f t="shared" si="68"/>
        <v>0</v>
      </c>
      <c r="I235" s="84">
        <f t="shared" si="69"/>
        <v>0</v>
      </c>
      <c r="J235" s="68"/>
      <c r="K235" s="71">
        <f>IFERROR(VLOOKUP($B235,'Dinh muc'!$A$2:$I$40,6,0),0)</f>
        <v>0</v>
      </c>
      <c r="L235" s="71">
        <f t="shared" si="70"/>
        <v>0</v>
      </c>
      <c r="M235" s="2"/>
      <c r="N235" s="68"/>
      <c r="O235" s="85"/>
      <c r="P235" s="85"/>
      <c r="Q235" s="85"/>
      <c r="R235" s="77"/>
      <c r="S235" s="68"/>
      <c r="T235" s="77"/>
      <c r="U235" s="95"/>
      <c r="V235" s="77"/>
      <c r="W235" s="77"/>
      <c r="X235" s="77"/>
      <c r="Y235" s="47"/>
    </row>
    <row r="236" spans="1:25" x14ac:dyDescent="0.35">
      <c r="A236" s="35"/>
      <c r="B236" s="8"/>
      <c r="C236" s="9"/>
      <c r="D236" s="33"/>
      <c r="E236" s="10"/>
      <c r="F236" s="30"/>
      <c r="G236" s="11"/>
      <c r="H236" s="27"/>
      <c r="I236" s="29">
        <f>SUM(I226:I235)</f>
        <v>10</v>
      </c>
      <c r="J236" s="30"/>
      <c r="K236" s="30">
        <f>AVERAGE(K226:K235)</f>
        <v>0.97499999999999998</v>
      </c>
      <c r="L236" s="30">
        <f>AVERAGE(L226:L235)</f>
        <v>0.97499999999999998</v>
      </c>
      <c r="M236" s="45">
        <f>(L236*8)/K236</f>
        <v>8</v>
      </c>
      <c r="N236" s="30"/>
      <c r="O236" s="30">
        <f>AVERAGE(O226)</f>
        <v>2.48</v>
      </c>
      <c r="P236" s="30">
        <f>AVERAGE(P226)</f>
        <v>6.9117647058823533</v>
      </c>
      <c r="Q236" s="29">
        <f>(O236*8)/P236</f>
        <v>2.8704680851063826</v>
      </c>
      <c r="R236" s="98"/>
      <c r="S236" s="79"/>
      <c r="T236" s="79"/>
      <c r="U236" s="93"/>
      <c r="V236" s="98"/>
      <c r="W236" s="79"/>
      <c r="X236" s="79"/>
      <c r="Y236" s="61"/>
    </row>
    <row r="237" spans="1:25" x14ac:dyDescent="0.35">
      <c r="A237" s="46" t="s">
        <v>35</v>
      </c>
      <c r="B237" s="2" t="s">
        <v>18</v>
      </c>
      <c r="C237" s="3">
        <v>0.35416666666666663</v>
      </c>
      <c r="D237" s="88">
        <v>105.1875</v>
      </c>
      <c r="E237" s="67">
        <v>121</v>
      </c>
      <c r="F237" s="68">
        <v>0.5</v>
      </c>
      <c r="G237" s="69">
        <f>IFERROR(VLOOKUP($B237,'Dinh muc'!$A$2:$I$40,2,0),0)</f>
        <v>7</v>
      </c>
      <c r="H237" s="70">
        <f t="shared" ref="H237:H246" si="71">(C237*24)/(SUM($C$237:$C$246)*24)</f>
        <v>0.20689655172413793</v>
      </c>
      <c r="I237" s="84">
        <f t="shared" ref="I237:I246" si="72">G237*H237</f>
        <v>1.4482758620689655</v>
      </c>
      <c r="J237" s="68">
        <v>0.25</v>
      </c>
      <c r="K237" s="71">
        <f>IFERROR(VLOOKUP($B237,'Dinh muc'!$A$2:$I$40,6,0),0)</f>
        <v>12.375</v>
      </c>
      <c r="L237" s="71">
        <f>IFERROR(D237/(C237*24),0)</f>
        <v>12.375</v>
      </c>
      <c r="M237" s="2"/>
      <c r="N237" s="68">
        <v>0.25</v>
      </c>
      <c r="O237" s="85">
        <v>2.4767801857585141</v>
      </c>
      <c r="P237" s="85">
        <f>(SUM(E237:E246)/(SUM(C237:C245)*24))</f>
        <v>3.03765690376569</v>
      </c>
      <c r="Q237" s="85"/>
      <c r="R237" s="89">
        <f>F237*I247+J237*M247+N237*Q247</f>
        <v>7.1013057680662524</v>
      </c>
      <c r="S237" s="76">
        <v>0.7</v>
      </c>
      <c r="T237" s="32">
        <f>T226</f>
        <v>164835.16483516482</v>
      </c>
      <c r="U237" s="91">
        <f>IFERROR(VLOOKUP(A237,'chi phi XCG'!$A$2:$C$39,3,0),0)</f>
        <v>77669.726105769238</v>
      </c>
      <c r="V237" s="83">
        <f>(T237*8)/U237</f>
        <v>16.978060626679202</v>
      </c>
      <c r="W237" s="77">
        <v>0.3</v>
      </c>
      <c r="X237" s="78">
        <f>R237*S237+V237*W237</f>
        <v>10.064332225650137</v>
      </c>
      <c r="Y237" s="47" t="str">
        <f>IF(X237&gt;=10,"A++",IF(X237&gt;=9,"A+",IF(X237&gt;=8,"A",IF(X237&gt;=7,"B","C"))))</f>
        <v>A++</v>
      </c>
    </row>
    <row r="238" spans="1:25" x14ac:dyDescent="0.35">
      <c r="A238" s="46"/>
      <c r="B238" s="2" t="s">
        <v>50</v>
      </c>
      <c r="C238" s="3">
        <v>4.1666666666666664E-2</v>
      </c>
      <c r="D238" s="88">
        <v>9.75</v>
      </c>
      <c r="E238" s="67"/>
      <c r="F238" s="68"/>
      <c r="G238" s="69">
        <f>IFERROR(VLOOKUP($B238,'Dinh muc'!$A$2:$I$40,2,0),0)</f>
        <v>8</v>
      </c>
      <c r="H238" s="70">
        <f t="shared" si="71"/>
        <v>2.434077079107505E-2</v>
      </c>
      <c r="I238" s="84">
        <f t="shared" si="72"/>
        <v>0.1947261663286004</v>
      </c>
      <c r="J238" s="68"/>
      <c r="K238" s="71">
        <f>IFERROR(VLOOKUP($B238,'Dinh muc'!$A$2:$I$40,6,0),0)</f>
        <v>9.75</v>
      </c>
      <c r="L238" s="71">
        <f t="shared" ref="L238:L246" si="73">IFERROR(D238/(C238*24),0)</f>
        <v>9.75</v>
      </c>
      <c r="M238" s="2"/>
      <c r="N238" s="68"/>
      <c r="O238" s="85"/>
      <c r="P238" s="85"/>
      <c r="Q238" s="85"/>
      <c r="R238" s="89"/>
      <c r="S238" s="74"/>
      <c r="T238" s="89"/>
      <c r="U238" s="96"/>
      <c r="V238" s="89"/>
      <c r="W238" s="89"/>
      <c r="X238" s="89"/>
      <c r="Y238" s="47"/>
    </row>
    <row r="239" spans="1:25" x14ac:dyDescent="0.35">
      <c r="A239" s="46"/>
      <c r="B239" s="2" t="s">
        <v>97</v>
      </c>
      <c r="C239" s="3">
        <v>0.78472222222222232</v>
      </c>
      <c r="D239" s="88">
        <v>423.75000000000006</v>
      </c>
      <c r="E239" s="67"/>
      <c r="F239" s="68"/>
      <c r="G239" s="69">
        <f>IFERROR(VLOOKUP($B239,'Dinh muc'!$A$2:$I$40,2,0),0)</f>
        <v>8</v>
      </c>
      <c r="H239" s="70">
        <f t="shared" si="71"/>
        <v>0.45841784989858014</v>
      </c>
      <c r="I239" s="84">
        <f t="shared" si="72"/>
        <v>3.6673427991886411</v>
      </c>
      <c r="J239" s="68"/>
      <c r="K239" s="71">
        <f>IFERROR(VLOOKUP($B239,'Dinh muc'!$A$2:$I$40,6,0),0)</f>
        <v>22.5</v>
      </c>
      <c r="L239" s="71">
        <f t="shared" si="73"/>
        <v>22.5</v>
      </c>
      <c r="M239" s="2"/>
      <c r="N239" s="68"/>
      <c r="O239" s="85"/>
      <c r="P239" s="85"/>
      <c r="Q239" s="85"/>
      <c r="R239" s="89"/>
      <c r="S239" s="74"/>
      <c r="T239" s="89"/>
      <c r="U239" s="96"/>
      <c r="V239" s="89"/>
      <c r="W239" s="89"/>
      <c r="X239" s="89"/>
      <c r="Y239" s="47"/>
    </row>
    <row r="240" spans="1:25" x14ac:dyDescent="0.35">
      <c r="A240" s="46"/>
      <c r="B240" s="2" t="s">
        <v>62</v>
      </c>
      <c r="C240" s="3">
        <v>0.47916666666666663</v>
      </c>
      <c r="D240" s="88">
        <v>258.75</v>
      </c>
      <c r="E240" s="67"/>
      <c r="F240" s="68"/>
      <c r="G240" s="69">
        <f>IFERROR(VLOOKUP($B240,'Dinh muc'!$A$2:$I$40,2,0),0)</f>
        <v>8</v>
      </c>
      <c r="H240" s="70">
        <f t="shared" si="71"/>
        <v>0.27991886409736305</v>
      </c>
      <c r="I240" s="84">
        <f t="shared" si="72"/>
        <v>2.2393509127789044</v>
      </c>
      <c r="J240" s="68"/>
      <c r="K240" s="71">
        <f>IFERROR(VLOOKUP($B240,'Dinh muc'!$A$2:$I$40,6,0),0)</f>
        <v>22.5</v>
      </c>
      <c r="L240" s="71">
        <f t="shared" si="73"/>
        <v>22.5</v>
      </c>
      <c r="M240" s="2"/>
      <c r="N240" s="68"/>
      <c r="O240" s="85"/>
      <c r="P240" s="85"/>
      <c r="Q240" s="85"/>
      <c r="R240" s="89"/>
      <c r="S240" s="74"/>
      <c r="T240" s="89"/>
      <c r="U240" s="96"/>
      <c r="V240" s="89"/>
      <c r="W240" s="89"/>
      <c r="X240" s="89"/>
      <c r="Y240" s="47"/>
    </row>
    <row r="241" spans="1:25" x14ac:dyDescent="0.35">
      <c r="A241" s="46"/>
      <c r="B241" s="2"/>
      <c r="C241" s="3"/>
      <c r="D241" s="32"/>
      <c r="E241" s="67"/>
      <c r="F241" s="68"/>
      <c r="G241" s="69">
        <f>IFERROR(VLOOKUP($B241,'Dinh muc'!$A$2:$I$40,2,0),0)</f>
        <v>0</v>
      </c>
      <c r="H241" s="70">
        <f t="shared" si="71"/>
        <v>0</v>
      </c>
      <c r="I241" s="84">
        <f t="shared" si="72"/>
        <v>0</v>
      </c>
      <c r="J241" s="68"/>
      <c r="K241" s="71">
        <f>IFERROR(VLOOKUP($B241,'Dinh muc'!$A$2:$I$40,6,0),0)</f>
        <v>0</v>
      </c>
      <c r="L241" s="71">
        <f t="shared" si="73"/>
        <v>0</v>
      </c>
      <c r="M241" s="2"/>
      <c r="N241" s="68"/>
      <c r="O241" s="85"/>
      <c r="P241" s="85"/>
      <c r="Q241" s="85"/>
      <c r="R241" s="89"/>
      <c r="S241" s="74"/>
      <c r="T241" s="89"/>
      <c r="U241" s="96"/>
      <c r="V241" s="89"/>
      <c r="W241" s="89"/>
      <c r="X241" s="89"/>
      <c r="Y241" s="47"/>
    </row>
    <row r="242" spans="1:25" x14ac:dyDescent="0.35">
      <c r="A242" s="46"/>
      <c r="B242" s="2"/>
      <c r="C242" s="3"/>
      <c r="D242" s="32"/>
      <c r="E242" s="67"/>
      <c r="F242" s="68"/>
      <c r="G242" s="69">
        <f>IFERROR(VLOOKUP($B242,'Dinh muc'!$A$2:$I$40,2,0),0)</f>
        <v>0</v>
      </c>
      <c r="H242" s="70">
        <f t="shared" si="71"/>
        <v>0</v>
      </c>
      <c r="I242" s="84">
        <f t="shared" si="72"/>
        <v>0</v>
      </c>
      <c r="J242" s="68"/>
      <c r="K242" s="71">
        <f>IFERROR(VLOOKUP($B242,'Dinh muc'!$A$2:$I$40,6,0),0)</f>
        <v>0</v>
      </c>
      <c r="L242" s="71">
        <f t="shared" si="73"/>
        <v>0</v>
      </c>
      <c r="M242" s="2"/>
      <c r="N242" s="68"/>
      <c r="O242" s="85"/>
      <c r="P242" s="85"/>
      <c r="Q242" s="85"/>
      <c r="R242" s="89"/>
      <c r="S242" s="74"/>
      <c r="T242" s="89"/>
      <c r="U242" s="96"/>
      <c r="V242" s="89"/>
      <c r="W242" s="89"/>
      <c r="X242" s="89"/>
      <c r="Y242" s="47"/>
    </row>
    <row r="243" spans="1:25" x14ac:dyDescent="0.35">
      <c r="A243" s="46"/>
      <c r="B243" s="2"/>
      <c r="C243" s="3"/>
      <c r="D243" s="32"/>
      <c r="E243" s="67"/>
      <c r="F243" s="68"/>
      <c r="G243" s="69">
        <f>IFERROR(VLOOKUP($B243,'Dinh muc'!$A$2:$I$40,2,0),0)</f>
        <v>0</v>
      </c>
      <c r="H243" s="70">
        <f t="shared" si="71"/>
        <v>0</v>
      </c>
      <c r="I243" s="84">
        <f t="shared" si="72"/>
        <v>0</v>
      </c>
      <c r="J243" s="68"/>
      <c r="K243" s="71">
        <f>IFERROR(VLOOKUP($B243,'Dinh muc'!$A$2:$I$40,6,0),0)</f>
        <v>0</v>
      </c>
      <c r="L243" s="71">
        <f t="shared" si="73"/>
        <v>0</v>
      </c>
      <c r="M243" s="2"/>
      <c r="N243" s="68"/>
      <c r="O243" s="85"/>
      <c r="P243" s="85"/>
      <c r="Q243" s="85"/>
      <c r="R243" s="89"/>
      <c r="S243" s="74"/>
      <c r="T243" s="89"/>
      <c r="U243" s="96"/>
      <c r="V243" s="89"/>
      <c r="W243" s="89"/>
      <c r="X243" s="89"/>
      <c r="Y243" s="47"/>
    </row>
    <row r="244" spans="1:25" x14ac:dyDescent="0.35">
      <c r="A244" s="46"/>
      <c r="B244" s="2"/>
      <c r="C244" s="3"/>
      <c r="D244" s="32"/>
      <c r="E244" s="67"/>
      <c r="F244" s="68"/>
      <c r="G244" s="69">
        <f>IFERROR(VLOOKUP($B244,'Dinh muc'!$A$2:$I$40,2,0),0)</f>
        <v>0</v>
      </c>
      <c r="H244" s="70">
        <f t="shared" si="71"/>
        <v>0</v>
      </c>
      <c r="I244" s="84">
        <f t="shared" si="72"/>
        <v>0</v>
      </c>
      <c r="J244" s="68"/>
      <c r="K244" s="71">
        <f>IFERROR(VLOOKUP($B244,'Dinh muc'!$A$2:$I$40,6,0),0)</f>
        <v>0</v>
      </c>
      <c r="L244" s="71">
        <f t="shared" si="73"/>
        <v>0</v>
      </c>
      <c r="M244" s="2"/>
      <c r="N244" s="68"/>
      <c r="O244" s="85"/>
      <c r="P244" s="85"/>
      <c r="Q244" s="85"/>
      <c r="R244" s="89"/>
      <c r="S244" s="74"/>
      <c r="T244" s="89"/>
      <c r="U244" s="96"/>
      <c r="V244" s="89"/>
      <c r="W244" s="89"/>
      <c r="X244" s="89"/>
      <c r="Y244" s="47"/>
    </row>
    <row r="245" spans="1:25" x14ac:dyDescent="0.35">
      <c r="A245" s="46"/>
      <c r="B245" s="2"/>
      <c r="C245" s="3"/>
      <c r="D245" s="32"/>
      <c r="E245" s="67"/>
      <c r="F245" s="68"/>
      <c r="G245" s="69">
        <f>IFERROR(VLOOKUP($B245,'Dinh muc'!$A$2:$I$40,2,0),0)</f>
        <v>0</v>
      </c>
      <c r="H245" s="70">
        <f t="shared" si="71"/>
        <v>0</v>
      </c>
      <c r="I245" s="84">
        <f t="shared" si="72"/>
        <v>0</v>
      </c>
      <c r="J245" s="68"/>
      <c r="K245" s="71">
        <f>IFERROR(VLOOKUP($B245,'Dinh muc'!$A$2:$I$40,6,0),0)</f>
        <v>0</v>
      </c>
      <c r="L245" s="71">
        <f t="shared" si="73"/>
        <v>0</v>
      </c>
      <c r="M245" s="2"/>
      <c r="N245" s="68"/>
      <c r="O245" s="85"/>
      <c r="P245" s="85"/>
      <c r="Q245" s="85"/>
      <c r="R245" s="89"/>
      <c r="S245" s="74"/>
      <c r="T245" s="89"/>
      <c r="U245" s="96"/>
      <c r="V245" s="89"/>
      <c r="W245" s="89"/>
      <c r="X245" s="89"/>
      <c r="Y245" s="47"/>
    </row>
    <row r="246" spans="1:25" x14ac:dyDescent="0.35">
      <c r="A246" s="46"/>
      <c r="B246" s="2" t="s">
        <v>82</v>
      </c>
      <c r="C246" s="3">
        <v>5.2083333333333336E-2</v>
      </c>
      <c r="D246" s="32"/>
      <c r="E246" s="67"/>
      <c r="F246" s="68"/>
      <c r="G246" s="69">
        <f>IFERROR(VLOOKUP($B246,'Dinh muc'!$A$2:$I$40,2,0),0)</f>
        <v>-20</v>
      </c>
      <c r="H246" s="70">
        <f t="shared" si="71"/>
        <v>3.0425963488843813E-2</v>
      </c>
      <c r="I246" s="84">
        <f t="shared" si="72"/>
        <v>-0.6085192697768762</v>
      </c>
      <c r="J246" s="68"/>
      <c r="K246" s="71">
        <f>IFERROR(VLOOKUP($B246,'Dinh muc'!$A$2:$I$40,6,0),0)</f>
        <v>0</v>
      </c>
      <c r="L246" s="71">
        <f t="shared" si="73"/>
        <v>0</v>
      </c>
      <c r="M246" s="2"/>
      <c r="N246" s="68"/>
      <c r="O246" s="85"/>
      <c r="P246" s="85"/>
      <c r="Q246" s="85"/>
      <c r="R246" s="89"/>
      <c r="S246" s="74"/>
      <c r="T246" s="89"/>
      <c r="U246" s="96"/>
      <c r="V246" s="89"/>
      <c r="W246" s="89"/>
      <c r="X246" s="89"/>
      <c r="Y246" s="47"/>
    </row>
    <row r="247" spans="1:25" x14ac:dyDescent="0.35">
      <c r="A247" s="35"/>
      <c r="B247" s="8"/>
      <c r="C247" s="9"/>
      <c r="D247" s="33"/>
      <c r="E247" s="10"/>
      <c r="F247" s="30"/>
      <c r="G247" s="11"/>
      <c r="H247" s="27"/>
      <c r="I247" s="29">
        <f>SUM(I237:I246)</f>
        <v>6.9411764705882355</v>
      </c>
      <c r="J247" s="30"/>
      <c r="K247" s="30">
        <f>AVERAGE(K237:K246)</f>
        <v>6.7125000000000004</v>
      </c>
      <c r="L247" s="30">
        <f>AVERAGE(L237:L246)</f>
        <v>6.7125000000000004</v>
      </c>
      <c r="M247" s="29">
        <f>(L247*8)/K247</f>
        <v>8</v>
      </c>
      <c r="N247" s="30"/>
      <c r="O247" s="30">
        <f>AVERAGE(O237)</f>
        <v>2.4767801857585141</v>
      </c>
      <c r="P247" s="30">
        <f>AVERAGE(P237)</f>
        <v>3.03765690376569</v>
      </c>
      <c r="Q247" s="29">
        <f>(O247*8)/P247</f>
        <v>6.5228701310885393</v>
      </c>
      <c r="R247" s="98"/>
      <c r="S247" s="79"/>
      <c r="T247" s="79"/>
      <c r="U247" s="93"/>
      <c r="V247" s="98"/>
      <c r="W247" s="79"/>
      <c r="X247" s="79"/>
      <c r="Y247" s="61"/>
    </row>
    <row r="248" spans="1:25" x14ac:dyDescent="0.35">
      <c r="A248" s="46" t="s">
        <v>2</v>
      </c>
      <c r="B248" s="2" t="s">
        <v>18</v>
      </c>
      <c r="C248" s="3">
        <v>0.66666666666666674</v>
      </c>
      <c r="D248" s="88">
        <v>198</v>
      </c>
      <c r="E248" s="67"/>
      <c r="F248" s="68">
        <v>0.5</v>
      </c>
      <c r="G248" s="69">
        <f>IFERROR(VLOOKUP($B248,'Dinh muc'!$A$2:$I$40,2,0),0)</f>
        <v>7</v>
      </c>
      <c r="H248" s="70">
        <f t="shared" ref="H248:H257" si="74">(C248*24)/(SUM($C$248:$C$257)*24)</f>
        <v>0.34657039711191334</v>
      </c>
      <c r="I248" s="84">
        <f t="shared" ref="I248:I257" si="75">G248*H248</f>
        <v>2.4259927797833933</v>
      </c>
      <c r="J248" s="68">
        <v>0.25</v>
      </c>
      <c r="K248" s="71">
        <f>IFERROR(VLOOKUP($B248,'Dinh muc'!$A$2:$I$40,6,0),0)</f>
        <v>12.375</v>
      </c>
      <c r="L248" s="71">
        <f>IFERROR(D248/(C248*24),0)</f>
        <v>12.375</v>
      </c>
      <c r="M248" s="2"/>
      <c r="N248" s="68">
        <v>0.25</v>
      </c>
      <c r="O248" s="85">
        <v>4.8499999999999996</v>
      </c>
      <c r="P248" s="85">
        <f>(SUM(E248:E257)/(SUM(C248:C256)*24))</f>
        <v>8.6642599277978327</v>
      </c>
      <c r="Q248" s="85"/>
      <c r="R248" s="77">
        <f>F248*I258+J248*M258+N248*Q258</f>
        <v>6.7025741576413953</v>
      </c>
      <c r="S248" s="76">
        <v>0.7</v>
      </c>
      <c r="T248" s="32">
        <f>'Dinh muc'!J4</f>
        <v>192307.69230769231</v>
      </c>
      <c r="U248" s="91">
        <f>IFERROR(VLOOKUP(A248,'chi phi XCG'!$A$2:$C$39,3,0),0)</f>
        <v>87230.477884615379</v>
      </c>
      <c r="V248" s="83">
        <f>(T248*8)/U248</f>
        <v>17.636743209140128</v>
      </c>
      <c r="W248" s="77">
        <v>0.3</v>
      </c>
      <c r="X248" s="78">
        <f>R248*S248+V248*W248</f>
        <v>9.9828248730910154</v>
      </c>
      <c r="Y248" s="47" t="str">
        <f>IF(X248&gt;=10,"A++",IF(X248&gt;=9,"A+",IF(X248&gt;=8,"A",IF(X248&gt;=7,"B","C"))))</f>
        <v>A+</v>
      </c>
    </row>
    <row r="249" spans="1:25" x14ac:dyDescent="0.35">
      <c r="A249" s="46"/>
      <c r="B249" s="2" t="s">
        <v>37</v>
      </c>
      <c r="C249" s="3">
        <v>0.44444444444444442</v>
      </c>
      <c r="D249" s="88">
        <v>1333.3333333333333</v>
      </c>
      <c r="E249" s="67"/>
      <c r="F249" s="68"/>
      <c r="G249" s="69">
        <f>IFERROR(VLOOKUP($B249,'Dinh muc'!$A$2:$I$40,2,0),0)</f>
        <v>8</v>
      </c>
      <c r="H249" s="70">
        <f t="shared" si="74"/>
        <v>0.23104693140794219</v>
      </c>
      <c r="I249" s="84">
        <f t="shared" si="75"/>
        <v>1.8483754512635375</v>
      </c>
      <c r="J249" s="68"/>
      <c r="K249" s="71">
        <f>IFERROR(VLOOKUP($B249,'Dinh muc'!$A$2:$I$40,6,0),0)</f>
        <v>125</v>
      </c>
      <c r="L249" s="71">
        <f t="shared" ref="L249:L257" si="76">IFERROR(D249/(C249*24),0)</f>
        <v>125</v>
      </c>
      <c r="M249" s="2"/>
      <c r="N249" s="68"/>
      <c r="O249" s="85"/>
      <c r="P249" s="85"/>
      <c r="Q249" s="85"/>
      <c r="R249" s="77"/>
      <c r="S249" s="68"/>
      <c r="T249" s="77"/>
      <c r="U249" s="95"/>
      <c r="V249" s="77"/>
      <c r="W249" s="77"/>
      <c r="X249" s="77"/>
      <c r="Y249" s="47"/>
    </row>
    <row r="250" spans="1:25" x14ac:dyDescent="0.35">
      <c r="A250" s="46"/>
      <c r="B250" s="2" t="s">
        <v>38</v>
      </c>
      <c r="C250" s="3">
        <v>0.11805555555555557</v>
      </c>
      <c r="D250" s="88">
        <v>354.16666666666669</v>
      </c>
      <c r="E250" s="67">
        <v>200</v>
      </c>
      <c r="F250" s="68"/>
      <c r="G250" s="69">
        <f>IFERROR(VLOOKUP($B250,'Dinh muc'!$A$2:$I$40,2,0),0)</f>
        <v>7</v>
      </c>
      <c r="H250" s="70">
        <f t="shared" si="74"/>
        <v>6.1371841155234655E-2</v>
      </c>
      <c r="I250" s="84">
        <f t="shared" si="75"/>
        <v>0.4296028880866426</v>
      </c>
      <c r="J250" s="68"/>
      <c r="K250" s="71">
        <f>IFERROR(VLOOKUP($B250,'Dinh muc'!$A$2:$I$40,6,0),0)</f>
        <v>125</v>
      </c>
      <c r="L250" s="71">
        <f t="shared" si="76"/>
        <v>125</v>
      </c>
      <c r="M250" s="2"/>
      <c r="N250" s="68"/>
      <c r="O250" s="85"/>
      <c r="P250" s="85"/>
      <c r="Q250" s="85"/>
      <c r="R250" s="77"/>
      <c r="S250" s="68"/>
      <c r="T250" s="77"/>
      <c r="U250" s="95"/>
      <c r="V250" s="77"/>
      <c r="W250" s="77"/>
      <c r="X250" s="77"/>
      <c r="Y250" s="47"/>
    </row>
    <row r="251" spans="1:25" x14ac:dyDescent="0.35">
      <c r="A251" s="46"/>
      <c r="B251" s="2" t="s">
        <v>39</v>
      </c>
      <c r="C251" s="3">
        <v>0.125</v>
      </c>
      <c r="D251" s="88">
        <v>375</v>
      </c>
      <c r="E251" s="67"/>
      <c r="F251" s="68"/>
      <c r="G251" s="69">
        <f>IFERROR(VLOOKUP($B251,'Dinh muc'!$A$2:$I$40,2,0),0)</f>
        <v>6</v>
      </c>
      <c r="H251" s="70">
        <f t="shared" si="74"/>
        <v>6.4981949458483748E-2</v>
      </c>
      <c r="I251" s="84">
        <f t="shared" si="75"/>
        <v>0.38989169675090252</v>
      </c>
      <c r="J251" s="68"/>
      <c r="K251" s="71">
        <f>IFERROR(VLOOKUP($B251,'Dinh muc'!$A$2:$I$40,6,0),0)</f>
        <v>125</v>
      </c>
      <c r="L251" s="71">
        <f t="shared" si="76"/>
        <v>125</v>
      </c>
      <c r="M251" s="2"/>
      <c r="N251" s="68"/>
      <c r="O251" s="85"/>
      <c r="P251" s="85"/>
      <c r="Q251" s="85"/>
      <c r="R251" s="77"/>
      <c r="S251" s="68"/>
      <c r="T251" s="77"/>
      <c r="U251" s="95"/>
      <c r="V251" s="77"/>
      <c r="W251" s="77"/>
      <c r="X251" s="77"/>
      <c r="Y251" s="47"/>
    </row>
    <row r="252" spans="1:25" x14ac:dyDescent="0.35">
      <c r="A252" s="46"/>
      <c r="B252" s="2" t="s">
        <v>43</v>
      </c>
      <c r="C252" s="3">
        <v>0.30555555555555558</v>
      </c>
      <c r="D252" s="88">
        <v>90.750000000000014</v>
      </c>
      <c r="E252" s="67">
        <v>200</v>
      </c>
      <c r="F252" s="68"/>
      <c r="G252" s="69">
        <f>IFERROR(VLOOKUP($B252,'Dinh muc'!$A$2:$I$40,2,0),0)</f>
        <v>7</v>
      </c>
      <c r="H252" s="70">
        <f t="shared" si="74"/>
        <v>0.1588447653429603</v>
      </c>
      <c r="I252" s="84">
        <f t="shared" si="75"/>
        <v>1.1119133574007221</v>
      </c>
      <c r="J252" s="68"/>
      <c r="K252" s="71">
        <f>IFERROR(VLOOKUP($B252,'Dinh muc'!$A$2:$I$40,6,0),0)</f>
        <v>12.375</v>
      </c>
      <c r="L252" s="71">
        <f t="shared" si="76"/>
        <v>12.375000000000002</v>
      </c>
      <c r="M252" s="2"/>
      <c r="N252" s="68"/>
      <c r="O252" s="85"/>
      <c r="P252" s="85"/>
      <c r="Q252" s="85"/>
      <c r="R252" s="77"/>
      <c r="S252" s="68"/>
      <c r="T252" s="77"/>
      <c r="U252" s="95"/>
      <c r="V252" s="77"/>
      <c r="W252" s="77"/>
      <c r="X252" s="77"/>
      <c r="Y252" s="47"/>
    </row>
    <row r="253" spans="1:25" x14ac:dyDescent="0.35">
      <c r="A253" s="46"/>
      <c r="B253" s="2" t="s">
        <v>44</v>
      </c>
      <c r="C253" s="3">
        <v>0.2638888888888889</v>
      </c>
      <c r="D253" s="88">
        <v>78.375000000000014</v>
      </c>
      <c r="E253" s="67"/>
      <c r="F253" s="68"/>
      <c r="G253" s="69">
        <f>IFERROR(VLOOKUP($B253,'Dinh muc'!$A$2:$I$40,2,0),0)</f>
        <v>7</v>
      </c>
      <c r="H253" s="70">
        <f t="shared" si="74"/>
        <v>0.13718411552346571</v>
      </c>
      <c r="I253" s="84">
        <f t="shared" si="75"/>
        <v>0.96028880866426003</v>
      </c>
      <c r="J253" s="68"/>
      <c r="K253" s="71">
        <f>IFERROR(VLOOKUP($B253,'Dinh muc'!$A$2:$I$40,6,0),0)</f>
        <v>12.375</v>
      </c>
      <c r="L253" s="71">
        <f t="shared" si="76"/>
        <v>12.375000000000002</v>
      </c>
      <c r="M253" s="2"/>
      <c r="N253" s="68"/>
      <c r="O253" s="85"/>
      <c r="P253" s="85"/>
      <c r="Q253" s="85"/>
      <c r="R253" s="77"/>
      <c r="S253" s="68"/>
      <c r="T253" s="77"/>
      <c r="U253" s="95"/>
      <c r="V253" s="77"/>
      <c r="W253" s="77"/>
      <c r="X253" s="77"/>
      <c r="Y253" s="47"/>
    </row>
    <row r="254" spans="1:25" x14ac:dyDescent="0.35">
      <c r="A254" s="46"/>
      <c r="B254" s="2"/>
      <c r="C254" s="3"/>
      <c r="D254" s="32"/>
      <c r="E254" s="67"/>
      <c r="F254" s="68"/>
      <c r="G254" s="69">
        <f>IFERROR(VLOOKUP($B254,'Dinh muc'!$A$2:$I$40,2,0),0)</f>
        <v>0</v>
      </c>
      <c r="H254" s="70">
        <f t="shared" si="74"/>
        <v>0</v>
      </c>
      <c r="I254" s="84">
        <f t="shared" si="75"/>
        <v>0</v>
      </c>
      <c r="J254" s="68"/>
      <c r="K254" s="71">
        <f>IFERROR(VLOOKUP($B254,'Dinh muc'!$A$2:$I$40,6,0),0)</f>
        <v>0</v>
      </c>
      <c r="L254" s="71">
        <f t="shared" si="76"/>
        <v>0</v>
      </c>
      <c r="M254" s="2"/>
      <c r="N254" s="68"/>
      <c r="O254" s="85"/>
      <c r="P254" s="85"/>
      <c r="Q254" s="85"/>
      <c r="R254" s="77"/>
      <c r="S254" s="68"/>
      <c r="T254" s="77"/>
      <c r="U254" s="95"/>
      <c r="V254" s="77"/>
      <c r="W254" s="77"/>
      <c r="X254" s="77"/>
      <c r="Y254" s="47"/>
    </row>
    <row r="255" spans="1:25" x14ac:dyDescent="0.35">
      <c r="A255" s="46"/>
      <c r="B255" s="2"/>
      <c r="C255" s="3"/>
      <c r="D255" s="32"/>
      <c r="E255" s="67"/>
      <c r="F255" s="68"/>
      <c r="G255" s="69">
        <f>IFERROR(VLOOKUP($B255,'Dinh muc'!$A$2:$I$40,2,0),0)</f>
        <v>0</v>
      </c>
      <c r="H255" s="70">
        <f t="shared" si="74"/>
        <v>0</v>
      </c>
      <c r="I255" s="84">
        <f t="shared" si="75"/>
        <v>0</v>
      </c>
      <c r="J255" s="68"/>
      <c r="K255" s="71">
        <f>IFERROR(VLOOKUP($B255,'Dinh muc'!$A$2:$I$40,6,0),0)</f>
        <v>0</v>
      </c>
      <c r="L255" s="71">
        <f t="shared" si="76"/>
        <v>0</v>
      </c>
      <c r="M255" s="2"/>
      <c r="N255" s="68"/>
      <c r="O255" s="85"/>
      <c r="P255" s="85"/>
      <c r="Q255" s="85"/>
      <c r="R255" s="77"/>
      <c r="S255" s="68"/>
      <c r="T255" s="77"/>
      <c r="U255" s="95"/>
      <c r="V255" s="77"/>
      <c r="W255" s="77"/>
      <c r="X255" s="77"/>
      <c r="Y255" s="47"/>
    </row>
    <row r="256" spans="1:25" x14ac:dyDescent="0.35">
      <c r="A256" s="46"/>
      <c r="B256" s="2"/>
      <c r="C256" s="3"/>
      <c r="D256" s="32"/>
      <c r="E256" s="67"/>
      <c r="F256" s="68"/>
      <c r="G256" s="69">
        <f>IFERROR(VLOOKUP($B256,'Dinh muc'!$A$2:$I$40,2,0),0)</f>
        <v>0</v>
      </c>
      <c r="H256" s="70">
        <f t="shared" si="74"/>
        <v>0</v>
      </c>
      <c r="I256" s="84">
        <f t="shared" si="75"/>
        <v>0</v>
      </c>
      <c r="J256" s="68"/>
      <c r="K256" s="71">
        <f>IFERROR(VLOOKUP($B256,'Dinh muc'!$A$2:$I$40,6,0),0)</f>
        <v>0</v>
      </c>
      <c r="L256" s="71">
        <f t="shared" si="76"/>
        <v>0</v>
      </c>
      <c r="M256" s="2"/>
      <c r="N256" s="68"/>
      <c r="O256" s="85"/>
      <c r="P256" s="85"/>
      <c r="Q256" s="85"/>
      <c r="R256" s="77"/>
      <c r="S256" s="68"/>
      <c r="T256" s="77"/>
      <c r="U256" s="95"/>
      <c r="V256" s="77"/>
      <c r="W256" s="77"/>
      <c r="X256" s="77"/>
      <c r="Y256" s="47"/>
    </row>
    <row r="257" spans="1:25" x14ac:dyDescent="0.35">
      <c r="A257" s="46"/>
      <c r="B257" s="2" t="s">
        <v>82</v>
      </c>
      <c r="C257" s="3"/>
      <c r="D257" s="32"/>
      <c r="E257" s="67"/>
      <c r="F257" s="68"/>
      <c r="G257" s="69">
        <f>IFERROR(VLOOKUP($B257,'Dinh muc'!$A$2:$I$40,2,0),0)</f>
        <v>-20</v>
      </c>
      <c r="H257" s="70">
        <f t="shared" si="74"/>
        <v>0</v>
      </c>
      <c r="I257" s="84">
        <f t="shared" si="75"/>
        <v>0</v>
      </c>
      <c r="J257" s="68"/>
      <c r="K257" s="71">
        <f>IFERROR(VLOOKUP($B257,'Dinh muc'!$A$2:$I$40,6,0),0)</f>
        <v>0</v>
      </c>
      <c r="L257" s="71">
        <f t="shared" si="76"/>
        <v>0</v>
      </c>
      <c r="M257" s="2"/>
      <c r="N257" s="68"/>
      <c r="O257" s="85"/>
      <c r="P257" s="85"/>
      <c r="Q257" s="85"/>
      <c r="R257" s="77"/>
      <c r="S257" s="68"/>
      <c r="T257" s="77"/>
      <c r="U257" s="95"/>
      <c r="V257" s="77"/>
      <c r="W257" s="77"/>
      <c r="X257" s="77"/>
      <c r="Y257" s="47"/>
    </row>
    <row r="258" spans="1:25" x14ac:dyDescent="0.35">
      <c r="A258" s="35"/>
      <c r="B258" s="8"/>
      <c r="C258" s="9"/>
      <c r="D258" s="33"/>
      <c r="E258" s="10"/>
      <c r="F258" s="30"/>
      <c r="G258" s="11"/>
      <c r="H258" s="27"/>
      <c r="I258" s="29">
        <f>SUM(I248:I257)</f>
        <v>7.1660649819494582</v>
      </c>
      <c r="J258" s="30"/>
      <c r="K258" s="30">
        <f>AVERAGE(K248:K257)</f>
        <v>41.212499999999999</v>
      </c>
      <c r="L258" s="30">
        <f>AVERAGE(L248:L257)</f>
        <v>41.212499999999999</v>
      </c>
      <c r="M258" s="29">
        <f>(L258*8)/K258</f>
        <v>8</v>
      </c>
      <c r="N258" s="30"/>
      <c r="O258" s="30">
        <f>AVERAGE(O248)</f>
        <v>4.8499999999999996</v>
      </c>
      <c r="P258" s="30">
        <f>AVERAGE(P248)</f>
        <v>8.6642599277978327</v>
      </c>
      <c r="Q258" s="29">
        <f>(O258*8)/P258</f>
        <v>4.4781666666666666</v>
      </c>
      <c r="R258" s="98"/>
      <c r="S258" s="79"/>
      <c r="T258" s="79"/>
      <c r="U258" s="93"/>
      <c r="V258" s="98"/>
      <c r="W258" s="79"/>
      <c r="X258" s="79"/>
      <c r="Y258" s="61"/>
    </row>
    <row r="259" spans="1:25" x14ac:dyDescent="0.35">
      <c r="A259" s="46" t="s">
        <v>3</v>
      </c>
      <c r="B259" s="2" t="s">
        <v>18</v>
      </c>
      <c r="C259" s="3">
        <v>0.125</v>
      </c>
      <c r="D259" s="88">
        <v>37.125</v>
      </c>
      <c r="E259" s="67">
        <v>50</v>
      </c>
      <c r="F259" s="68">
        <v>0.5</v>
      </c>
      <c r="G259" s="69">
        <f>IFERROR(VLOOKUP($B259,'Dinh muc'!$A$2:$I$40,2,0),0)</f>
        <v>7</v>
      </c>
      <c r="H259" s="70">
        <f t="shared" ref="H259:H268" si="77">(C259*24)/(SUM($C$259:$C$268)*24)</f>
        <v>0.12244897959183673</v>
      </c>
      <c r="I259" s="84">
        <f t="shared" ref="I259" si="78">G259*H259</f>
        <v>0.8571428571428571</v>
      </c>
      <c r="J259" s="68">
        <v>0.25</v>
      </c>
      <c r="K259" s="71">
        <f>IFERROR(VLOOKUP($B259,'Dinh muc'!$A$2:$I$40,6,0),0)</f>
        <v>12.375</v>
      </c>
      <c r="L259" s="71">
        <f>IFERROR(D259/(C259*24),0)</f>
        <v>12.375</v>
      </c>
      <c r="M259" s="2"/>
      <c r="N259" s="68">
        <v>0.25</v>
      </c>
      <c r="O259" s="85">
        <v>4.8499999999999996</v>
      </c>
      <c r="P259" s="85">
        <f>(SUM(E259:E268)/(SUM(C259:C267)*24))</f>
        <v>4.2857142857142856</v>
      </c>
      <c r="Q259" s="85"/>
      <c r="R259" s="77">
        <f>F259*I269+J259*M269+N259*Q269</f>
        <v>7.7327210884353743</v>
      </c>
      <c r="S259" s="76">
        <v>0.7</v>
      </c>
      <c r="T259" s="32">
        <f>T248</f>
        <v>192307.69230769231</v>
      </c>
      <c r="U259" s="91">
        <f>IFERROR(VLOOKUP(A259,'chi phi XCG'!$A$2:$C$39,3,0),0)</f>
        <v>86319.930096153854</v>
      </c>
      <c r="V259" s="83">
        <f>(T259*8)/U259</f>
        <v>17.822784804712064</v>
      </c>
      <c r="W259" s="77">
        <v>0.3</v>
      </c>
      <c r="X259" s="78">
        <f>R259*S259+V259*W259</f>
        <v>10.75974020331838</v>
      </c>
      <c r="Y259" s="47" t="str">
        <f>IF(X259&gt;=10,"A++",IF(X259&gt;=9,"A+",IF(X259&gt;=8,"A",IF(X259&gt;=7,"B","C"))))</f>
        <v>A++</v>
      </c>
    </row>
    <row r="260" spans="1:25" x14ac:dyDescent="0.35">
      <c r="A260" s="46"/>
      <c r="B260" s="2" t="s">
        <v>37</v>
      </c>
      <c r="C260" s="3">
        <v>0.24652777777777779</v>
      </c>
      <c r="D260" s="88">
        <v>739.58333333333337</v>
      </c>
      <c r="E260" s="67">
        <v>30</v>
      </c>
      <c r="F260" s="68"/>
      <c r="G260" s="69">
        <f>IFERROR(VLOOKUP($B260,'Dinh muc'!$A$2:$I$40,2,0),0)</f>
        <v>8</v>
      </c>
      <c r="H260" s="70">
        <f t="shared" si="77"/>
        <v>0.2414965986394558</v>
      </c>
      <c r="I260" s="84">
        <f t="shared" ref="I260:I268" si="79">G260*H260</f>
        <v>1.9319727891156464</v>
      </c>
      <c r="J260" s="68"/>
      <c r="K260" s="71">
        <f>IFERROR(VLOOKUP($B260,'Dinh muc'!$A$2:$I$40,6,0),0)</f>
        <v>125</v>
      </c>
      <c r="L260" s="71">
        <f t="shared" ref="L260:L268" si="80">IFERROR(D260/(C260*24),0)</f>
        <v>125</v>
      </c>
      <c r="M260" s="2"/>
      <c r="N260" s="68"/>
      <c r="O260" s="85"/>
      <c r="P260" s="85"/>
      <c r="Q260" s="85"/>
      <c r="R260" s="77"/>
      <c r="S260" s="68"/>
      <c r="T260" s="77"/>
      <c r="U260" s="95"/>
      <c r="V260" s="77"/>
      <c r="W260" s="77"/>
      <c r="X260" s="77"/>
      <c r="Y260" s="47"/>
    </row>
    <row r="261" spans="1:25" x14ac:dyDescent="0.35">
      <c r="A261" s="46"/>
      <c r="B261" s="2" t="s">
        <v>38</v>
      </c>
      <c r="C261" s="3">
        <v>0.21527777777777779</v>
      </c>
      <c r="D261" s="88">
        <v>645.83333333333337</v>
      </c>
      <c r="E261" s="67">
        <v>25</v>
      </c>
      <c r="F261" s="68"/>
      <c r="G261" s="69">
        <f>IFERROR(VLOOKUP($B261,'Dinh muc'!$A$2:$I$40,2,0),0)</f>
        <v>7</v>
      </c>
      <c r="H261" s="70">
        <f t="shared" si="77"/>
        <v>0.21088435374149661</v>
      </c>
      <c r="I261" s="84">
        <f t="shared" si="79"/>
        <v>1.4761904761904763</v>
      </c>
      <c r="J261" s="68"/>
      <c r="K261" s="71">
        <f>IFERROR(VLOOKUP($B261,'Dinh muc'!$A$2:$I$40,6,0),0)</f>
        <v>125</v>
      </c>
      <c r="L261" s="71">
        <f t="shared" si="80"/>
        <v>125</v>
      </c>
      <c r="M261" s="2"/>
      <c r="N261" s="68"/>
      <c r="O261" s="85"/>
      <c r="P261" s="85"/>
      <c r="Q261" s="85"/>
      <c r="R261" s="77"/>
      <c r="S261" s="68"/>
      <c r="T261" s="77"/>
      <c r="U261" s="95"/>
      <c r="V261" s="77"/>
      <c r="W261" s="77"/>
      <c r="X261" s="77"/>
      <c r="Y261" s="47"/>
    </row>
    <row r="262" spans="1:25" x14ac:dyDescent="0.35">
      <c r="A262" s="46"/>
      <c r="B262" s="2" t="s">
        <v>39</v>
      </c>
      <c r="C262" s="3">
        <v>0.30902777777777773</v>
      </c>
      <c r="D262" s="88">
        <v>927.08333333333326</v>
      </c>
      <c r="E262" s="67"/>
      <c r="F262" s="68"/>
      <c r="G262" s="69">
        <f>IFERROR(VLOOKUP($B262,'Dinh muc'!$A$2:$I$40,2,0),0)</f>
        <v>6</v>
      </c>
      <c r="H262" s="70">
        <f t="shared" si="77"/>
        <v>0.30272108843537415</v>
      </c>
      <c r="I262" s="84">
        <f t="shared" si="79"/>
        <v>1.8163265306122449</v>
      </c>
      <c r="J262" s="68"/>
      <c r="K262" s="71">
        <f>IFERROR(VLOOKUP($B262,'Dinh muc'!$A$2:$I$40,6,0),0)</f>
        <v>125</v>
      </c>
      <c r="L262" s="71">
        <f t="shared" si="80"/>
        <v>125</v>
      </c>
      <c r="M262" s="2"/>
      <c r="N262" s="68"/>
      <c r="O262" s="85"/>
      <c r="P262" s="85"/>
      <c r="Q262" s="85"/>
      <c r="R262" s="77"/>
      <c r="S262" s="68"/>
      <c r="T262" s="77"/>
      <c r="U262" s="95"/>
      <c r="V262" s="77"/>
      <c r="W262" s="77"/>
      <c r="X262" s="77"/>
      <c r="Y262" s="47"/>
    </row>
    <row r="263" spans="1:25" x14ac:dyDescent="0.35">
      <c r="A263" s="46"/>
      <c r="B263" s="2" t="s">
        <v>44</v>
      </c>
      <c r="C263" s="3">
        <v>0.125</v>
      </c>
      <c r="D263" s="88">
        <v>37.125</v>
      </c>
      <c r="E263" s="67"/>
      <c r="F263" s="68"/>
      <c r="G263" s="69">
        <f>IFERROR(VLOOKUP($B263,'Dinh muc'!$A$2:$I$40,2,0),0)</f>
        <v>7</v>
      </c>
      <c r="H263" s="70">
        <f t="shared" si="77"/>
        <v>0.12244897959183673</v>
      </c>
      <c r="I263" s="84">
        <f t="shared" si="79"/>
        <v>0.8571428571428571</v>
      </c>
      <c r="J263" s="68"/>
      <c r="K263" s="71">
        <f>IFERROR(VLOOKUP($B263,'Dinh muc'!$A$2:$I$40,6,0),0)</f>
        <v>12.375</v>
      </c>
      <c r="L263" s="71">
        <f t="shared" si="80"/>
        <v>12.375</v>
      </c>
      <c r="M263" s="2"/>
      <c r="N263" s="68"/>
      <c r="O263" s="85"/>
      <c r="P263" s="85"/>
      <c r="Q263" s="85"/>
      <c r="R263" s="77"/>
      <c r="S263" s="68"/>
      <c r="T263" s="77"/>
      <c r="U263" s="95"/>
      <c r="V263" s="77"/>
      <c r="W263" s="77"/>
      <c r="X263" s="77"/>
      <c r="Y263" s="47"/>
    </row>
    <row r="264" spans="1:25" x14ac:dyDescent="0.35">
      <c r="A264" s="46"/>
      <c r="B264" s="2"/>
      <c r="C264" s="3"/>
      <c r="D264" s="32"/>
      <c r="E264" s="67"/>
      <c r="F264" s="68"/>
      <c r="G264" s="69">
        <f>IFERROR(VLOOKUP($B264,'Dinh muc'!$A$2:$I$40,2,0),0)</f>
        <v>0</v>
      </c>
      <c r="H264" s="70">
        <f t="shared" si="77"/>
        <v>0</v>
      </c>
      <c r="I264" s="84">
        <f t="shared" si="79"/>
        <v>0</v>
      </c>
      <c r="J264" s="68"/>
      <c r="K264" s="71">
        <f>IFERROR(VLOOKUP($B264,'Dinh muc'!$A$2:$I$40,6,0),0)</f>
        <v>0</v>
      </c>
      <c r="L264" s="71">
        <f t="shared" si="80"/>
        <v>0</v>
      </c>
      <c r="M264" s="2"/>
      <c r="N264" s="68"/>
      <c r="O264" s="85"/>
      <c r="P264" s="85"/>
      <c r="Q264" s="85"/>
      <c r="R264" s="77"/>
      <c r="S264" s="68"/>
      <c r="T264" s="77"/>
      <c r="U264" s="95"/>
      <c r="V264" s="77"/>
      <c r="W264" s="77"/>
      <c r="X264" s="77"/>
      <c r="Y264" s="47"/>
    </row>
    <row r="265" spans="1:25" x14ac:dyDescent="0.35">
      <c r="A265" s="46"/>
      <c r="B265" s="2"/>
      <c r="C265" s="3"/>
      <c r="D265" s="32"/>
      <c r="E265" s="67"/>
      <c r="F265" s="68"/>
      <c r="G265" s="69">
        <f>IFERROR(VLOOKUP($B265,'Dinh muc'!$A$2:$I$40,2,0),0)</f>
        <v>0</v>
      </c>
      <c r="H265" s="70">
        <f t="shared" si="77"/>
        <v>0</v>
      </c>
      <c r="I265" s="84">
        <f t="shared" si="79"/>
        <v>0</v>
      </c>
      <c r="J265" s="68"/>
      <c r="K265" s="71">
        <f>IFERROR(VLOOKUP($B265,'Dinh muc'!$A$2:$I$40,6,0),0)</f>
        <v>0</v>
      </c>
      <c r="L265" s="71">
        <f t="shared" si="80"/>
        <v>0</v>
      </c>
      <c r="M265" s="2"/>
      <c r="N265" s="68"/>
      <c r="O265" s="85"/>
      <c r="P265" s="85"/>
      <c r="Q265" s="85"/>
      <c r="R265" s="77"/>
      <c r="S265" s="68"/>
      <c r="T265" s="77"/>
      <c r="U265" s="95"/>
      <c r="V265" s="77"/>
      <c r="W265" s="77"/>
      <c r="X265" s="77"/>
      <c r="Y265" s="47"/>
    </row>
    <row r="266" spans="1:25" x14ac:dyDescent="0.35">
      <c r="A266" s="46"/>
      <c r="B266" s="2"/>
      <c r="C266" s="3"/>
      <c r="D266" s="32"/>
      <c r="E266" s="67"/>
      <c r="F266" s="68"/>
      <c r="G266" s="69">
        <f>IFERROR(VLOOKUP($B266,'Dinh muc'!$A$2:$I$40,2,0),0)</f>
        <v>0</v>
      </c>
      <c r="H266" s="70">
        <f t="shared" si="77"/>
        <v>0</v>
      </c>
      <c r="I266" s="84">
        <f t="shared" si="79"/>
        <v>0</v>
      </c>
      <c r="J266" s="68"/>
      <c r="K266" s="71">
        <f>IFERROR(VLOOKUP($B266,'Dinh muc'!$A$2:$I$40,6,0),0)</f>
        <v>0</v>
      </c>
      <c r="L266" s="71">
        <f t="shared" si="80"/>
        <v>0</v>
      </c>
      <c r="M266" s="2"/>
      <c r="N266" s="68"/>
      <c r="O266" s="85"/>
      <c r="P266" s="85"/>
      <c r="Q266" s="85"/>
      <c r="R266" s="77"/>
      <c r="S266" s="68"/>
      <c r="T266" s="77"/>
      <c r="U266" s="95"/>
      <c r="V266" s="77"/>
      <c r="W266" s="77"/>
      <c r="X266" s="77"/>
      <c r="Y266" s="47"/>
    </row>
    <row r="267" spans="1:25" x14ac:dyDescent="0.35">
      <c r="A267" s="46"/>
      <c r="B267" s="2"/>
      <c r="C267" s="3"/>
      <c r="D267" s="32"/>
      <c r="E267" s="67"/>
      <c r="F267" s="68"/>
      <c r="G267" s="69">
        <f>IFERROR(VLOOKUP($B267,'Dinh muc'!$A$2:$I$40,2,0),0)</f>
        <v>0</v>
      </c>
      <c r="H267" s="70">
        <f t="shared" si="77"/>
        <v>0</v>
      </c>
      <c r="I267" s="84">
        <f t="shared" si="79"/>
        <v>0</v>
      </c>
      <c r="J267" s="68"/>
      <c r="K267" s="71">
        <f>IFERROR(VLOOKUP($B267,'Dinh muc'!$A$2:$I$40,6,0),0)</f>
        <v>0</v>
      </c>
      <c r="L267" s="71">
        <f t="shared" si="80"/>
        <v>0</v>
      </c>
      <c r="M267" s="2"/>
      <c r="N267" s="68"/>
      <c r="O267" s="85"/>
      <c r="P267" s="85"/>
      <c r="Q267" s="85"/>
      <c r="R267" s="77"/>
      <c r="S267" s="68"/>
      <c r="T267" s="77"/>
      <c r="U267" s="95"/>
      <c r="V267" s="77"/>
      <c r="W267" s="77"/>
      <c r="X267" s="77"/>
      <c r="Y267" s="47"/>
    </row>
    <row r="268" spans="1:25" x14ac:dyDescent="0.35">
      <c r="A268" s="46"/>
      <c r="B268" s="2" t="s">
        <v>82</v>
      </c>
      <c r="C268" s="3"/>
      <c r="D268" s="32"/>
      <c r="E268" s="67"/>
      <c r="F268" s="68"/>
      <c r="G268" s="69">
        <f>IFERROR(VLOOKUP($B268,'Dinh muc'!$A$2:$I$40,2,0),0)</f>
        <v>-20</v>
      </c>
      <c r="H268" s="70">
        <f t="shared" si="77"/>
        <v>0</v>
      </c>
      <c r="I268" s="84">
        <f t="shared" si="79"/>
        <v>0</v>
      </c>
      <c r="J268" s="68"/>
      <c r="K268" s="71">
        <f>IFERROR(VLOOKUP($B268,'Dinh muc'!$A$2:$I$40,6,0),0)</f>
        <v>0</v>
      </c>
      <c r="L268" s="71">
        <f t="shared" si="80"/>
        <v>0</v>
      </c>
      <c r="M268" s="2"/>
      <c r="N268" s="68"/>
      <c r="O268" s="85"/>
      <c r="P268" s="85"/>
      <c r="Q268" s="85"/>
      <c r="R268" s="77"/>
      <c r="S268" s="68"/>
      <c r="T268" s="77"/>
      <c r="U268" s="95"/>
      <c r="V268" s="77"/>
      <c r="W268" s="77"/>
      <c r="X268" s="77"/>
      <c r="Y268" s="47"/>
    </row>
    <row r="269" spans="1:25" x14ac:dyDescent="0.35">
      <c r="A269" s="35"/>
      <c r="B269" s="8"/>
      <c r="C269" s="9"/>
      <c r="D269" s="33"/>
      <c r="E269" s="10"/>
      <c r="F269" s="30"/>
      <c r="G269" s="11"/>
      <c r="H269" s="27"/>
      <c r="I269" s="29">
        <f>SUM(I259:I268)</f>
        <v>6.9387755102040813</v>
      </c>
      <c r="J269" s="30"/>
      <c r="K269" s="30">
        <f>AVERAGE(K259:K268)</f>
        <v>39.975000000000001</v>
      </c>
      <c r="L269" s="30">
        <f>AVERAGE(L259:L268)</f>
        <v>39.975000000000001</v>
      </c>
      <c r="M269" s="29">
        <f>(L269*8)/K269</f>
        <v>8</v>
      </c>
      <c r="N269" s="30"/>
      <c r="O269" s="30">
        <f>AVERAGE(O259)</f>
        <v>4.8499999999999996</v>
      </c>
      <c r="P269" s="30">
        <f>AVERAGE(P259)</f>
        <v>4.2857142857142856</v>
      </c>
      <c r="Q269" s="29">
        <f>(O269*8)/P269</f>
        <v>9.0533333333333328</v>
      </c>
      <c r="R269" s="98"/>
      <c r="S269" s="79"/>
      <c r="T269" s="79"/>
      <c r="U269" s="93"/>
      <c r="V269" s="98"/>
      <c r="W269" s="79"/>
      <c r="X269" s="79"/>
      <c r="Y269" s="61"/>
    </row>
    <row r="270" spans="1:25" x14ac:dyDescent="0.35">
      <c r="A270" s="46" t="s">
        <v>15</v>
      </c>
      <c r="B270" s="2" t="s">
        <v>18</v>
      </c>
      <c r="C270" s="3">
        <v>0.29166666666666669</v>
      </c>
      <c r="D270" s="88">
        <v>86.625</v>
      </c>
      <c r="E270" s="67"/>
      <c r="F270" s="68">
        <v>0.5</v>
      </c>
      <c r="G270" s="69">
        <f>IFERROR(VLOOKUP($B270,'Dinh muc'!$A$2:$I$40,2,0),0)</f>
        <v>7</v>
      </c>
      <c r="H270" s="70">
        <f t="shared" ref="H270:H279" si="81">(C270*24)/(SUM($C$270:$C$279)*24)</f>
        <v>8.4337349397590342E-2</v>
      </c>
      <c r="I270" s="84">
        <f t="shared" ref="I270" si="82">G270*H270</f>
        <v>0.59036144578313243</v>
      </c>
      <c r="J270" s="68">
        <v>0.25</v>
      </c>
      <c r="K270" s="71">
        <f>IFERROR(VLOOKUP($B270,'Dinh muc'!$A$2:$I$40,6,0),0)</f>
        <v>12.375</v>
      </c>
      <c r="L270" s="71">
        <f>IFERROR(D270/(C270*24),0)</f>
        <v>12.375</v>
      </c>
      <c r="M270" s="2"/>
      <c r="N270" s="68">
        <v>0.25</v>
      </c>
      <c r="O270" s="85">
        <v>4.8499999999999996</v>
      </c>
      <c r="P270" s="85">
        <f>(SUM(E270:E279)/(SUM(C270:C278)*24))</f>
        <v>9.2771084337349379</v>
      </c>
      <c r="Q270" s="85"/>
      <c r="R270" s="77">
        <f>F270*I280+J270*M280+N270*Q280</f>
        <v>6.9672711625723673</v>
      </c>
      <c r="S270" s="76">
        <v>0.7</v>
      </c>
      <c r="T270" s="32">
        <f>T259</f>
        <v>192307.69230769231</v>
      </c>
      <c r="U270" s="91">
        <f>IFERROR(VLOOKUP(A270,'chi phi XCG'!$A$2:$C$39,3,0),0)</f>
        <v>211538.46153846153</v>
      </c>
      <c r="V270" s="83">
        <f>(T270*8)/U270</f>
        <v>7.2727272727272734</v>
      </c>
      <c r="W270" s="77">
        <v>0.3</v>
      </c>
      <c r="X270" s="78">
        <f>R270*S270+V270*W270</f>
        <v>7.0589079956188385</v>
      </c>
      <c r="Y270" s="47" t="str">
        <f>IF(X270&gt;=10,"A++",IF(X270&gt;=9,"A+",IF(X270&gt;=8,"A",IF(X270&gt;=7,"B","C"))))</f>
        <v>B</v>
      </c>
    </row>
    <row r="271" spans="1:25" x14ac:dyDescent="0.35">
      <c r="A271" s="46"/>
      <c r="B271" s="2" t="s">
        <v>18</v>
      </c>
      <c r="C271" s="3">
        <v>0.29166666666666669</v>
      </c>
      <c r="D271" s="88">
        <v>86.625</v>
      </c>
      <c r="E271" s="67"/>
      <c r="F271" s="68"/>
      <c r="G271" s="69">
        <f>IFERROR(VLOOKUP($B271,'Dinh muc'!$A$2:$I$40,2,0),0)</f>
        <v>7</v>
      </c>
      <c r="H271" s="70">
        <f t="shared" si="81"/>
        <v>8.4337349397590342E-2</v>
      </c>
      <c r="I271" s="84">
        <f t="shared" ref="I271:I279" si="83">G271*H271</f>
        <v>0.59036144578313243</v>
      </c>
      <c r="J271" s="68"/>
      <c r="K271" s="71">
        <f>IFERROR(VLOOKUP($B271,'Dinh muc'!$A$2:$I$40,6,0),0)</f>
        <v>12.375</v>
      </c>
      <c r="L271" s="71">
        <f t="shared" ref="L271:L279" si="84">IFERROR(D271/(C271*24),0)</f>
        <v>12.375</v>
      </c>
      <c r="M271" s="2"/>
      <c r="N271" s="68"/>
      <c r="O271" s="85"/>
      <c r="P271" s="85"/>
      <c r="Q271" s="85"/>
      <c r="R271" s="77"/>
      <c r="S271" s="68"/>
      <c r="T271" s="77"/>
      <c r="U271" s="95"/>
      <c r="V271" s="77"/>
      <c r="W271" s="77"/>
      <c r="X271" s="77"/>
      <c r="Y271" s="47"/>
    </row>
    <row r="272" spans="1:25" x14ac:dyDescent="0.35">
      <c r="A272" s="46"/>
      <c r="B272" s="2" t="s">
        <v>42</v>
      </c>
      <c r="C272" s="3">
        <v>4.1666666666666664E-2</v>
      </c>
      <c r="D272" s="88">
        <v>9.75</v>
      </c>
      <c r="E272" s="67">
        <v>210</v>
      </c>
      <c r="F272" s="68"/>
      <c r="G272" s="69">
        <f>IFERROR(VLOOKUP($B272,'Dinh muc'!$A$2:$I$40,2,0),0)</f>
        <v>10</v>
      </c>
      <c r="H272" s="70">
        <f t="shared" si="81"/>
        <v>1.2048192771084335E-2</v>
      </c>
      <c r="I272" s="84">
        <f t="shared" si="83"/>
        <v>0.12048192771084335</v>
      </c>
      <c r="J272" s="68"/>
      <c r="K272" s="71">
        <f>IFERROR(VLOOKUP($B272,'Dinh muc'!$A$2:$I$40,6,0),0)</f>
        <v>9.75</v>
      </c>
      <c r="L272" s="71">
        <f t="shared" si="84"/>
        <v>9.75</v>
      </c>
      <c r="M272" s="2"/>
      <c r="N272" s="68"/>
      <c r="O272" s="85"/>
      <c r="P272" s="85"/>
      <c r="Q272" s="85"/>
      <c r="R272" s="77"/>
      <c r="S272" s="68"/>
      <c r="T272" s="77"/>
      <c r="U272" s="95"/>
      <c r="V272" s="77"/>
      <c r="W272" s="77"/>
      <c r="X272" s="77"/>
      <c r="Y272" s="47"/>
    </row>
    <row r="273" spans="1:25" x14ac:dyDescent="0.35">
      <c r="A273" s="46"/>
      <c r="B273" s="2" t="s">
        <v>52</v>
      </c>
      <c r="C273" s="3">
        <v>1.2777777777777779</v>
      </c>
      <c r="D273" s="88">
        <v>299.00000000000006</v>
      </c>
      <c r="E273" s="67">
        <v>560</v>
      </c>
      <c r="F273" s="68"/>
      <c r="G273" s="69">
        <f>IFERROR(VLOOKUP($B273,'Dinh muc'!$A$2:$I$40,2,0),0)</f>
        <v>8</v>
      </c>
      <c r="H273" s="70">
        <f t="shared" si="81"/>
        <v>0.36947791164658633</v>
      </c>
      <c r="I273" s="84">
        <f t="shared" si="83"/>
        <v>2.9558232931726907</v>
      </c>
      <c r="J273" s="68"/>
      <c r="K273" s="71">
        <f>IFERROR(VLOOKUP($B273,'Dinh muc'!$A$2:$I$40,6,0),0)</f>
        <v>9.75</v>
      </c>
      <c r="L273" s="71">
        <f t="shared" si="84"/>
        <v>9.75</v>
      </c>
      <c r="M273" s="2"/>
      <c r="N273" s="68"/>
      <c r="O273" s="85"/>
      <c r="P273" s="85"/>
      <c r="Q273" s="85"/>
      <c r="R273" s="77"/>
      <c r="S273" s="68"/>
      <c r="T273" s="77"/>
      <c r="U273" s="95"/>
      <c r="V273" s="77"/>
      <c r="W273" s="77"/>
      <c r="X273" s="77"/>
      <c r="Y273" s="47"/>
    </row>
    <row r="274" spans="1:25" x14ac:dyDescent="0.35">
      <c r="A274" s="46"/>
      <c r="B274" s="2" t="s">
        <v>58</v>
      </c>
      <c r="C274" s="3">
        <v>1.4305555555555558</v>
      </c>
      <c r="D274" s="88">
        <v>334.75000000000011</v>
      </c>
      <c r="E274" s="67"/>
      <c r="F274" s="68"/>
      <c r="G274" s="69">
        <f>IFERROR(VLOOKUP($B274,'Dinh muc'!$A$2:$I$40,2,0),0)</f>
        <v>8</v>
      </c>
      <c r="H274" s="70">
        <f t="shared" si="81"/>
        <v>0.41365461847389562</v>
      </c>
      <c r="I274" s="84">
        <f t="shared" si="83"/>
        <v>3.309236947791165</v>
      </c>
      <c r="J274" s="68"/>
      <c r="K274" s="71">
        <f>IFERROR(VLOOKUP($B274,'Dinh muc'!$A$2:$I$40,6,0),0)</f>
        <v>9.75</v>
      </c>
      <c r="L274" s="71">
        <f t="shared" si="84"/>
        <v>9.75</v>
      </c>
      <c r="M274" s="2"/>
      <c r="N274" s="68"/>
      <c r="O274" s="85"/>
      <c r="P274" s="85"/>
      <c r="Q274" s="85"/>
      <c r="R274" s="77"/>
      <c r="S274" s="68"/>
      <c r="T274" s="77"/>
      <c r="U274" s="95"/>
      <c r="V274" s="77"/>
      <c r="W274" s="77"/>
      <c r="X274" s="77"/>
      <c r="Y274" s="47"/>
    </row>
    <row r="275" spans="1:25" x14ac:dyDescent="0.35">
      <c r="A275" s="46"/>
      <c r="B275" s="2" t="s">
        <v>58</v>
      </c>
      <c r="C275" s="3">
        <v>8.3333333333333329E-2</v>
      </c>
      <c r="D275" s="88">
        <v>19.5</v>
      </c>
      <c r="E275" s="67"/>
      <c r="F275" s="68"/>
      <c r="G275" s="69">
        <f>IFERROR(VLOOKUP($B275,'Dinh muc'!$A$2:$I$40,2,0),0)</f>
        <v>8</v>
      </c>
      <c r="H275" s="70">
        <f t="shared" si="81"/>
        <v>2.4096385542168669E-2</v>
      </c>
      <c r="I275" s="84">
        <f t="shared" si="83"/>
        <v>0.19277108433734935</v>
      </c>
      <c r="J275" s="68"/>
      <c r="K275" s="71">
        <f>IFERROR(VLOOKUP($B275,'Dinh muc'!$A$2:$I$40,6,0),0)</f>
        <v>9.75</v>
      </c>
      <c r="L275" s="71">
        <f t="shared" si="84"/>
        <v>9.75</v>
      </c>
      <c r="M275" s="2"/>
      <c r="N275" s="68"/>
      <c r="O275" s="85"/>
      <c r="P275" s="85"/>
      <c r="Q275" s="85"/>
      <c r="R275" s="77"/>
      <c r="S275" s="68"/>
      <c r="T275" s="77"/>
      <c r="U275" s="95"/>
      <c r="V275" s="77"/>
      <c r="W275" s="77"/>
      <c r="X275" s="77"/>
      <c r="Y275" s="47"/>
    </row>
    <row r="276" spans="1:25" x14ac:dyDescent="0.35">
      <c r="A276" s="46"/>
      <c r="B276" s="2" t="s">
        <v>18</v>
      </c>
      <c r="C276" s="3">
        <v>4.1666666666666664E-2</v>
      </c>
      <c r="D276" s="88">
        <v>12.375</v>
      </c>
      <c r="E276" s="67"/>
      <c r="F276" s="68"/>
      <c r="G276" s="69">
        <f>IFERROR(VLOOKUP($B276,'Dinh muc'!$A$2:$I$40,2,0),0)</f>
        <v>7</v>
      </c>
      <c r="H276" s="70">
        <f t="shared" si="81"/>
        <v>1.2048192771084335E-2</v>
      </c>
      <c r="I276" s="84">
        <f t="shared" si="83"/>
        <v>8.4337349397590342E-2</v>
      </c>
      <c r="J276" s="68"/>
      <c r="K276" s="71">
        <f>IFERROR(VLOOKUP($B276,'Dinh muc'!$A$2:$I$40,6,0),0)</f>
        <v>12.375</v>
      </c>
      <c r="L276" s="71">
        <f t="shared" si="84"/>
        <v>12.375</v>
      </c>
      <c r="M276" s="2"/>
      <c r="N276" s="68"/>
      <c r="O276" s="85"/>
      <c r="P276" s="85"/>
      <c r="Q276" s="85"/>
      <c r="R276" s="77"/>
      <c r="S276" s="68"/>
      <c r="T276" s="77"/>
      <c r="U276" s="95"/>
      <c r="V276" s="77"/>
      <c r="W276" s="77"/>
      <c r="X276" s="77"/>
      <c r="Y276" s="47"/>
    </row>
    <row r="277" spans="1:25" x14ac:dyDescent="0.35">
      <c r="A277" s="46"/>
      <c r="B277" s="2"/>
      <c r="C277" s="3"/>
      <c r="D277" s="32"/>
      <c r="E277" s="67"/>
      <c r="F277" s="68"/>
      <c r="G277" s="69">
        <f>IFERROR(VLOOKUP($B277,'Dinh muc'!$A$2:$I$40,2,0),0)</f>
        <v>0</v>
      </c>
      <c r="H277" s="70">
        <f t="shared" si="81"/>
        <v>0</v>
      </c>
      <c r="I277" s="84">
        <f t="shared" si="83"/>
        <v>0</v>
      </c>
      <c r="J277" s="68"/>
      <c r="K277" s="71">
        <f>IFERROR(VLOOKUP($B277,'Dinh muc'!$A$2:$I$40,6,0),0)</f>
        <v>0</v>
      </c>
      <c r="L277" s="71">
        <f t="shared" si="84"/>
        <v>0</v>
      </c>
      <c r="M277" s="2"/>
      <c r="N277" s="68"/>
      <c r="O277" s="85"/>
      <c r="P277" s="85"/>
      <c r="Q277" s="85"/>
      <c r="R277" s="77"/>
      <c r="S277" s="68"/>
      <c r="T277" s="77"/>
      <c r="U277" s="95"/>
      <c r="V277" s="77"/>
      <c r="W277" s="77"/>
      <c r="X277" s="77"/>
      <c r="Y277" s="47"/>
    </row>
    <row r="278" spans="1:25" x14ac:dyDescent="0.35">
      <c r="A278" s="46"/>
      <c r="B278" s="2"/>
      <c r="C278" s="3"/>
      <c r="D278" s="32"/>
      <c r="E278" s="67"/>
      <c r="F278" s="68"/>
      <c r="G278" s="69">
        <f>IFERROR(VLOOKUP($B278,'Dinh muc'!$A$2:$I$40,2,0),0)</f>
        <v>0</v>
      </c>
      <c r="H278" s="70">
        <f t="shared" si="81"/>
        <v>0</v>
      </c>
      <c r="I278" s="84">
        <f t="shared" si="83"/>
        <v>0</v>
      </c>
      <c r="J278" s="68"/>
      <c r="K278" s="71">
        <f>IFERROR(VLOOKUP($B278,'Dinh muc'!$A$2:$I$40,6,0),0)</f>
        <v>0</v>
      </c>
      <c r="L278" s="71">
        <f t="shared" si="84"/>
        <v>0</v>
      </c>
      <c r="M278" s="2"/>
      <c r="N278" s="68"/>
      <c r="O278" s="85"/>
      <c r="P278" s="85"/>
      <c r="Q278" s="85"/>
      <c r="R278" s="77"/>
      <c r="S278" s="68"/>
      <c r="T278" s="77"/>
      <c r="U278" s="95"/>
      <c r="V278" s="77"/>
      <c r="W278" s="77"/>
      <c r="X278" s="77"/>
      <c r="Y278" s="47"/>
    </row>
    <row r="279" spans="1:25" x14ac:dyDescent="0.35">
      <c r="A279" s="46"/>
      <c r="B279" s="2" t="s">
        <v>82</v>
      </c>
      <c r="C279" s="3"/>
      <c r="D279" s="32"/>
      <c r="E279" s="67"/>
      <c r="F279" s="68"/>
      <c r="G279" s="69">
        <f>IFERROR(VLOOKUP($B279,'Dinh muc'!$A$2:$I$40,2,0),0)</f>
        <v>-20</v>
      </c>
      <c r="H279" s="70">
        <f t="shared" si="81"/>
        <v>0</v>
      </c>
      <c r="I279" s="84">
        <f t="shared" si="83"/>
        <v>0</v>
      </c>
      <c r="J279" s="68"/>
      <c r="K279" s="71">
        <f>IFERROR(VLOOKUP($B279,'Dinh muc'!$A$2:$I$40,6,0),0)</f>
        <v>0</v>
      </c>
      <c r="L279" s="71">
        <f t="shared" si="84"/>
        <v>0</v>
      </c>
      <c r="M279" s="2"/>
      <c r="N279" s="68"/>
      <c r="O279" s="85"/>
      <c r="P279" s="85"/>
      <c r="Q279" s="85"/>
      <c r="R279" s="77"/>
      <c r="S279" s="68"/>
      <c r="T279" s="77"/>
      <c r="U279" s="95"/>
      <c r="V279" s="77"/>
      <c r="W279" s="77"/>
      <c r="X279" s="77"/>
      <c r="Y279" s="47"/>
    </row>
    <row r="280" spans="1:25" x14ac:dyDescent="0.35">
      <c r="A280" s="35"/>
      <c r="B280" s="8"/>
      <c r="C280" s="9"/>
      <c r="D280" s="33"/>
      <c r="E280" s="10"/>
      <c r="F280" s="30"/>
      <c r="G280" s="11"/>
      <c r="H280" s="27"/>
      <c r="I280" s="29">
        <f>SUM(I270:I279)</f>
        <v>7.8433734939759034</v>
      </c>
      <c r="J280" s="30"/>
      <c r="K280" s="30">
        <f>AVERAGE(K270:K279)</f>
        <v>7.6124999999999998</v>
      </c>
      <c r="L280" s="30">
        <f>AVERAGE(L270:L279)</f>
        <v>7.6124999999999998</v>
      </c>
      <c r="M280" s="29">
        <f>(L280*8)/K280</f>
        <v>8</v>
      </c>
      <c r="N280" s="30"/>
      <c r="O280" s="30">
        <f>AVERAGE(O270)</f>
        <v>4.8499999999999996</v>
      </c>
      <c r="P280" s="30">
        <f>AVERAGE(P270)</f>
        <v>9.2771084337349379</v>
      </c>
      <c r="Q280" s="29">
        <f>(O280*8)/P280</f>
        <v>4.1823376623376625</v>
      </c>
      <c r="R280" s="98"/>
      <c r="S280" s="79"/>
      <c r="T280" s="79"/>
      <c r="U280" s="93"/>
      <c r="V280" s="98"/>
      <c r="W280" s="79"/>
      <c r="X280" s="79"/>
      <c r="Y280" s="61"/>
    </row>
    <row r="281" spans="1:25" x14ac:dyDescent="0.35">
      <c r="A281" s="46" t="s">
        <v>10</v>
      </c>
      <c r="B281" s="2" t="s">
        <v>18</v>
      </c>
      <c r="C281" s="3">
        <v>0.375</v>
      </c>
      <c r="D281" s="88">
        <v>111.375</v>
      </c>
      <c r="E281" s="67"/>
      <c r="F281" s="68">
        <v>0.5</v>
      </c>
      <c r="G281" s="69">
        <f>IFERROR(VLOOKUP($B281,'Dinh muc'!$A$2:$I$40,2,0),0)</f>
        <v>7</v>
      </c>
      <c r="H281" s="70">
        <f t="shared" ref="H281:H290" si="85">(C281*24)/(SUM($C$281:$C$290)*24)</f>
        <v>0.10465116279069768</v>
      </c>
      <c r="I281" s="84">
        <f t="shared" ref="I281" si="86">G281*H281</f>
        <v>0.7325581395348838</v>
      </c>
      <c r="J281" s="68">
        <v>0.25</v>
      </c>
      <c r="K281" s="71">
        <f>IFERROR(VLOOKUP($B281,'Dinh muc'!$A$2:$I$40,6,0),0)</f>
        <v>12.375</v>
      </c>
      <c r="L281" s="71">
        <f>IFERROR(D281/(C281*24),0)</f>
        <v>12.375</v>
      </c>
      <c r="M281" s="2"/>
      <c r="N281" s="68">
        <v>0.25</v>
      </c>
      <c r="O281" s="85">
        <v>4.8499999999999996</v>
      </c>
      <c r="P281" s="85">
        <f>(SUM(E281:E290)/(SUM(C281:C289)*24))</f>
        <v>8.3720930232558146</v>
      </c>
      <c r="Q281" s="85"/>
      <c r="R281" s="77">
        <f>F281*I291+J281*M291+N281*Q291</f>
        <v>7.1062855297157617</v>
      </c>
      <c r="S281" s="76">
        <v>0.7</v>
      </c>
      <c r="T281" s="32">
        <f>T270</f>
        <v>192307.69230769231</v>
      </c>
      <c r="U281" s="91">
        <f>IFERROR(VLOOKUP(A281,'chi phi XCG'!$A$2:$C$39,3,0),0)</f>
        <v>205494.50549450549</v>
      </c>
      <c r="V281" s="83">
        <f>(T281*8)/U281</f>
        <v>7.4866310160427814</v>
      </c>
      <c r="W281" s="77">
        <v>0.3</v>
      </c>
      <c r="X281" s="78">
        <f>R281*S281+V281*W281</f>
        <v>7.2203891756138674</v>
      </c>
      <c r="Y281" s="47" t="str">
        <f>IF(X281&gt;=10,"A++",IF(X281&gt;=9,"A+",IF(X281&gt;=8,"A",IF(X281&gt;=7,"B","C"))))</f>
        <v>B</v>
      </c>
    </row>
    <row r="282" spans="1:25" x14ac:dyDescent="0.35">
      <c r="A282" s="46"/>
      <c r="B282" s="2" t="s">
        <v>52</v>
      </c>
      <c r="C282" s="3">
        <v>0.74305555555555547</v>
      </c>
      <c r="D282" s="88">
        <v>173.875</v>
      </c>
      <c r="E282" s="67"/>
      <c r="F282" s="68"/>
      <c r="G282" s="69">
        <f>IFERROR(VLOOKUP($B282,'Dinh muc'!$A$2:$I$40,2,0),0)</f>
        <v>8</v>
      </c>
      <c r="H282" s="70">
        <f t="shared" si="85"/>
        <v>0.2073643410852713</v>
      </c>
      <c r="I282" s="84">
        <f t="shared" ref="I282:I290" si="87">G282*H282</f>
        <v>1.6589147286821704</v>
      </c>
      <c r="J282" s="68"/>
      <c r="K282" s="71">
        <f>IFERROR(VLOOKUP($B282,'Dinh muc'!$A$2:$I$40,6,0),0)</f>
        <v>9.75</v>
      </c>
      <c r="L282" s="71">
        <f t="shared" ref="L282:L290" si="88">IFERROR(D282/(C282*24),0)</f>
        <v>9.75</v>
      </c>
      <c r="M282" s="2"/>
      <c r="N282" s="68"/>
      <c r="O282" s="85"/>
      <c r="P282" s="85"/>
      <c r="Q282" s="85"/>
      <c r="R282" s="77"/>
      <c r="S282" s="68"/>
      <c r="T282" s="77"/>
      <c r="U282" s="95"/>
      <c r="V282" s="77"/>
      <c r="W282" s="77"/>
      <c r="X282" s="77"/>
      <c r="Y282" s="47"/>
    </row>
    <row r="283" spans="1:25" x14ac:dyDescent="0.35">
      <c r="A283" s="46"/>
      <c r="B283" s="2" t="s">
        <v>60</v>
      </c>
      <c r="C283" s="3">
        <v>2.4652777777777781</v>
      </c>
      <c r="D283" s="88">
        <v>576.875</v>
      </c>
      <c r="E283" s="67">
        <v>720</v>
      </c>
      <c r="F283" s="68"/>
      <c r="G283" s="69">
        <f>IFERROR(VLOOKUP($B283,'Dinh muc'!$A$2:$I$40,2,0),0)</f>
        <v>8</v>
      </c>
      <c r="H283" s="70">
        <f t="shared" si="85"/>
        <v>0.68798449612403101</v>
      </c>
      <c r="I283" s="84">
        <f t="shared" si="87"/>
        <v>5.5038759689922481</v>
      </c>
      <c r="J283" s="68"/>
      <c r="K283" s="71">
        <f>IFERROR(VLOOKUP($B283,'Dinh muc'!$A$2:$I$40,6,0),0)</f>
        <v>9.75</v>
      </c>
      <c r="L283" s="71">
        <f t="shared" si="88"/>
        <v>9.75</v>
      </c>
      <c r="M283" s="2"/>
      <c r="N283" s="68"/>
      <c r="O283" s="85"/>
      <c r="P283" s="85"/>
      <c r="Q283" s="85"/>
      <c r="R283" s="77"/>
      <c r="S283" s="68"/>
      <c r="T283" s="77"/>
      <c r="U283" s="95"/>
      <c r="V283" s="77"/>
      <c r="W283" s="77"/>
      <c r="X283" s="77"/>
      <c r="Y283" s="47"/>
    </row>
    <row r="284" spans="1:25" x14ac:dyDescent="0.35">
      <c r="A284" s="46"/>
      <c r="B284" s="2"/>
      <c r="C284" s="3"/>
      <c r="D284" s="32"/>
      <c r="E284" s="67"/>
      <c r="F284" s="68"/>
      <c r="G284" s="69">
        <f>IFERROR(VLOOKUP($B284,'Dinh muc'!$A$2:$I$40,2,0),0)</f>
        <v>0</v>
      </c>
      <c r="H284" s="70">
        <f t="shared" si="85"/>
        <v>0</v>
      </c>
      <c r="I284" s="84">
        <f t="shared" si="87"/>
        <v>0</v>
      </c>
      <c r="J284" s="68"/>
      <c r="K284" s="71">
        <f>IFERROR(VLOOKUP($B284,'Dinh muc'!$A$2:$I$40,6,0),0)</f>
        <v>0</v>
      </c>
      <c r="L284" s="71">
        <f t="shared" si="88"/>
        <v>0</v>
      </c>
      <c r="M284" s="2"/>
      <c r="N284" s="68"/>
      <c r="O284" s="85"/>
      <c r="P284" s="85"/>
      <c r="Q284" s="85"/>
      <c r="R284" s="77"/>
      <c r="S284" s="68"/>
      <c r="T284" s="77"/>
      <c r="U284" s="95"/>
      <c r="V284" s="77"/>
      <c r="W284" s="77"/>
      <c r="X284" s="77"/>
      <c r="Y284" s="47"/>
    </row>
    <row r="285" spans="1:25" x14ac:dyDescent="0.35">
      <c r="A285" s="46"/>
      <c r="B285" s="2"/>
      <c r="C285" s="3"/>
      <c r="D285" s="32"/>
      <c r="E285" s="67"/>
      <c r="F285" s="68"/>
      <c r="G285" s="69">
        <f>IFERROR(VLOOKUP($B285,'Dinh muc'!$A$2:$I$40,2,0),0)</f>
        <v>0</v>
      </c>
      <c r="H285" s="70">
        <f t="shared" si="85"/>
        <v>0</v>
      </c>
      <c r="I285" s="84">
        <f t="shared" si="87"/>
        <v>0</v>
      </c>
      <c r="J285" s="68"/>
      <c r="K285" s="71">
        <f>IFERROR(VLOOKUP($B285,'Dinh muc'!$A$2:$I$40,6,0),0)</f>
        <v>0</v>
      </c>
      <c r="L285" s="71">
        <f t="shared" si="88"/>
        <v>0</v>
      </c>
      <c r="M285" s="2"/>
      <c r="N285" s="68"/>
      <c r="O285" s="85"/>
      <c r="P285" s="85"/>
      <c r="Q285" s="85"/>
      <c r="R285" s="77"/>
      <c r="S285" s="68"/>
      <c r="T285" s="77"/>
      <c r="U285" s="95"/>
      <c r="V285" s="77"/>
      <c r="W285" s="77"/>
      <c r="X285" s="77"/>
      <c r="Y285" s="47"/>
    </row>
    <row r="286" spans="1:25" x14ac:dyDescent="0.35">
      <c r="A286" s="46"/>
      <c r="B286" s="2"/>
      <c r="C286" s="3"/>
      <c r="D286" s="32"/>
      <c r="E286" s="67"/>
      <c r="F286" s="68"/>
      <c r="G286" s="69">
        <f>IFERROR(VLOOKUP($B286,'Dinh muc'!$A$2:$I$40,2,0),0)</f>
        <v>0</v>
      </c>
      <c r="H286" s="70">
        <f t="shared" si="85"/>
        <v>0</v>
      </c>
      <c r="I286" s="84">
        <f t="shared" si="87"/>
        <v>0</v>
      </c>
      <c r="J286" s="68"/>
      <c r="K286" s="71">
        <f>IFERROR(VLOOKUP($B286,'Dinh muc'!$A$2:$I$40,6,0),0)</f>
        <v>0</v>
      </c>
      <c r="L286" s="71">
        <f t="shared" si="88"/>
        <v>0</v>
      </c>
      <c r="M286" s="2"/>
      <c r="N286" s="68"/>
      <c r="O286" s="85"/>
      <c r="P286" s="85"/>
      <c r="Q286" s="85"/>
      <c r="R286" s="77"/>
      <c r="S286" s="68"/>
      <c r="T286" s="77"/>
      <c r="U286" s="95"/>
      <c r="V286" s="77"/>
      <c r="W286" s="77"/>
      <c r="X286" s="77"/>
      <c r="Y286" s="47"/>
    </row>
    <row r="287" spans="1:25" x14ac:dyDescent="0.35">
      <c r="A287" s="46"/>
      <c r="B287" s="2"/>
      <c r="C287" s="3"/>
      <c r="D287" s="32"/>
      <c r="E287" s="67"/>
      <c r="F287" s="68"/>
      <c r="G287" s="69">
        <f>IFERROR(VLOOKUP($B287,'Dinh muc'!$A$2:$I$40,2,0),0)</f>
        <v>0</v>
      </c>
      <c r="H287" s="70">
        <f t="shared" si="85"/>
        <v>0</v>
      </c>
      <c r="I287" s="84">
        <f t="shared" si="87"/>
        <v>0</v>
      </c>
      <c r="J287" s="68"/>
      <c r="K287" s="71">
        <f>IFERROR(VLOOKUP($B287,'Dinh muc'!$A$2:$I$40,6,0),0)</f>
        <v>0</v>
      </c>
      <c r="L287" s="71">
        <f t="shared" si="88"/>
        <v>0</v>
      </c>
      <c r="M287" s="2"/>
      <c r="N287" s="68"/>
      <c r="O287" s="85"/>
      <c r="P287" s="85"/>
      <c r="Q287" s="85"/>
      <c r="R287" s="77"/>
      <c r="S287" s="68"/>
      <c r="T287" s="77"/>
      <c r="U287" s="95"/>
      <c r="V287" s="77"/>
      <c r="W287" s="77"/>
      <c r="X287" s="77"/>
      <c r="Y287" s="47"/>
    </row>
    <row r="288" spans="1:25" x14ac:dyDescent="0.35">
      <c r="A288" s="46"/>
      <c r="B288" s="2"/>
      <c r="C288" s="3"/>
      <c r="D288" s="32"/>
      <c r="E288" s="67"/>
      <c r="F288" s="68"/>
      <c r="G288" s="69">
        <f>IFERROR(VLOOKUP($B288,'Dinh muc'!$A$2:$I$40,2,0),0)</f>
        <v>0</v>
      </c>
      <c r="H288" s="70">
        <f t="shared" si="85"/>
        <v>0</v>
      </c>
      <c r="I288" s="84">
        <f t="shared" si="87"/>
        <v>0</v>
      </c>
      <c r="J288" s="68"/>
      <c r="K288" s="71">
        <f>IFERROR(VLOOKUP($B288,'Dinh muc'!$A$2:$I$40,6,0),0)</f>
        <v>0</v>
      </c>
      <c r="L288" s="71">
        <f t="shared" si="88"/>
        <v>0</v>
      </c>
      <c r="M288" s="2"/>
      <c r="N288" s="68"/>
      <c r="O288" s="85"/>
      <c r="P288" s="85"/>
      <c r="Q288" s="85"/>
      <c r="R288" s="77"/>
      <c r="S288" s="68"/>
      <c r="T288" s="77"/>
      <c r="U288" s="95"/>
      <c r="V288" s="77"/>
      <c r="W288" s="77"/>
      <c r="X288" s="77"/>
      <c r="Y288" s="47"/>
    </row>
    <row r="289" spans="1:25" x14ac:dyDescent="0.35">
      <c r="A289" s="46"/>
      <c r="B289" s="2"/>
      <c r="C289" s="3"/>
      <c r="D289" s="32"/>
      <c r="E289" s="67"/>
      <c r="F289" s="68"/>
      <c r="G289" s="69">
        <f>IFERROR(VLOOKUP($B289,'Dinh muc'!$A$2:$I$40,2,0),0)</f>
        <v>0</v>
      </c>
      <c r="H289" s="70">
        <f t="shared" si="85"/>
        <v>0</v>
      </c>
      <c r="I289" s="84">
        <f t="shared" si="87"/>
        <v>0</v>
      </c>
      <c r="J289" s="68"/>
      <c r="K289" s="71">
        <f>IFERROR(VLOOKUP($B289,'Dinh muc'!$A$2:$I$40,6,0),0)</f>
        <v>0</v>
      </c>
      <c r="L289" s="71">
        <f t="shared" si="88"/>
        <v>0</v>
      </c>
      <c r="M289" s="2"/>
      <c r="N289" s="68"/>
      <c r="O289" s="85"/>
      <c r="P289" s="85"/>
      <c r="Q289" s="85"/>
      <c r="R289" s="77"/>
      <c r="S289" s="68"/>
      <c r="T289" s="77"/>
      <c r="U289" s="95"/>
      <c r="V289" s="77"/>
      <c r="W289" s="77"/>
      <c r="X289" s="77"/>
      <c r="Y289" s="47"/>
    </row>
    <row r="290" spans="1:25" x14ac:dyDescent="0.35">
      <c r="A290" s="46"/>
      <c r="B290" s="2" t="s">
        <v>82</v>
      </c>
      <c r="C290" s="3"/>
      <c r="D290" s="32"/>
      <c r="E290" s="67"/>
      <c r="F290" s="68"/>
      <c r="G290" s="69">
        <f>IFERROR(VLOOKUP($B290,'Dinh muc'!$A$2:$I$40,2,0),0)</f>
        <v>-20</v>
      </c>
      <c r="H290" s="70">
        <f t="shared" si="85"/>
        <v>0</v>
      </c>
      <c r="I290" s="84">
        <f t="shared" si="87"/>
        <v>0</v>
      </c>
      <c r="J290" s="68"/>
      <c r="K290" s="71">
        <f>IFERROR(VLOOKUP($B290,'Dinh muc'!$A$2:$I$40,6,0),0)</f>
        <v>0</v>
      </c>
      <c r="L290" s="71">
        <f t="shared" si="88"/>
        <v>0</v>
      </c>
      <c r="M290" s="2"/>
      <c r="N290" s="68"/>
      <c r="O290" s="85"/>
      <c r="P290" s="85"/>
      <c r="Q290" s="85"/>
      <c r="R290" s="77"/>
      <c r="S290" s="68"/>
      <c r="T290" s="77"/>
      <c r="U290" s="95"/>
      <c r="V290" s="77"/>
      <c r="W290" s="77"/>
      <c r="X290" s="77"/>
      <c r="Y290" s="47"/>
    </row>
    <row r="291" spans="1:25" x14ac:dyDescent="0.35">
      <c r="A291" s="35"/>
      <c r="B291" s="8"/>
      <c r="C291" s="9"/>
      <c r="D291" s="33"/>
      <c r="E291" s="10"/>
      <c r="F291" s="30"/>
      <c r="G291" s="11"/>
      <c r="H291" s="27"/>
      <c r="I291" s="29">
        <f>SUM(I281:I290)</f>
        <v>7.8953488372093021</v>
      </c>
      <c r="J291" s="30"/>
      <c r="K291" s="30">
        <f>AVERAGE(K281:K290)</f>
        <v>3.1875</v>
      </c>
      <c r="L291" s="30">
        <f>AVERAGE(L281:L290)</f>
        <v>3.1875</v>
      </c>
      <c r="M291" s="29">
        <f>(L291*8)/K291</f>
        <v>8</v>
      </c>
      <c r="N291" s="30"/>
      <c r="O291" s="30">
        <f>AVERAGE(O281)</f>
        <v>4.8499999999999996</v>
      </c>
      <c r="P291" s="30">
        <f>AVERAGE(P281)</f>
        <v>8.3720930232558146</v>
      </c>
      <c r="Q291" s="29">
        <f>(O291*8)/P291</f>
        <v>4.6344444444444441</v>
      </c>
      <c r="R291" s="98"/>
      <c r="S291" s="79"/>
      <c r="T291" s="79"/>
      <c r="U291" s="93"/>
      <c r="V291" s="98"/>
      <c r="W291" s="79"/>
      <c r="X291" s="79"/>
      <c r="Y291" s="61"/>
    </row>
    <row r="292" spans="1:25" x14ac:dyDescent="0.35">
      <c r="A292" s="46" t="s">
        <v>12</v>
      </c>
      <c r="B292" s="2" t="s">
        <v>18</v>
      </c>
      <c r="C292" s="3">
        <v>1.0798611111111112</v>
      </c>
      <c r="D292" s="88">
        <v>320.71875</v>
      </c>
      <c r="E292" s="67">
        <v>105</v>
      </c>
      <c r="F292" s="68">
        <v>0.5</v>
      </c>
      <c r="G292" s="69">
        <f>IFERROR(VLOOKUP($B292,'Dinh muc'!$A$2:$I$40,2,0),0)</f>
        <v>7</v>
      </c>
      <c r="H292" s="70">
        <f t="shared" ref="H292:H301" si="89">(C292*24)/(SUM($C$292:$C$301)*24)</f>
        <v>0.65889830508474578</v>
      </c>
      <c r="I292" s="84">
        <f t="shared" ref="I292" si="90">G292*H292</f>
        <v>4.6122881355932206</v>
      </c>
      <c r="J292" s="68">
        <v>0.25</v>
      </c>
      <c r="K292" s="71">
        <f>IFERROR(VLOOKUP($B292,'Dinh muc'!$A$2:$I$40,6,0),0)</f>
        <v>12.375</v>
      </c>
      <c r="L292" s="71">
        <f>IFERROR(D292/(C292*24),0)</f>
        <v>12.375</v>
      </c>
      <c r="M292" s="2"/>
      <c r="N292" s="68">
        <v>0.25</v>
      </c>
      <c r="O292" s="85">
        <v>4.8499286972569413</v>
      </c>
      <c r="P292" s="85">
        <f>(SUM(E292:E301)/(SUM(C292:C300)*24))</f>
        <v>7.7542372881355925</v>
      </c>
      <c r="Q292" s="85"/>
      <c r="R292" s="77">
        <f>F292*I302+J292*M302+N292*Q302</f>
        <v>7.0908425260452645</v>
      </c>
      <c r="S292" s="76">
        <v>0.7</v>
      </c>
      <c r="T292" s="32">
        <f>T281</f>
        <v>192307.69230769231</v>
      </c>
      <c r="U292" s="91">
        <f>IFERROR(VLOOKUP(A292,'chi phi XCG'!$A$2:$C$39,3,0),0)</f>
        <v>205494.50549450549</v>
      </c>
      <c r="V292" s="83">
        <f>(T292*8)/U292</f>
        <v>7.4866310160427814</v>
      </c>
      <c r="W292" s="77">
        <v>0.3</v>
      </c>
      <c r="X292" s="78">
        <f>R292*S292+V292*W292</f>
        <v>7.2095790730445195</v>
      </c>
      <c r="Y292" s="47" t="str">
        <f>IF(X292&gt;=10,"A++",IF(X292&gt;=9,"A+",IF(X292&gt;=8,"A",IF(X292&gt;=7,"B","C"))))</f>
        <v>B</v>
      </c>
    </row>
    <row r="293" spans="1:25" x14ac:dyDescent="0.35">
      <c r="A293" s="46"/>
      <c r="B293" s="2" t="s">
        <v>50</v>
      </c>
      <c r="C293" s="3">
        <v>0.2673611111111111</v>
      </c>
      <c r="D293" s="88">
        <v>62.562499999999993</v>
      </c>
      <c r="E293" s="67"/>
      <c r="F293" s="68"/>
      <c r="G293" s="69">
        <f>IFERROR(VLOOKUP($B293,'Dinh muc'!$A$2:$I$40,2,0),0)</f>
        <v>8</v>
      </c>
      <c r="H293" s="70">
        <f t="shared" si="89"/>
        <v>0.16313559322033896</v>
      </c>
      <c r="I293" s="84">
        <f t="shared" ref="I293:I301" si="91">G293*H293</f>
        <v>1.3050847457627117</v>
      </c>
      <c r="J293" s="68"/>
      <c r="K293" s="71">
        <f>IFERROR(VLOOKUP($B293,'Dinh muc'!$A$2:$I$40,6,0),0)</f>
        <v>9.75</v>
      </c>
      <c r="L293" s="71">
        <f t="shared" ref="L293:L301" si="92">IFERROR(D293/(C293*24),0)</f>
        <v>9.75</v>
      </c>
      <c r="M293" s="2"/>
      <c r="N293" s="68"/>
      <c r="O293" s="85"/>
      <c r="P293" s="85"/>
      <c r="Q293" s="85"/>
      <c r="R293" s="77"/>
      <c r="S293" s="68"/>
      <c r="T293" s="77"/>
      <c r="U293" s="95"/>
      <c r="V293" s="77"/>
      <c r="W293" s="77"/>
      <c r="X293" s="77"/>
      <c r="Y293" s="47"/>
    </row>
    <row r="294" spans="1:25" x14ac:dyDescent="0.35">
      <c r="A294" s="46"/>
      <c r="B294" s="2" t="s">
        <v>53</v>
      </c>
      <c r="C294" s="3">
        <v>0.23611111111111113</v>
      </c>
      <c r="D294" s="88">
        <v>55.25</v>
      </c>
      <c r="E294" s="67">
        <v>200</v>
      </c>
      <c r="F294" s="68"/>
      <c r="G294" s="69">
        <f>IFERROR(VLOOKUP($B294,'Dinh muc'!$A$2:$I$40,2,0),0)</f>
        <v>8</v>
      </c>
      <c r="H294" s="70">
        <f t="shared" si="89"/>
        <v>0.1440677966101695</v>
      </c>
      <c r="I294" s="84">
        <f t="shared" si="91"/>
        <v>1.152542372881356</v>
      </c>
      <c r="J294" s="68"/>
      <c r="K294" s="71">
        <f>IFERROR(VLOOKUP($B294,'Dinh muc'!$A$2:$I$40,6,0),0)</f>
        <v>6.5</v>
      </c>
      <c r="L294" s="71">
        <f t="shared" si="92"/>
        <v>9.75</v>
      </c>
      <c r="M294" s="2"/>
      <c r="N294" s="68"/>
      <c r="O294" s="85"/>
      <c r="P294" s="85"/>
      <c r="Q294" s="85"/>
      <c r="R294" s="77"/>
      <c r="S294" s="68"/>
      <c r="T294" s="77"/>
      <c r="U294" s="95"/>
      <c r="V294" s="77"/>
      <c r="W294" s="77"/>
      <c r="X294" s="77"/>
      <c r="Y294" s="47"/>
    </row>
    <row r="295" spans="1:25" x14ac:dyDescent="0.35">
      <c r="A295" s="46"/>
      <c r="B295" s="2" t="s">
        <v>60</v>
      </c>
      <c r="C295" s="3">
        <v>5.5555555555555552E-2</v>
      </c>
      <c r="D295" s="88">
        <v>13</v>
      </c>
      <c r="E295" s="67"/>
      <c r="F295" s="68"/>
      <c r="G295" s="69">
        <f>IFERROR(VLOOKUP($B295,'Dinh muc'!$A$2:$I$40,2,0),0)</f>
        <v>8</v>
      </c>
      <c r="H295" s="70">
        <f t="shared" si="89"/>
        <v>3.3898305084745756E-2</v>
      </c>
      <c r="I295" s="84">
        <f t="shared" si="91"/>
        <v>0.27118644067796605</v>
      </c>
      <c r="J295" s="68"/>
      <c r="K295" s="71">
        <f>IFERROR(VLOOKUP($B295,'Dinh muc'!$A$2:$I$40,6,0),0)</f>
        <v>9.75</v>
      </c>
      <c r="L295" s="71">
        <f t="shared" si="92"/>
        <v>9.75</v>
      </c>
      <c r="M295" s="2"/>
      <c r="N295" s="68"/>
      <c r="O295" s="85"/>
      <c r="P295" s="85"/>
      <c r="Q295" s="85"/>
      <c r="R295" s="77"/>
      <c r="S295" s="68"/>
      <c r="T295" s="77"/>
      <c r="U295" s="95"/>
      <c r="V295" s="77"/>
      <c r="W295" s="77"/>
      <c r="X295" s="77"/>
      <c r="Y295" s="47"/>
    </row>
    <row r="296" spans="1:25" x14ac:dyDescent="0.35">
      <c r="A296" s="46"/>
      <c r="B296" s="2"/>
      <c r="C296" s="3"/>
      <c r="D296" s="32"/>
      <c r="E296" s="67"/>
      <c r="F296" s="68"/>
      <c r="G296" s="69">
        <f>IFERROR(VLOOKUP($B296,'Dinh muc'!$A$2:$I$40,2,0),0)</f>
        <v>0</v>
      </c>
      <c r="H296" s="70">
        <f t="shared" si="89"/>
        <v>0</v>
      </c>
      <c r="I296" s="84">
        <f t="shared" si="91"/>
        <v>0</v>
      </c>
      <c r="J296" s="68"/>
      <c r="K296" s="71">
        <f>IFERROR(VLOOKUP($B296,'Dinh muc'!$A$2:$I$40,6,0),0)</f>
        <v>0</v>
      </c>
      <c r="L296" s="71">
        <f t="shared" si="92"/>
        <v>0</v>
      </c>
      <c r="M296" s="2"/>
      <c r="N296" s="68"/>
      <c r="O296" s="85"/>
      <c r="P296" s="85"/>
      <c r="Q296" s="85"/>
      <c r="R296" s="77"/>
      <c r="S296" s="68"/>
      <c r="T296" s="77"/>
      <c r="U296" s="95"/>
      <c r="V296" s="77"/>
      <c r="W296" s="77"/>
      <c r="X296" s="77"/>
      <c r="Y296" s="47"/>
    </row>
    <row r="297" spans="1:25" x14ac:dyDescent="0.35">
      <c r="A297" s="46"/>
      <c r="B297" s="2"/>
      <c r="C297" s="3"/>
      <c r="D297" s="32"/>
      <c r="E297" s="67"/>
      <c r="F297" s="68"/>
      <c r="G297" s="69">
        <f>IFERROR(VLOOKUP($B297,'Dinh muc'!$A$2:$I$40,2,0),0)</f>
        <v>0</v>
      </c>
      <c r="H297" s="70">
        <f t="shared" si="89"/>
        <v>0</v>
      </c>
      <c r="I297" s="84">
        <f t="shared" si="91"/>
        <v>0</v>
      </c>
      <c r="J297" s="68"/>
      <c r="K297" s="71">
        <f>IFERROR(VLOOKUP($B297,'Dinh muc'!$A$2:$I$40,6,0),0)</f>
        <v>0</v>
      </c>
      <c r="L297" s="71">
        <f t="shared" si="92"/>
        <v>0</v>
      </c>
      <c r="M297" s="2"/>
      <c r="N297" s="68"/>
      <c r="O297" s="85"/>
      <c r="P297" s="85"/>
      <c r="Q297" s="85"/>
      <c r="R297" s="77"/>
      <c r="S297" s="68"/>
      <c r="T297" s="77"/>
      <c r="U297" s="95"/>
      <c r="V297" s="77"/>
      <c r="W297" s="77"/>
      <c r="X297" s="77"/>
      <c r="Y297" s="47"/>
    </row>
    <row r="298" spans="1:25" x14ac:dyDescent="0.35">
      <c r="A298" s="46"/>
      <c r="B298" s="2"/>
      <c r="C298" s="3"/>
      <c r="D298" s="32"/>
      <c r="E298" s="67"/>
      <c r="F298" s="68"/>
      <c r="G298" s="69">
        <f>IFERROR(VLOOKUP($B298,'Dinh muc'!$A$2:$I$40,2,0),0)</f>
        <v>0</v>
      </c>
      <c r="H298" s="70">
        <f t="shared" si="89"/>
        <v>0</v>
      </c>
      <c r="I298" s="84">
        <f t="shared" si="91"/>
        <v>0</v>
      </c>
      <c r="J298" s="68"/>
      <c r="K298" s="71">
        <f>IFERROR(VLOOKUP($B298,'Dinh muc'!$A$2:$I$40,6,0),0)</f>
        <v>0</v>
      </c>
      <c r="L298" s="71">
        <f t="shared" si="92"/>
        <v>0</v>
      </c>
      <c r="M298" s="2"/>
      <c r="N298" s="68"/>
      <c r="O298" s="85"/>
      <c r="P298" s="85"/>
      <c r="Q298" s="85"/>
      <c r="R298" s="77"/>
      <c r="S298" s="68"/>
      <c r="T298" s="77"/>
      <c r="U298" s="95"/>
      <c r="V298" s="77"/>
      <c r="W298" s="77"/>
      <c r="X298" s="77"/>
      <c r="Y298" s="47"/>
    </row>
    <row r="299" spans="1:25" x14ac:dyDescent="0.35">
      <c r="A299" s="46"/>
      <c r="B299" s="2"/>
      <c r="C299" s="3"/>
      <c r="D299" s="32"/>
      <c r="E299" s="67"/>
      <c r="F299" s="68"/>
      <c r="G299" s="69">
        <f>IFERROR(VLOOKUP($B299,'Dinh muc'!$A$2:$I$40,2,0),0)</f>
        <v>0</v>
      </c>
      <c r="H299" s="70">
        <f t="shared" si="89"/>
        <v>0</v>
      </c>
      <c r="I299" s="84">
        <f t="shared" si="91"/>
        <v>0</v>
      </c>
      <c r="J299" s="68"/>
      <c r="K299" s="71">
        <f>IFERROR(VLOOKUP($B299,'Dinh muc'!$A$2:$I$40,6,0),0)</f>
        <v>0</v>
      </c>
      <c r="L299" s="71">
        <f t="shared" si="92"/>
        <v>0</v>
      </c>
      <c r="M299" s="2"/>
      <c r="N299" s="68"/>
      <c r="O299" s="85"/>
      <c r="P299" s="85"/>
      <c r="Q299" s="85"/>
      <c r="R299" s="77"/>
      <c r="S299" s="68"/>
      <c r="T299" s="77"/>
      <c r="U299" s="95"/>
      <c r="V299" s="77"/>
      <c r="W299" s="77"/>
      <c r="X299" s="77"/>
      <c r="Y299" s="47"/>
    </row>
    <row r="300" spans="1:25" x14ac:dyDescent="0.35">
      <c r="A300" s="46"/>
      <c r="B300" s="2"/>
      <c r="C300" s="3"/>
      <c r="D300" s="32"/>
      <c r="E300" s="67"/>
      <c r="F300" s="68"/>
      <c r="G300" s="69">
        <f>IFERROR(VLOOKUP($B300,'Dinh muc'!$A$2:$I$40,2,0),0)</f>
        <v>0</v>
      </c>
      <c r="H300" s="70">
        <f t="shared" si="89"/>
        <v>0</v>
      </c>
      <c r="I300" s="84">
        <f t="shared" si="91"/>
        <v>0</v>
      </c>
      <c r="J300" s="68"/>
      <c r="K300" s="71">
        <f>IFERROR(VLOOKUP($B300,'Dinh muc'!$A$2:$I$40,6,0),0)</f>
        <v>0</v>
      </c>
      <c r="L300" s="71">
        <f t="shared" si="92"/>
        <v>0</v>
      </c>
      <c r="M300" s="2"/>
      <c r="N300" s="68"/>
      <c r="O300" s="85"/>
      <c r="P300" s="85"/>
      <c r="Q300" s="85"/>
      <c r="R300" s="77"/>
      <c r="S300" s="68"/>
      <c r="T300" s="77"/>
      <c r="U300" s="95"/>
      <c r="V300" s="77"/>
      <c r="W300" s="77"/>
      <c r="X300" s="77"/>
      <c r="Y300" s="47"/>
    </row>
    <row r="301" spans="1:25" x14ac:dyDescent="0.35">
      <c r="A301" s="46"/>
      <c r="B301" s="2" t="s">
        <v>82</v>
      </c>
      <c r="C301" s="3"/>
      <c r="D301" s="32"/>
      <c r="E301" s="67"/>
      <c r="F301" s="68"/>
      <c r="G301" s="69">
        <f>IFERROR(VLOOKUP($B301,'Dinh muc'!$A$2:$I$40,2,0),0)</f>
        <v>-20</v>
      </c>
      <c r="H301" s="70">
        <f t="shared" si="89"/>
        <v>0</v>
      </c>
      <c r="I301" s="84">
        <f t="shared" si="91"/>
        <v>0</v>
      </c>
      <c r="J301" s="68"/>
      <c r="K301" s="71">
        <f>IFERROR(VLOOKUP($B301,'Dinh muc'!$A$2:$I$40,6,0),0)</f>
        <v>0</v>
      </c>
      <c r="L301" s="71">
        <f t="shared" si="92"/>
        <v>0</v>
      </c>
      <c r="M301" s="2"/>
      <c r="N301" s="68"/>
      <c r="O301" s="85"/>
      <c r="P301" s="85"/>
      <c r="Q301" s="85"/>
      <c r="R301" s="77"/>
      <c r="S301" s="68"/>
      <c r="T301" s="77"/>
      <c r="U301" s="95"/>
      <c r="V301" s="77"/>
      <c r="W301" s="77"/>
      <c r="X301" s="77"/>
      <c r="Y301" s="47"/>
    </row>
    <row r="302" spans="1:25" x14ac:dyDescent="0.35">
      <c r="A302" s="35"/>
      <c r="B302" s="8"/>
      <c r="C302" s="9"/>
      <c r="D302" s="33"/>
      <c r="E302" s="10"/>
      <c r="F302" s="30"/>
      <c r="G302" s="11"/>
      <c r="H302" s="27"/>
      <c r="I302" s="29">
        <f>SUM(I292:I301)</f>
        <v>7.3411016949152552</v>
      </c>
      <c r="J302" s="30"/>
      <c r="K302" s="30">
        <f>AVERAGE(K292:K301)</f>
        <v>3.8374999999999999</v>
      </c>
      <c r="L302" s="30">
        <f>AVERAGE(L292:L301)</f>
        <v>4.1624999999999996</v>
      </c>
      <c r="M302" s="29">
        <f>(L302*8)/K302</f>
        <v>8.677524429967427</v>
      </c>
      <c r="N302" s="30"/>
      <c r="O302" s="30">
        <f>AVERAGE(O292)</f>
        <v>4.8499286972569413</v>
      </c>
      <c r="P302" s="30">
        <f>AVERAGE(P292)</f>
        <v>7.7542372881355925</v>
      </c>
      <c r="Q302" s="29">
        <f>(O302*8)/P302</f>
        <v>5.0036422843831181</v>
      </c>
      <c r="R302" s="98"/>
      <c r="S302" s="79"/>
      <c r="T302" s="79"/>
      <c r="U302" s="93"/>
      <c r="V302" s="98"/>
      <c r="W302" s="79"/>
      <c r="X302" s="79"/>
      <c r="Y302" s="61"/>
    </row>
    <row r="303" spans="1:25" x14ac:dyDescent="0.35">
      <c r="A303" s="46" t="s">
        <v>16</v>
      </c>
      <c r="B303" s="2" t="s">
        <v>18</v>
      </c>
      <c r="C303" s="3">
        <v>8.3333333333333329E-2</v>
      </c>
      <c r="D303" s="88">
        <v>24.75</v>
      </c>
      <c r="E303" s="67">
        <v>200</v>
      </c>
      <c r="F303" s="68">
        <v>0.5</v>
      </c>
      <c r="G303" s="69">
        <f>IFERROR(VLOOKUP($B303,'Dinh muc'!$A$2:$I$40,2,0),0)</f>
        <v>7</v>
      </c>
      <c r="H303" s="70">
        <f t="shared" ref="H303:H312" si="93">(C303*24)/(SUM($C$303:$C$312)*24)</f>
        <v>6.6666666666666666E-2</v>
      </c>
      <c r="I303" s="84">
        <f t="shared" ref="I303" si="94">G303*H303</f>
        <v>0.46666666666666667</v>
      </c>
      <c r="J303" s="68">
        <v>0.25</v>
      </c>
      <c r="K303" s="71">
        <f>IFERROR(VLOOKUP($B303,'Dinh muc'!$A$2:$I$40,6,0),0)</f>
        <v>12.375</v>
      </c>
      <c r="L303" s="71">
        <f>IFERROR(D303/(C303*24),0)</f>
        <v>12.375</v>
      </c>
      <c r="M303" s="2"/>
      <c r="N303" s="68">
        <v>0.25</v>
      </c>
      <c r="O303" s="85">
        <v>4.8499999999999996</v>
      </c>
      <c r="P303" s="85">
        <f>(SUM(E303:E312)/(SUM(C303:C311)*24))</f>
        <v>11</v>
      </c>
      <c r="Q303" s="85"/>
      <c r="R303" s="77">
        <f>F303*I313+J303*M313+N303*Q313</f>
        <v>7.3151515151515154</v>
      </c>
      <c r="S303" s="76">
        <v>0.7</v>
      </c>
      <c r="T303" s="32">
        <f>T292</f>
        <v>192307.69230769231</v>
      </c>
      <c r="U303" s="91">
        <f>IFERROR(VLOOKUP(A303,'chi phi XCG'!$A$2:$C$39,3,0),0)</f>
        <v>205494.50549450549</v>
      </c>
      <c r="V303" s="83">
        <f>(T303*8)/U303</f>
        <v>7.4866310160427814</v>
      </c>
      <c r="W303" s="77">
        <v>0.3</v>
      </c>
      <c r="X303" s="78">
        <f>R303*S303+V303*W303</f>
        <v>7.3665953654188945</v>
      </c>
      <c r="Y303" s="47" t="str">
        <f>IF(X303&gt;=10,"A++",IF(X303&gt;=9,"A+",IF(X303&gt;=8,"A",IF(X303&gt;=7,"B","C"))))</f>
        <v>B</v>
      </c>
    </row>
    <row r="304" spans="1:25" x14ac:dyDescent="0.35">
      <c r="A304" s="46"/>
      <c r="B304" s="2" t="s">
        <v>51</v>
      </c>
      <c r="C304" s="3">
        <v>1.1666666666666667</v>
      </c>
      <c r="D304" s="88">
        <v>273</v>
      </c>
      <c r="E304" s="67">
        <v>130</v>
      </c>
      <c r="F304" s="68"/>
      <c r="G304" s="69">
        <f>IFERROR(VLOOKUP($B304,'Dinh muc'!$A$2:$I$40,2,0),0)</f>
        <v>9</v>
      </c>
      <c r="H304" s="70">
        <f t="shared" si="93"/>
        <v>0.93333333333333335</v>
      </c>
      <c r="I304" s="84">
        <f t="shared" ref="I304:I312" si="95">G304*H304</f>
        <v>8.4</v>
      </c>
      <c r="J304" s="68"/>
      <c r="K304" s="71">
        <f>IFERROR(VLOOKUP($B304,'Dinh muc'!$A$2:$I$40,6,0),0)</f>
        <v>9.75</v>
      </c>
      <c r="L304" s="71">
        <f t="shared" ref="L304:L312" si="96">IFERROR(D304/(C304*24),0)</f>
        <v>9.75</v>
      </c>
      <c r="M304" s="2"/>
      <c r="N304" s="68"/>
      <c r="O304" s="85"/>
      <c r="P304" s="85"/>
      <c r="Q304" s="85"/>
      <c r="R304" s="77"/>
      <c r="S304" s="68"/>
      <c r="T304" s="77"/>
      <c r="U304" s="95"/>
      <c r="V304" s="77"/>
      <c r="W304" s="77"/>
      <c r="X304" s="77"/>
      <c r="Y304" s="47"/>
    </row>
    <row r="305" spans="1:25" x14ac:dyDescent="0.35">
      <c r="A305" s="46"/>
      <c r="B305" s="2"/>
      <c r="C305" s="3"/>
      <c r="D305" s="88"/>
      <c r="E305" s="67"/>
      <c r="F305" s="68"/>
      <c r="G305" s="69">
        <f>IFERROR(VLOOKUP($B305,'Dinh muc'!$A$2:$I$40,2,0),0)</f>
        <v>0</v>
      </c>
      <c r="H305" s="70">
        <f t="shared" si="93"/>
        <v>0</v>
      </c>
      <c r="I305" s="84">
        <f t="shared" si="95"/>
        <v>0</v>
      </c>
      <c r="J305" s="68"/>
      <c r="K305" s="71">
        <f>IFERROR(VLOOKUP($B305,'Dinh muc'!$A$2:$I$40,6,0),0)</f>
        <v>0</v>
      </c>
      <c r="L305" s="71">
        <f t="shared" si="96"/>
        <v>0</v>
      </c>
      <c r="M305" s="2"/>
      <c r="N305" s="68"/>
      <c r="O305" s="85"/>
      <c r="P305" s="85"/>
      <c r="Q305" s="85"/>
      <c r="R305" s="77"/>
      <c r="S305" s="68"/>
      <c r="T305" s="77"/>
      <c r="U305" s="95"/>
      <c r="V305" s="77"/>
      <c r="W305" s="77"/>
      <c r="X305" s="77"/>
      <c r="Y305" s="47"/>
    </row>
    <row r="306" spans="1:25" x14ac:dyDescent="0.35">
      <c r="A306" s="46"/>
      <c r="B306" s="2"/>
      <c r="C306" s="3"/>
      <c r="D306" s="32"/>
      <c r="E306" s="67"/>
      <c r="F306" s="68"/>
      <c r="G306" s="69">
        <f>IFERROR(VLOOKUP($B306,'Dinh muc'!$A$2:$I$40,2,0),0)</f>
        <v>0</v>
      </c>
      <c r="H306" s="70">
        <f t="shared" si="93"/>
        <v>0</v>
      </c>
      <c r="I306" s="84">
        <f t="shared" si="95"/>
        <v>0</v>
      </c>
      <c r="J306" s="68"/>
      <c r="K306" s="71">
        <f>IFERROR(VLOOKUP($B306,'Dinh muc'!$A$2:$I$40,6,0),0)</f>
        <v>0</v>
      </c>
      <c r="L306" s="71">
        <f t="shared" si="96"/>
        <v>0</v>
      </c>
      <c r="M306" s="2"/>
      <c r="N306" s="68"/>
      <c r="O306" s="85"/>
      <c r="P306" s="85"/>
      <c r="Q306" s="85"/>
      <c r="R306" s="77"/>
      <c r="S306" s="68"/>
      <c r="T306" s="77"/>
      <c r="U306" s="95"/>
      <c r="V306" s="77"/>
      <c r="W306" s="77"/>
      <c r="X306" s="77"/>
      <c r="Y306" s="47"/>
    </row>
    <row r="307" spans="1:25" x14ac:dyDescent="0.35">
      <c r="A307" s="46"/>
      <c r="B307" s="2"/>
      <c r="C307" s="3"/>
      <c r="D307" s="32"/>
      <c r="E307" s="67"/>
      <c r="F307" s="68"/>
      <c r="G307" s="69">
        <f>IFERROR(VLOOKUP($B307,'Dinh muc'!$A$2:$I$40,2,0),0)</f>
        <v>0</v>
      </c>
      <c r="H307" s="70">
        <f t="shared" si="93"/>
        <v>0</v>
      </c>
      <c r="I307" s="84">
        <f t="shared" si="95"/>
        <v>0</v>
      </c>
      <c r="J307" s="68"/>
      <c r="K307" s="71">
        <f>IFERROR(VLOOKUP($B307,'Dinh muc'!$A$2:$I$40,6,0),0)</f>
        <v>0</v>
      </c>
      <c r="L307" s="71">
        <f t="shared" si="96"/>
        <v>0</v>
      </c>
      <c r="M307" s="2"/>
      <c r="N307" s="68"/>
      <c r="O307" s="85"/>
      <c r="P307" s="85"/>
      <c r="Q307" s="85"/>
      <c r="R307" s="77"/>
      <c r="S307" s="68"/>
      <c r="T307" s="77"/>
      <c r="U307" s="95"/>
      <c r="V307" s="77"/>
      <c r="W307" s="77"/>
      <c r="X307" s="77"/>
      <c r="Y307" s="47"/>
    </row>
    <row r="308" spans="1:25" x14ac:dyDescent="0.35">
      <c r="A308" s="46"/>
      <c r="B308" s="2"/>
      <c r="C308" s="3"/>
      <c r="D308" s="32"/>
      <c r="E308" s="67"/>
      <c r="F308" s="68"/>
      <c r="G308" s="69">
        <f>IFERROR(VLOOKUP($B308,'Dinh muc'!$A$2:$I$40,2,0),0)</f>
        <v>0</v>
      </c>
      <c r="H308" s="70">
        <f t="shared" si="93"/>
        <v>0</v>
      </c>
      <c r="I308" s="84">
        <f t="shared" si="95"/>
        <v>0</v>
      </c>
      <c r="J308" s="68"/>
      <c r="K308" s="71">
        <f>IFERROR(VLOOKUP($B308,'Dinh muc'!$A$2:$I$40,6,0),0)</f>
        <v>0</v>
      </c>
      <c r="L308" s="71">
        <f t="shared" si="96"/>
        <v>0</v>
      </c>
      <c r="M308" s="2"/>
      <c r="N308" s="68"/>
      <c r="O308" s="85"/>
      <c r="P308" s="85"/>
      <c r="Q308" s="85"/>
      <c r="R308" s="77"/>
      <c r="S308" s="68"/>
      <c r="T308" s="77"/>
      <c r="U308" s="95"/>
      <c r="V308" s="77"/>
      <c r="W308" s="77"/>
      <c r="X308" s="77"/>
      <c r="Y308" s="47"/>
    </row>
    <row r="309" spans="1:25" x14ac:dyDescent="0.35">
      <c r="A309" s="46"/>
      <c r="B309" s="2"/>
      <c r="C309" s="3"/>
      <c r="D309" s="32"/>
      <c r="E309" s="67"/>
      <c r="F309" s="68"/>
      <c r="G309" s="69">
        <f>IFERROR(VLOOKUP($B309,'Dinh muc'!$A$2:$I$40,2,0),0)</f>
        <v>0</v>
      </c>
      <c r="H309" s="70">
        <f t="shared" si="93"/>
        <v>0</v>
      </c>
      <c r="I309" s="84">
        <f t="shared" si="95"/>
        <v>0</v>
      </c>
      <c r="J309" s="68"/>
      <c r="K309" s="71">
        <f>IFERROR(VLOOKUP($B309,'Dinh muc'!$A$2:$I$40,6,0),0)</f>
        <v>0</v>
      </c>
      <c r="L309" s="71">
        <f t="shared" si="96"/>
        <v>0</v>
      </c>
      <c r="M309" s="2"/>
      <c r="N309" s="68"/>
      <c r="O309" s="85"/>
      <c r="P309" s="85"/>
      <c r="Q309" s="85"/>
      <c r="R309" s="77"/>
      <c r="S309" s="68"/>
      <c r="T309" s="77"/>
      <c r="U309" s="95"/>
      <c r="V309" s="77"/>
      <c r="W309" s="77"/>
      <c r="X309" s="77"/>
      <c r="Y309" s="47"/>
    </row>
    <row r="310" spans="1:25" x14ac:dyDescent="0.35">
      <c r="A310" s="46"/>
      <c r="B310" s="2"/>
      <c r="C310" s="3"/>
      <c r="D310" s="32"/>
      <c r="E310" s="67"/>
      <c r="F310" s="68"/>
      <c r="G310" s="69">
        <f>IFERROR(VLOOKUP($B310,'Dinh muc'!$A$2:$I$40,2,0),0)</f>
        <v>0</v>
      </c>
      <c r="H310" s="70">
        <f t="shared" si="93"/>
        <v>0</v>
      </c>
      <c r="I310" s="84">
        <f t="shared" si="95"/>
        <v>0</v>
      </c>
      <c r="J310" s="68"/>
      <c r="K310" s="71">
        <f>IFERROR(VLOOKUP($B310,'Dinh muc'!$A$2:$I$40,6,0),0)</f>
        <v>0</v>
      </c>
      <c r="L310" s="71">
        <f t="shared" si="96"/>
        <v>0</v>
      </c>
      <c r="M310" s="2"/>
      <c r="N310" s="68"/>
      <c r="O310" s="85"/>
      <c r="P310" s="85"/>
      <c r="Q310" s="85"/>
      <c r="R310" s="77"/>
      <c r="S310" s="68"/>
      <c r="T310" s="77"/>
      <c r="U310" s="95"/>
      <c r="V310" s="77"/>
      <c r="W310" s="77"/>
      <c r="X310" s="77"/>
      <c r="Y310" s="47"/>
    </row>
    <row r="311" spans="1:25" x14ac:dyDescent="0.35">
      <c r="A311" s="46"/>
      <c r="B311" s="2"/>
      <c r="C311" s="3"/>
      <c r="D311" s="32"/>
      <c r="E311" s="67"/>
      <c r="F311" s="68"/>
      <c r="G311" s="69">
        <f>IFERROR(VLOOKUP($B311,'Dinh muc'!$A$2:$I$40,2,0),0)</f>
        <v>0</v>
      </c>
      <c r="H311" s="70">
        <f t="shared" si="93"/>
        <v>0</v>
      </c>
      <c r="I311" s="84">
        <f t="shared" si="95"/>
        <v>0</v>
      </c>
      <c r="J311" s="68"/>
      <c r="K311" s="71">
        <f>IFERROR(VLOOKUP($B311,'Dinh muc'!$A$2:$I$40,6,0),0)</f>
        <v>0</v>
      </c>
      <c r="L311" s="71">
        <f t="shared" si="96"/>
        <v>0</v>
      </c>
      <c r="M311" s="2"/>
      <c r="N311" s="68"/>
      <c r="O311" s="85"/>
      <c r="P311" s="85"/>
      <c r="Q311" s="85"/>
      <c r="R311" s="77"/>
      <c r="S311" s="68"/>
      <c r="T311" s="77"/>
      <c r="U311" s="95"/>
      <c r="V311" s="77"/>
      <c r="W311" s="77"/>
      <c r="X311" s="77"/>
      <c r="Y311" s="47"/>
    </row>
    <row r="312" spans="1:25" x14ac:dyDescent="0.35">
      <c r="A312" s="46"/>
      <c r="B312" s="2" t="s">
        <v>82</v>
      </c>
      <c r="C312" s="3"/>
      <c r="D312" s="32"/>
      <c r="E312" s="67"/>
      <c r="F312" s="68"/>
      <c r="G312" s="69">
        <f>IFERROR(VLOOKUP($B312,'Dinh muc'!$A$2:$I$40,2,0),0)</f>
        <v>-20</v>
      </c>
      <c r="H312" s="70">
        <f t="shared" si="93"/>
        <v>0</v>
      </c>
      <c r="I312" s="84">
        <f t="shared" si="95"/>
        <v>0</v>
      </c>
      <c r="J312" s="68"/>
      <c r="K312" s="71">
        <f>IFERROR(VLOOKUP($B312,'Dinh muc'!$A$2:$I$40,6,0),0)</f>
        <v>0</v>
      </c>
      <c r="L312" s="71">
        <f t="shared" si="96"/>
        <v>0</v>
      </c>
      <c r="M312" s="2"/>
      <c r="N312" s="68"/>
      <c r="O312" s="85"/>
      <c r="P312" s="85"/>
      <c r="Q312" s="85"/>
      <c r="R312" s="77"/>
      <c r="S312" s="68"/>
      <c r="T312" s="77"/>
      <c r="U312" s="95"/>
      <c r="V312" s="77"/>
      <c r="W312" s="77"/>
      <c r="X312" s="77"/>
      <c r="Y312" s="47"/>
    </row>
    <row r="313" spans="1:25" x14ac:dyDescent="0.35">
      <c r="A313" s="35"/>
      <c r="B313" s="8"/>
      <c r="C313" s="9"/>
      <c r="D313" s="33"/>
      <c r="E313" s="10"/>
      <c r="F313" s="30"/>
      <c r="G313" s="11"/>
      <c r="H313" s="27"/>
      <c r="I313" s="29">
        <f>SUM(I303:I312)</f>
        <v>8.8666666666666671</v>
      </c>
      <c r="J313" s="30"/>
      <c r="K313" s="30">
        <f>AVERAGE(K303:K312)</f>
        <v>2.2124999999999999</v>
      </c>
      <c r="L313" s="30">
        <f>AVERAGE(L303:L312)</f>
        <v>2.2124999999999999</v>
      </c>
      <c r="M313" s="29">
        <f>(L313*8)/K313</f>
        <v>8</v>
      </c>
      <c r="N313" s="30"/>
      <c r="O313" s="30">
        <f>AVERAGE(O303)</f>
        <v>4.8499999999999996</v>
      </c>
      <c r="P313" s="30">
        <f>AVERAGE(P303)</f>
        <v>11</v>
      </c>
      <c r="Q313" s="29">
        <f>(O313*8)/P313</f>
        <v>3.5272727272727269</v>
      </c>
      <c r="R313" s="98"/>
      <c r="S313" s="79"/>
      <c r="T313" s="79"/>
      <c r="U313" s="93"/>
      <c r="V313" s="98"/>
      <c r="W313" s="79"/>
      <c r="X313" s="79"/>
      <c r="Y313" s="61"/>
    </row>
    <row r="314" spans="1:25" x14ac:dyDescent="0.35">
      <c r="A314" s="46" t="s">
        <v>59</v>
      </c>
      <c r="B314" s="2" t="s">
        <v>18</v>
      </c>
      <c r="C314" s="3">
        <v>0.125</v>
      </c>
      <c r="D314" s="88">
        <v>37.125</v>
      </c>
      <c r="E314" s="67"/>
      <c r="F314" s="68">
        <v>0.5</v>
      </c>
      <c r="G314" s="69">
        <f>IFERROR(VLOOKUP($B314,'Dinh muc'!$A$2:$I$40,2,0),0)</f>
        <v>7</v>
      </c>
      <c r="H314" s="70">
        <f t="shared" ref="H314:H323" si="97">(C314*24)/(SUM($C$314:$C$323)*24)</f>
        <v>4.4776119402985072E-2</v>
      </c>
      <c r="I314" s="84">
        <f t="shared" ref="I314" si="98">G314*H314</f>
        <v>0.31343283582089548</v>
      </c>
      <c r="J314" s="68">
        <v>0.25</v>
      </c>
      <c r="K314" s="71">
        <f>IFERROR(VLOOKUP($B314,'Dinh muc'!$A$2:$I$40,6,0),0)</f>
        <v>12.375</v>
      </c>
      <c r="L314" s="71">
        <f>IFERROR(D314/(C314*24),0)</f>
        <v>12.375</v>
      </c>
      <c r="M314" s="2"/>
      <c r="N314" s="68">
        <v>0.25</v>
      </c>
      <c r="O314" s="85">
        <v>4.8499999999999996</v>
      </c>
      <c r="P314" s="85">
        <f>(SUM(E314:E323)/(SUM(C314:C322)*24))</f>
        <v>7.5671641791044779</v>
      </c>
      <c r="Q314" s="85"/>
      <c r="R314" s="77">
        <f>F314*I324+J314*M324+N314*Q324</f>
        <v>7.5131973269745949</v>
      </c>
      <c r="S314" s="76">
        <v>0.7</v>
      </c>
      <c r="T314" s="32">
        <f>T303</f>
        <v>192307.69230769231</v>
      </c>
      <c r="U314" s="91">
        <f>IFERROR(VLOOKUP(A314,'chi phi XCG'!$A$2:$C$39,3,0),0)</f>
        <v>205494.50549450549</v>
      </c>
      <c r="V314" s="83">
        <f>(T314*8)/U314</f>
        <v>7.4866310160427814</v>
      </c>
      <c r="W314" s="77">
        <v>0.3</v>
      </c>
      <c r="X314" s="78">
        <f>R314*S314+V314*W314</f>
        <v>7.5052274336950502</v>
      </c>
      <c r="Y314" s="47" t="str">
        <f>IF(X314&gt;=10,"A++",IF(X314&gt;=9,"A+",IF(X314&gt;=8,"A",IF(X314&gt;=7,"B","C"))))</f>
        <v>B</v>
      </c>
    </row>
    <row r="315" spans="1:25" x14ac:dyDescent="0.35">
      <c r="A315" s="46"/>
      <c r="B315" s="2" t="s">
        <v>18</v>
      </c>
      <c r="C315" s="3">
        <v>0.33333333333333331</v>
      </c>
      <c r="D315" s="88">
        <v>99</v>
      </c>
      <c r="E315" s="67"/>
      <c r="F315" s="68"/>
      <c r="G315" s="69">
        <f>IFERROR(VLOOKUP($B315,'Dinh muc'!$A$2:$I$40,2,0),0)</f>
        <v>7</v>
      </c>
      <c r="H315" s="70">
        <f t="shared" si="97"/>
        <v>0.11940298507462686</v>
      </c>
      <c r="I315" s="84">
        <f t="shared" ref="I315:I323" si="99">G315*H315</f>
        <v>0.83582089552238803</v>
      </c>
      <c r="J315" s="68"/>
      <c r="K315" s="71">
        <f>IFERROR(VLOOKUP($B315,'Dinh muc'!$A$2:$I$40,6,0),0)</f>
        <v>12.375</v>
      </c>
      <c r="L315" s="71">
        <f t="shared" ref="L315:L323" si="100">IFERROR(D315/(C315*24),0)</f>
        <v>12.375</v>
      </c>
      <c r="M315" s="2"/>
      <c r="N315" s="68"/>
      <c r="O315" s="85"/>
      <c r="P315" s="85"/>
      <c r="Q315" s="85"/>
      <c r="R315" s="77"/>
      <c r="S315" s="68"/>
      <c r="T315" s="77"/>
      <c r="U315" s="95"/>
      <c r="V315" s="77"/>
      <c r="W315" s="77"/>
      <c r="X315" s="77"/>
      <c r="Y315" s="47"/>
    </row>
    <row r="316" spans="1:25" x14ac:dyDescent="0.35">
      <c r="A316" s="46"/>
      <c r="B316" s="2" t="s">
        <v>51</v>
      </c>
      <c r="C316" s="3">
        <v>1.7500000000000002</v>
      </c>
      <c r="D316" s="88">
        <v>409.50000000000006</v>
      </c>
      <c r="E316" s="67">
        <v>507</v>
      </c>
      <c r="F316" s="68"/>
      <c r="G316" s="69">
        <f>IFERROR(VLOOKUP($B316,'Dinh muc'!$A$2:$I$40,2,0),0)</f>
        <v>9</v>
      </c>
      <c r="H316" s="70">
        <f t="shared" si="97"/>
        <v>0.62686567164179119</v>
      </c>
      <c r="I316" s="84">
        <f t="shared" si="99"/>
        <v>5.641791044776121</v>
      </c>
      <c r="J316" s="68"/>
      <c r="K316" s="71">
        <f>IFERROR(VLOOKUP($B316,'Dinh muc'!$A$2:$I$40,6,0),0)</f>
        <v>9.75</v>
      </c>
      <c r="L316" s="71">
        <f t="shared" si="100"/>
        <v>9.75</v>
      </c>
      <c r="M316" s="2"/>
      <c r="N316" s="68"/>
      <c r="O316" s="85"/>
      <c r="P316" s="85"/>
      <c r="Q316" s="85"/>
      <c r="R316" s="77"/>
      <c r="S316" s="68"/>
      <c r="T316" s="77"/>
      <c r="U316" s="95"/>
      <c r="V316" s="77"/>
      <c r="W316" s="77"/>
      <c r="X316" s="77"/>
      <c r="Y316" s="47"/>
    </row>
    <row r="317" spans="1:25" x14ac:dyDescent="0.35">
      <c r="A317" s="46"/>
      <c r="B317" s="2" t="s">
        <v>58</v>
      </c>
      <c r="C317" s="3">
        <v>0.27777777777777779</v>
      </c>
      <c r="D317" s="88">
        <v>65</v>
      </c>
      <c r="E317" s="67"/>
      <c r="F317" s="68"/>
      <c r="G317" s="69">
        <f>IFERROR(VLOOKUP($B317,'Dinh muc'!$A$2:$I$40,2,0),0)</f>
        <v>8</v>
      </c>
      <c r="H317" s="70">
        <f t="shared" si="97"/>
        <v>9.950248756218906E-2</v>
      </c>
      <c r="I317" s="84">
        <f t="shared" si="99"/>
        <v>0.79601990049751248</v>
      </c>
      <c r="J317" s="68"/>
      <c r="K317" s="71">
        <f>IFERROR(VLOOKUP($B317,'Dinh muc'!$A$2:$I$40,6,0),0)</f>
        <v>9.75</v>
      </c>
      <c r="L317" s="71">
        <f t="shared" si="100"/>
        <v>9.75</v>
      </c>
      <c r="M317" s="2"/>
      <c r="N317" s="68"/>
      <c r="O317" s="85"/>
      <c r="P317" s="85"/>
      <c r="Q317" s="85"/>
      <c r="R317" s="77"/>
      <c r="S317" s="68"/>
      <c r="T317" s="77"/>
      <c r="U317" s="95"/>
      <c r="V317" s="77"/>
      <c r="W317" s="77"/>
      <c r="X317" s="77"/>
      <c r="Y317" s="47"/>
    </row>
    <row r="318" spans="1:25" x14ac:dyDescent="0.35">
      <c r="A318" s="46"/>
      <c r="B318" s="2" t="s">
        <v>60</v>
      </c>
      <c r="C318" s="3">
        <v>0.30555555555555558</v>
      </c>
      <c r="D318" s="88">
        <v>71.5</v>
      </c>
      <c r="E318" s="67"/>
      <c r="F318" s="68"/>
      <c r="G318" s="69">
        <f>IFERROR(VLOOKUP($B318,'Dinh muc'!$A$2:$I$40,2,0),0)</f>
        <v>8</v>
      </c>
      <c r="H318" s="70">
        <f t="shared" si="97"/>
        <v>0.10945273631840798</v>
      </c>
      <c r="I318" s="84">
        <f t="shared" si="99"/>
        <v>0.8756218905472638</v>
      </c>
      <c r="J318" s="68"/>
      <c r="K318" s="71">
        <f>IFERROR(VLOOKUP($B318,'Dinh muc'!$A$2:$I$40,6,0),0)</f>
        <v>9.75</v>
      </c>
      <c r="L318" s="71">
        <f t="shared" si="100"/>
        <v>9.75</v>
      </c>
      <c r="M318" s="2"/>
      <c r="N318" s="68"/>
      <c r="O318" s="85"/>
      <c r="P318" s="85"/>
      <c r="Q318" s="85"/>
      <c r="R318" s="77"/>
      <c r="S318" s="68"/>
      <c r="T318" s="77"/>
      <c r="U318" s="95"/>
      <c r="V318" s="77"/>
      <c r="W318" s="77"/>
      <c r="X318" s="77"/>
      <c r="Y318" s="47"/>
    </row>
    <row r="319" spans="1:25" x14ac:dyDescent="0.35">
      <c r="A319" s="46"/>
      <c r="B319" s="2"/>
      <c r="C319" s="3"/>
      <c r="D319" s="32"/>
      <c r="E319" s="67"/>
      <c r="F319" s="68"/>
      <c r="G319" s="69">
        <f>IFERROR(VLOOKUP($B319,'Dinh muc'!$A$2:$I$40,2,0),0)</f>
        <v>0</v>
      </c>
      <c r="H319" s="70">
        <f t="shared" si="97"/>
        <v>0</v>
      </c>
      <c r="I319" s="84">
        <f t="shared" si="99"/>
        <v>0</v>
      </c>
      <c r="J319" s="68"/>
      <c r="K319" s="71">
        <f>IFERROR(VLOOKUP($B319,'Dinh muc'!$A$2:$I$40,6,0),0)</f>
        <v>0</v>
      </c>
      <c r="L319" s="71">
        <f t="shared" si="100"/>
        <v>0</v>
      </c>
      <c r="M319" s="2"/>
      <c r="N319" s="68"/>
      <c r="O319" s="85"/>
      <c r="P319" s="85"/>
      <c r="Q319" s="85"/>
      <c r="R319" s="77"/>
      <c r="S319" s="68"/>
      <c r="T319" s="77"/>
      <c r="U319" s="95"/>
      <c r="V319" s="77"/>
      <c r="W319" s="77"/>
      <c r="X319" s="77"/>
      <c r="Y319" s="47"/>
    </row>
    <row r="320" spans="1:25" x14ac:dyDescent="0.35">
      <c r="A320" s="46"/>
      <c r="B320" s="2"/>
      <c r="C320" s="3"/>
      <c r="D320" s="32"/>
      <c r="E320" s="67"/>
      <c r="F320" s="68"/>
      <c r="G320" s="69">
        <f>IFERROR(VLOOKUP($B320,'Dinh muc'!$A$2:$I$40,2,0),0)</f>
        <v>0</v>
      </c>
      <c r="H320" s="70">
        <f t="shared" si="97"/>
        <v>0</v>
      </c>
      <c r="I320" s="84">
        <f t="shared" si="99"/>
        <v>0</v>
      </c>
      <c r="J320" s="68"/>
      <c r="K320" s="71">
        <f>IFERROR(VLOOKUP($B320,'Dinh muc'!$A$2:$I$40,6,0),0)</f>
        <v>0</v>
      </c>
      <c r="L320" s="71">
        <f t="shared" si="100"/>
        <v>0</v>
      </c>
      <c r="M320" s="2"/>
      <c r="N320" s="68"/>
      <c r="O320" s="85"/>
      <c r="P320" s="85"/>
      <c r="Q320" s="85"/>
      <c r="R320" s="77"/>
      <c r="S320" s="68"/>
      <c r="T320" s="77"/>
      <c r="U320" s="95"/>
      <c r="V320" s="77"/>
      <c r="W320" s="77"/>
      <c r="X320" s="77"/>
      <c r="Y320" s="47"/>
    </row>
    <row r="321" spans="1:25" x14ac:dyDescent="0.35">
      <c r="A321" s="46"/>
      <c r="B321" s="2"/>
      <c r="C321" s="3"/>
      <c r="D321" s="32"/>
      <c r="E321" s="67"/>
      <c r="F321" s="68"/>
      <c r="G321" s="69">
        <f>IFERROR(VLOOKUP($B321,'Dinh muc'!$A$2:$I$40,2,0),0)</f>
        <v>0</v>
      </c>
      <c r="H321" s="70">
        <f t="shared" si="97"/>
        <v>0</v>
      </c>
      <c r="I321" s="84">
        <f t="shared" si="99"/>
        <v>0</v>
      </c>
      <c r="J321" s="68"/>
      <c r="K321" s="71">
        <f>IFERROR(VLOOKUP($B321,'Dinh muc'!$A$2:$I$40,6,0),0)</f>
        <v>0</v>
      </c>
      <c r="L321" s="71">
        <f t="shared" si="100"/>
        <v>0</v>
      </c>
      <c r="M321" s="2"/>
      <c r="N321" s="68"/>
      <c r="O321" s="85"/>
      <c r="P321" s="85"/>
      <c r="Q321" s="85"/>
      <c r="R321" s="77"/>
      <c r="S321" s="68"/>
      <c r="T321" s="77"/>
      <c r="U321" s="95"/>
      <c r="V321" s="77"/>
      <c r="W321" s="77"/>
      <c r="X321" s="77"/>
      <c r="Y321" s="47"/>
    </row>
    <row r="322" spans="1:25" x14ac:dyDescent="0.35">
      <c r="A322" s="46"/>
      <c r="B322" s="2"/>
      <c r="C322" s="3"/>
      <c r="D322" s="32"/>
      <c r="E322" s="67"/>
      <c r="F322" s="68"/>
      <c r="G322" s="69">
        <f>IFERROR(VLOOKUP($B322,'Dinh muc'!$A$2:$I$40,2,0),0)</f>
        <v>0</v>
      </c>
      <c r="H322" s="70">
        <f t="shared" si="97"/>
        <v>0</v>
      </c>
      <c r="I322" s="84">
        <f t="shared" si="99"/>
        <v>0</v>
      </c>
      <c r="J322" s="68"/>
      <c r="K322" s="71">
        <f>IFERROR(VLOOKUP($B322,'Dinh muc'!$A$2:$I$40,6,0),0)</f>
        <v>0</v>
      </c>
      <c r="L322" s="71">
        <f t="shared" si="100"/>
        <v>0</v>
      </c>
      <c r="M322" s="2"/>
      <c r="N322" s="68"/>
      <c r="O322" s="85"/>
      <c r="P322" s="85"/>
      <c r="Q322" s="85"/>
      <c r="R322" s="77"/>
      <c r="S322" s="68"/>
      <c r="T322" s="77"/>
      <c r="U322" s="95"/>
      <c r="V322" s="77"/>
      <c r="W322" s="77"/>
      <c r="X322" s="77"/>
      <c r="Y322" s="47"/>
    </row>
    <row r="323" spans="1:25" x14ac:dyDescent="0.35">
      <c r="A323" s="46"/>
      <c r="B323" s="2" t="s">
        <v>82</v>
      </c>
      <c r="C323" s="3"/>
      <c r="D323" s="32"/>
      <c r="E323" s="67"/>
      <c r="F323" s="68"/>
      <c r="G323" s="69">
        <f>IFERROR(VLOOKUP($B323,'Dinh muc'!$A$2:$I$40,2,0),0)</f>
        <v>-20</v>
      </c>
      <c r="H323" s="70">
        <f t="shared" si="97"/>
        <v>0</v>
      </c>
      <c r="I323" s="84">
        <f t="shared" si="99"/>
        <v>0</v>
      </c>
      <c r="J323" s="68"/>
      <c r="K323" s="71">
        <f>IFERROR(VLOOKUP($B323,'Dinh muc'!$A$2:$I$40,6,0),0)</f>
        <v>0</v>
      </c>
      <c r="L323" s="71">
        <f t="shared" si="100"/>
        <v>0</v>
      </c>
      <c r="M323" s="2"/>
      <c r="N323" s="68"/>
      <c r="O323" s="85"/>
      <c r="P323" s="85"/>
      <c r="Q323" s="85"/>
      <c r="R323" s="77"/>
      <c r="S323" s="68"/>
      <c r="T323" s="77"/>
      <c r="U323" s="95"/>
      <c r="V323" s="77"/>
      <c r="W323" s="77"/>
      <c r="X323" s="77"/>
      <c r="Y323" s="47"/>
    </row>
    <row r="324" spans="1:25" x14ac:dyDescent="0.35">
      <c r="A324" s="35"/>
      <c r="B324" s="8"/>
      <c r="C324" s="9"/>
      <c r="D324" s="33"/>
      <c r="E324" s="10"/>
      <c r="F324" s="30"/>
      <c r="G324" s="11"/>
      <c r="H324" s="27"/>
      <c r="I324" s="29">
        <f>SUM(I314:I323)</f>
        <v>8.4626865671641802</v>
      </c>
      <c r="J324" s="30"/>
      <c r="K324" s="30">
        <f>AVERAGE(K314:K323)</f>
        <v>5.4</v>
      </c>
      <c r="L324" s="30">
        <f>AVERAGE(L314:L323)</f>
        <v>5.4</v>
      </c>
      <c r="M324" s="29">
        <f>(L324*8)/K324</f>
        <v>8</v>
      </c>
      <c r="N324" s="30"/>
      <c r="O324" s="30">
        <f>AVERAGE(O314)</f>
        <v>4.8499999999999996</v>
      </c>
      <c r="P324" s="30">
        <f>AVERAGE(P314)</f>
        <v>7.5671641791044779</v>
      </c>
      <c r="Q324" s="29">
        <f>(O324*8)/P324</f>
        <v>5.127416173570019</v>
      </c>
      <c r="R324" s="98"/>
      <c r="S324" s="79"/>
      <c r="T324" s="79"/>
      <c r="U324" s="93"/>
      <c r="V324" s="98"/>
      <c r="W324" s="79"/>
      <c r="X324" s="79"/>
      <c r="Y324" s="61"/>
    </row>
    <row r="325" spans="1:25" x14ac:dyDescent="0.35">
      <c r="A325" s="46" t="s">
        <v>17</v>
      </c>
      <c r="B325" s="2" t="s">
        <v>18</v>
      </c>
      <c r="C325" s="3">
        <v>1.0520833333333335</v>
      </c>
      <c r="D325" s="88">
        <v>312.46875000000006</v>
      </c>
      <c r="E325" s="67"/>
      <c r="F325" s="68">
        <v>0.5</v>
      </c>
      <c r="G325" s="69">
        <f>IFERROR(VLOOKUP($B325,'Dinh muc'!$A$2:$I$40,2,0),0)</f>
        <v>7</v>
      </c>
      <c r="H325" s="70">
        <f t="shared" ref="H325:H334" si="101">(C325*24)/(SUM($C$325:$C$334)*24)</f>
        <v>0.34988452655889157</v>
      </c>
      <c r="I325" s="84">
        <f t="shared" ref="I325:I334" si="102">G325*H325</f>
        <v>2.4491916859122411</v>
      </c>
      <c r="J325" s="68">
        <v>0.25</v>
      </c>
      <c r="K325" s="71">
        <f>IFERROR(VLOOKUP($B325,'Dinh muc'!$A$2:$I$40,6,0),0)</f>
        <v>12.375</v>
      </c>
      <c r="L325" s="71">
        <f>IFERROR(D325/(C325*24),0)</f>
        <v>12.375</v>
      </c>
      <c r="M325" s="2"/>
      <c r="N325" s="68">
        <v>0.25</v>
      </c>
      <c r="O325" s="85">
        <v>4.8499999999999996</v>
      </c>
      <c r="P325" s="85">
        <f>(SUM(E325:E334)/(SUM(C325:C333)*24))</f>
        <v>6.5127020785219409</v>
      </c>
      <c r="Q325" s="85"/>
      <c r="R325" s="77">
        <f>F325*I335+J325*M335+N325*Q335</f>
        <v>7.314454899841123</v>
      </c>
      <c r="S325" s="76">
        <v>0.7</v>
      </c>
      <c r="T325" s="32">
        <f>T314</f>
        <v>192307.69230769231</v>
      </c>
      <c r="U325" s="91">
        <f>IFERROR(VLOOKUP(A325,'chi phi XCG'!$A$2:$C$39,3,0),0)</f>
        <v>205494.50549450549</v>
      </c>
      <c r="V325" s="83">
        <f>(T325*8)/U325</f>
        <v>7.4866310160427814</v>
      </c>
      <c r="W325" s="77">
        <v>0.3</v>
      </c>
      <c r="X325" s="78">
        <f>R325*S325+V325*W325</f>
        <v>7.3661077347016199</v>
      </c>
      <c r="Y325" s="47" t="str">
        <f>IF(X325&gt;=10,"A++",IF(X325&gt;=9,"A+",IF(X325&gt;=8,"A",IF(X325&gt;=7,"B","C"))))</f>
        <v>B</v>
      </c>
    </row>
    <row r="326" spans="1:25" x14ac:dyDescent="0.35">
      <c r="A326" s="46"/>
      <c r="B326" s="2" t="s">
        <v>50</v>
      </c>
      <c r="C326" s="3">
        <v>7.9861111111111105E-2</v>
      </c>
      <c r="D326" s="88">
        <v>18.6875</v>
      </c>
      <c r="E326" s="67"/>
      <c r="F326" s="68"/>
      <c r="G326" s="69">
        <f>IFERROR(VLOOKUP($B326,'Dinh muc'!$A$2:$I$40,2,0),0)</f>
        <v>8</v>
      </c>
      <c r="H326" s="70">
        <f t="shared" si="101"/>
        <v>2.6558891454965358E-2</v>
      </c>
      <c r="I326" s="84">
        <f t="shared" si="102"/>
        <v>0.21247113163972287</v>
      </c>
      <c r="J326" s="68"/>
      <c r="K326" s="71">
        <f>IFERROR(VLOOKUP($B326,'Dinh muc'!$A$2:$I$40,6,0),0)</f>
        <v>9.75</v>
      </c>
      <c r="L326" s="71">
        <f t="shared" ref="L326:L334" si="103">IFERROR(D326/(C326*24),0)</f>
        <v>9.75</v>
      </c>
      <c r="M326" s="2"/>
      <c r="N326" s="68"/>
      <c r="O326" s="85"/>
      <c r="P326" s="85"/>
      <c r="Q326" s="85"/>
      <c r="R326" s="77"/>
      <c r="S326" s="68"/>
      <c r="T326" s="77"/>
      <c r="U326" s="95"/>
      <c r="V326" s="77"/>
      <c r="W326" s="77"/>
      <c r="X326" s="77"/>
      <c r="Y326" s="47"/>
    </row>
    <row r="327" spans="1:25" x14ac:dyDescent="0.35">
      <c r="A327" s="46"/>
      <c r="B327" s="2" t="s">
        <v>58</v>
      </c>
      <c r="C327" s="3">
        <v>0.95833333333333326</v>
      </c>
      <c r="D327" s="88">
        <v>224.25</v>
      </c>
      <c r="E327" s="67">
        <v>70</v>
      </c>
      <c r="F327" s="68"/>
      <c r="G327" s="69">
        <f>IFERROR(VLOOKUP($B327,'Dinh muc'!$A$2:$I$40,2,0),0)</f>
        <v>8</v>
      </c>
      <c r="H327" s="70">
        <f t="shared" si="101"/>
        <v>0.31870669745958435</v>
      </c>
      <c r="I327" s="84">
        <f t="shared" si="102"/>
        <v>2.5496535796766748</v>
      </c>
      <c r="J327" s="68"/>
      <c r="K327" s="71">
        <f>IFERROR(VLOOKUP($B327,'Dinh muc'!$A$2:$I$40,6,0),0)</f>
        <v>9.75</v>
      </c>
      <c r="L327" s="71">
        <f t="shared" si="103"/>
        <v>9.75</v>
      </c>
      <c r="M327" s="2"/>
      <c r="N327" s="68"/>
      <c r="O327" s="85"/>
      <c r="P327" s="85"/>
      <c r="Q327" s="85"/>
      <c r="R327" s="77"/>
      <c r="S327" s="68"/>
      <c r="T327" s="77"/>
      <c r="U327" s="95"/>
      <c r="V327" s="77"/>
      <c r="W327" s="77"/>
      <c r="X327" s="77"/>
      <c r="Y327" s="47"/>
    </row>
    <row r="328" spans="1:25" x14ac:dyDescent="0.35">
      <c r="A328" s="46"/>
      <c r="B328" s="2" t="s">
        <v>60</v>
      </c>
      <c r="C328" s="3">
        <v>0.91666666666666663</v>
      </c>
      <c r="D328" s="88">
        <v>214.5</v>
      </c>
      <c r="E328" s="67">
        <v>400</v>
      </c>
      <c r="F328" s="68"/>
      <c r="G328" s="69">
        <f>IFERROR(VLOOKUP($B328,'Dinh muc'!$A$2:$I$40,2,0),0)</f>
        <v>8</v>
      </c>
      <c r="H328" s="70">
        <f t="shared" si="101"/>
        <v>0.30484988452655892</v>
      </c>
      <c r="I328" s="84">
        <f t="shared" si="102"/>
        <v>2.4387990762124714</v>
      </c>
      <c r="J328" s="68"/>
      <c r="K328" s="71">
        <f>IFERROR(VLOOKUP($B328,'Dinh muc'!$A$2:$I$40,6,0),0)</f>
        <v>9.75</v>
      </c>
      <c r="L328" s="71">
        <f t="shared" si="103"/>
        <v>9.75</v>
      </c>
      <c r="M328" s="2"/>
      <c r="N328" s="68"/>
      <c r="O328" s="85"/>
      <c r="P328" s="85"/>
      <c r="Q328" s="85"/>
      <c r="R328" s="77"/>
      <c r="S328" s="68"/>
      <c r="T328" s="77"/>
      <c r="U328" s="95"/>
      <c r="V328" s="77"/>
      <c r="W328" s="77"/>
      <c r="X328" s="77"/>
      <c r="Y328" s="47"/>
    </row>
    <row r="329" spans="1:25" x14ac:dyDescent="0.35">
      <c r="A329" s="46"/>
      <c r="B329" s="2"/>
      <c r="C329" s="3"/>
      <c r="D329" s="32"/>
      <c r="E329" s="67"/>
      <c r="F329" s="68"/>
      <c r="G329" s="69">
        <f>IFERROR(VLOOKUP($B329,'Dinh muc'!$A$2:$I$40,2,0),0)</f>
        <v>0</v>
      </c>
      <c r="H329" s="70">
        <f t="shared" si="101"/>
        <v>0</v>
      </c>
      <c r="I329" s="84">
        <f t="shared" si="102"/>
        <v>0</v>
      </c>
      <c r="J329" s="68"/>
      <c r="K329" s="71">
        <f>IFERROR(VLOOKUP($B329,'Dinh muc'!$A$2:$I$40,6,0),0)</f>
        <v>0</v>
      </c>
      <c r="L329" s="71">
        <f t="shared" si="103"/>
        <v>0</v>
      </c>
      <c r="M329" s="2"/>
      <c r="N329" s="68"/>
      <c r="O329" s="85"/>
      <c r="P329" s="85"/>
      <c r="Q329" s="85"/>
      <c r="R329" s="77"/>
      <c r="S329" s="68"/>
      <c r="T329" s="77"/>
      <c r="U329" s="95"/>
      <c r="V329" s="77"/>
      <c r="W329" s="77"/>
      <c r="X329" s="77"/>
      <c r="Y329" s="47"/>
    </row>
    <row r="330" spans="1:25" x14ac:dyDescent="0.35">
      <c r="A330" s="46"/>
      <c r="B330" s="2"/>
      <c r="C330" s="3"/>
      <c r="D330" s="32"/>
      <c r="E330" s="67"/>
      <c r="F330" s="68"/>
      <c r="G330" s="69">
        <f>IFERROR(VLOOKUP($B330,'Dinh muc'!$A$2:$I$40,2,0),0)</f>
        <v>0</v>
      </c>
      <c r="H330" s="70">
        <f t="shared" si="101"/>
        <v>0</v>
      </c>
      <c r="I330" s="84">
        <f t="shared" si="102"/>
        <v>0</v>
      </c>
      <c r="J330" s="68"/>
      <c r="K330" s="71">
        <f>IFERROR(VLOOKUP($B330,'Dinh muc'!$A$2:$I$40,6,0),0)</f>
        <v>0</v>
      </c>
      <c r="L330" s="71">
        <f t="shared" si="103"/>
        <v>0</v>
      </c>
      <c r="M330" s="2"/>
      <c r="N330" s="68"/>
      <c r="O330" s="85"/>
      <c r="P330" s="85"/>
      <c r="Q330" s="85"/>
      <c r="R330" s="77"/>
      <c r="S330" s="68"/>
      <c r="T330" s="77"/>
      <c r="U330" s="95"/>
      <c r="V330" s="77"/>
      <c r="W330" s="77"/>
      <c r="X330" s="77"/>
      <c r="Y330" s="47"/>
    </row>
    <row r="331" spans="1:25" x14ac:dyDescent="0.35">
      <c r="A331" s="46"/>
      <c r="B331" s="2"/>
      <c r="C331" s="3"/>
      <c r="D331" s="32"/>
      <c r="E331" s="67"/>
      <c r="F331" s="68"/>
      <c r="G331" s="69">
        <f>IFERROR(VLOOKUP($B331,'Dinh muc'!$A$2:$I$40,2,0),0)</f>
        <v>0</v>
      </c>
      <c r="H331" s="70">
        <f t="shared" si="101"/>
        <v>0</v>
      </c>
      <c r="I331" s="84">
        <f t="shared" si="102"/>
        <v>0</v>
      </c>
      <c r="J331" s="68"/>
      <c r="K331" s="71">
        <f>IFERROR(VLOOKUP($B331,'Dinh muc'!$A$2:$I$40,6,0),0)</f>
        <v>0</v>
      </c>
      <c r="L331" s="71">
        <f t="shared" si="103"/>
        <v>0</v>
      </c>
      <c r="M331" s="2"/>
      <c r="N331" s="68"/>
      <c r="O331" s="85"/>
      <c r="P331" s="85"/>
      <c r="Q331" s="85"/>
      <c r="R331" s="77"/>
      <c r="S331" s="68"/>
      <c r="T331" s="77"/>
      <c r="U331" s="95"/>
      <c r="V331" s="77"/>
      <c r="W331" s="77"/>
      <c r="X331" s="77"/>
      <c r="Y331" s="47"/>
    </row>
    <row r="332" spans="1:25" x14ac:dyDescent="0.35">
      <c r="A332" s="46"/>
      <c r="B332" s="2"/>
      <c r="C332" s="3"/>
      <c r="D332" s="32"/>
      <c r="E332" s="67"/>
      <c r="F332" s="68"/>
      <c r="G332" s="69">
        <f>IFERROR(VLOOKUP($B332,'Dinh muc'!$A$2:$I$40,2,0),0)</f>
        <v>0</v>
      </c>
      <c r="H332" s="70">
        <f t="shared" si="101"/>
        <v>0</v>
      </c>
      <c r="I332" s="84">
        <f t="shared" si="102"/>
        <v>0</v>
      </c>
      <c r="J332" s="68"/>
      <c r="K332" s="71">
        <f>IFERROR(VLOOKUP($B332,'Dinh muc'!$A$2:$I$40,6,0),0)</f>
        <v>0</v>
      </c>
      <c r="L332" s="71">
        <f t="shared" si="103"/>
        <v>0</v>
      </c>
      <c r="M332" s="2"/>
      <c r="N332" s="68"/>
      <c r="O332" s="85"/>
      <c r="P332" s="85"/>
      <c r="Q332" s="85"/>
      <c r="R332" s="77"/>
      <c r="S332" s="68"/>
      <c r="T332" s="77"/>
      <c r="U332" s="95"/>
      <c r="V332" s="77"/>
      <c r="W332" s="77"/>
      <c r="X332" s="77"/>
      <c r="Y332" s="47"/>
    </row>
    <row r="333" spans="1:25" x14ac:dyDescent="0.35">
      <c r="A333" s="46"/>
      <c r="B333" s="2"/>
      <c r="C333" s="3"/>
      <c r="D333" s="32"/>
      <c r="E333" s="67"/>
      <c r="F333" s="68"/>
      <c r="G333" s="69">
        <f>IFERROR(VLOOKUP($B333,'Dinh muc'!$A$2:$I$40,2,0),0)</f>
        <v>0</v>
      </c>
      <c r="H333" s="70">
        <f t="shared" si="101"/>
        <v>0</v>
      </c>
      <c r="I333" s="84">
        <f t="shared" si="102"/>
        <v>0</v>
      </c>
      <c r="J333" s="68"/>
      <c r="K333" s="71">
        <f>IFERROR(VLOOKUP($B333,'Dinh muc'!$A$2:$I$40,6,0),0)</f>
        <v>0</v>
      </c>
      <c r="L333" s="71">
        <f t="shared" si="103"/>
        <v>0</v>
      </c>
      <c r="M333" s="2"/>
      <c r="N333" s="68"/>
      <c r="O333" s="85"/>
      <c r="P333" s="85"/>
      <c r="Q333" s="85"/>
      <c r="R333" s="77"/>
      <c r="S333" s="68"/>
      <c r="T333" s="77"/>
      <c r="U333" s="95"/>
      <c r="V333" s="77"/>
      <c r="W333" s="77"/>
      <c r="X333" s="77"/>
      <c r="Y333" s="47"/>
    </row>
    <row r="334" spans="1:25" x14ac:dyDescent="0.35">
      <c r="A334" s="46"/>
      <c r="B334" s="2" t="s">
        <v>82</v>
      </c>
      <c r="C334" s="3"/>
      <c r="D334" s="32"/>
      <c r="E334" s="67"/>
      <c r="F334" s="68"/>
      <c r="G334" s="69">
        <f>IFERROR(VLOOKUP($B334,'Dinh muc'!$A$2:$I$40,2,0),0)</f>
        <v>-20</v>
      </c>
      <c r="H334" s="70">
        <f t="shared" si="101"/>
        <v>0</v>
      </c>
      <c r="I334" s="84">
        <f t="shared" si="102"/>
        <v>0</v>
      </c>
      <c r="J334" s="68"/>
      <c r="K334" s="71">
        <f>IFERROR(VLOOKUP($B334,'Dinh muc'!$A$2:$I$40,6,0),0)</f>
        <v>0</v>
      </c>
      <c r="L334" s="71">
        <f t="shared" si="103"/>
        <v>0</v>
      </c>
      <c r="M334" s="2"/>
      <c r="N334" s="68"/>
      <c r="O334" s="85"/>
      <c r="P334" s="85"/>
      <c r="Q334" s="85"/>
      <c r="R334" s="77"/>
      <c r="S334" s="68"/>
      <c r="T334" s="77"/>
      <c r="U334" s="95"/>
      <c r="V334" s="77"/>
      <c r="W334" s="77"/>
      <c r="X334" s="77"/>
      <c r="Y334" s="47"/>
    </row>
    <row r="335" spans="1:25" x14ac:dyDescent="0.35">
      <c r="A335" s="35"/>
      <c r="B335" s="8"/>
      <c r="C335" s="9"/>
      <c r="D335" s="33"/>
      <c r="E335" s="10"/>
      <c r="F335" s="30"/>
      <c r="G335" s="11"/>
      <c r="H335" s="27"/>
      <c r="I335" s="29">
        <f>SUM(I325:I334)</f>
        <v>7.6501154734411108</v>
      </c>
      <c r="J335" s="30"/>
      <c r="K335" s="30">
        <f>AVERAGE(K325:K334)</f>
        <v>4.1624999999999996</v>
      </c>
      <c r="L335" s="30">
        <f>AVERAGE(L325:L334)</f>
        <v>4.1624999999999996</v>
      </c>
      <c r="M335" s="29">
        <f>(L335*8)/K335</f>
        <v>8</v>
      </c>
      <c r="N335" s="30"/>
      <c r="O335" s="30">
        <f>AVERAGE(O325)</f>
        <v>4.8499999999999996</v>
      </c>
      <c r="P335" s="30">
        <f>AVERAGE(P325)</f>
        <v>6.5127020785219409</v>
      </c>
      <c r="Q335" s="29">
        <f>(O335*8)/P335</f>
        <v>5.9575886524822685</v>
      </c>
      <c r="R335" s="98"/>
      <c r="S335" s="79"/>
      <c r="T335" s="79"/>
      <c r="U335" s="93"/>
      <c r="V335" s="98"/>
      <c r="W335" s="79"/>
      <c r="X335" s="79"/>
      <c r="Y335" s="61"/>
    </row>
    <row r="336" spans="1:25" x14ac:dyDescent="0.35">
      <c r="A336" s="46" t="s">
        <v>95</v>
      </c>
      <c r="B336" s="2" t="s">
        <v>18</v>
      </c>
      <c r="C336" s="3">
        <v>0.92013888888888895</v>
      </c>
      <c r="D336" s="88">
        <v>273.28125000000006</v>
      </c>
      <c r="E336" s="67">
        <v>193</v>
      </c>
      <c r="F336" s="68">
        <v>0.5</v>
      </c>
      <c r="G336" s="69">
        <f>IFERROR(VLOOKUP($B336,'Dinh muc'!$A$2:$I$40,2,0),0)</f>
        <v>7</v>
      </c>
      <c r="H336" s="70">
        <f t="shared" ref="H336:H345" si="104">(C336*24)/(SUM($C$336:$C$345)*24)</f>
        <v>0.30600461893764436</v>
      </c>
      <c r="I336" s="84">
        <f t="shared" ref="I336" si="105">G336*H336</f>
        <v>2.1420323325635104</v>
      </c>
      <c r="J336" s="68">
        <v>0.25</v>
      </c>
      <c r="K336" s="71">
        <f>IFERROR(VLOOKUP($B336,'Dinh muc'!$A$2:$I$40,6,0),0)</f>
        <v>12.375</v>
      </c>
      <c r="L336" s="71">
        <f>IFERROR(D336/(C336*24),0)</f>
        <v>12.375000000000002</v>
      </c>
      <c r="M336" s="2"/>
      <c r="N336" s="68">
        <v>0.25</v>
      </c>
      <c r="O336" s="85">
        <v>4.8499999999999996</v>
      </c>
      <c r="P336" s="85">
        <f>(SUM(E336:E345)/(SUM(C336:C344)*24))</f>
        <v>5.4457274826789837</v>
      </c>
      <c r="Q336" s="85"/>
      <c r="R336" s="77">
        <f>F336*I346+J336*M346+N336*Q346</f>
        <v>7.3106586197642738</v>
      </c>
      <c r="S336" s="76">
        <v>0.7</v>
      </c>
      <c r="T336" s="32">
        <f>T325</f>
        <v>192307.69230769231</v>
      </c>
      <c r="U336" s="91">
        <f>IFERROR(VLOOKUP(A336,'chi phi XCG'!$A$2:$C$39,3,0),0)</f>
        <v>100433.42072115383</v>
      </c>
      <c r="V336" s="83">
        <f>(T336*8)/U336</f>
        <v>15.318223031882647</v>
      </c>
      <c r="W336" s="77">
        <v>0.3</v>
      </c>
      <c r="X336" s="78">
        <f>R336*S336+V336*W336</f>
        <v>9.7129279433997855</v>
      </c>
      <c r="Y336" s="47" t="str">
        <f>IF(X336&gt;=10,"A++",IF(X336&gt;=9,"A+",IF(X336&gt;=8,"A",IF(X336&gt;=7,"B","C"))))</f>
        <v>A+</v>
      </c>
    </row>
    <row r="337" spans="1:25" x14ac:dyDescent="0.35">
      <c r="A337" s="46"/>
      <c r="B337" s="2" t="s">
        <v>43</v>
      </c>
      <c r="C337" s="3">
        <v>0.30555555555555558</v>
      </c>
      <c r="D337" s="88">
        <v>90.750000000000014</v>
      </c>
      <c r="E337" s="67">
        <v>200</v>
      </c>
      <c r="F337" s="68"/>
      <c r="G337" s="69">
        <f>IFERROR(VLOOKUP($B337,'Dinh muc'!$A$2:$I$40,2,0),0)</f>
        <v>7</v>
      </c>
      <c r="H337" s="70">
        <f t="shared" si="104"/>
        <v>0.10161662817551963</v>
      </c>
      <c r="I337" s="84">
        <f t="shared" ref="I337:I344" si="106">G337*H337</f>
        <v>0.71131639722863738</v>
      </c>
      <c r="J337" s="68"/>
      <c r="K337" s="71">
        <f>IFERROR(VLOOKUP($B337,'Dinh muc'!$A$2:$I$40,6,0),0)</f>
        <v>12.375</v>
      </c>
      <c r="L337" s="71">
        <f t="shared" ref="L337:L402" si="107">IFERROR(D337/(C337*24),0)</f>
        <v>12.375000000000002</v>
      </c>
      <c r="M337" s="2"/>
      <c r="N337" s="68"/>
      <c r="O337" s="85"/>
      <c r="P337" s="85"/>
      <c r="Q337" s="85"/>
      <c r="R337" s="77"/>
      <c r="S337" s="68"/>
      <c r="T337" s="77"/>
      <c r="U337" s="95"/>
      <c r="V337" s="77"/>
      <c r="W337" s="77"/>
      <c r="X337" s="77"/>
      <c r="Y337" s="47"/>
    </row>
    <row r="338" spans="1:25" x14ac:dyDescent="0.35">
      <c r="A338" s="46"/>
      <c r="B338" s="2" t="s">
        <v>44</v>
      </c>
      <c r="C338" s="3">
        <v>0.46527777777777785</v>
      </c>
      <c r="D338" s="88">
        <v>138.18750000000003</v>
      </c>
      <c r="E338" s="67"/>
      <c r="F338" s="68"/>
      <c r="G338" s="69">
        <f>IFERROR(VLOOKUP($B338,'Dinh muc'!$A$2:$I$40,2,0),0)</f>
        <v>7</v>
      </c>
      <c r="H338" s="70">
        <f t="shared" si="104"/>
        <v>0.15473441108545036</v>
      </c>
      <c r="I338" s="84">
        <f t="shared" si="106"/>
        <v>1.0831408775981526</v>
      </c>
      <c r="J338" s="68"/>
      <c r="K338" s="71">
        <f>IFERROR(VLOOKUP($B338,'Dinh muc'!$A$2:$I$40,6,0),0)</f>
        <v>12.375</v>
      </c>
      <c r="L338" s="71">
        <f t="shared" si="107"/>
        <v>12.375000000000002</v>
      </c>
      <c r="M338" s="2"/>
      <c r="N338" s="68"/>
      <c r="O338" s="85"/>
      <c r="P338" s="85"/>
      <c r="Q338" s="85"/>
      <c r="R338" s="77"/>
      <c r="S338" s="68"/>
      <c r="T338" s="77"/>
      <c r="U338" s="95"/>
      <c r="V338" s="77"/>
      <c r="W338" s="77"/>
      <c r="X338" s="77"/>
      <c r="Y338" s="47"/>
    </row>
    <row r="339" spans="1:25" x14ac:dyDescent="0.35">
      <c r="A339" s="46"/>
      <c r="B339" s="2" t="s">
        <v>97</v>
      </c>
      <c r="C339" s="3">
        <v>0.17708333333333334</v>
      </c>
      <c r="D339" s="88">
        <v>95.625</v>
      </c>
      <c r="E339" s="67"/>
      <c r="F339" s="68"/>
      <c r="G339" s="69">
        <f>IFERROR(VLOOKUP($B339,'Dinh muc'!$A$2:$I$40,2,0),0)</f>
        <v>8</v>
      </c>
      <c r="H339" s="70">
        <f t="shared" si="104"/>
        <v>5.8891454965357963E-2</v>
      </c>
      <c r="I339" s="84">
        <f t="shared" si="106"/>
        <v>0.4711316397228637</v>
      </c>
      <c r="J339" s="68"/>
      <c r="K339" s="71">
        <f>IFERROR(VLOOKUP($B339,'Dinh muc'!$A$2:$I$40,6,0),0)</f>
        <v>22.5</v>
      </c>
      <c r="L339" s="71">
        <f t="shared" si="107"/>
        <v>22.5</v>
      </c>
      <c r="M339" s="2"/>
      <c r="N339" s="68"/>
      <c r="O339" s="85"/>
      <c r="P339" s="85"/>
      <c r="Q339" s="85"/>
      <c r="R339" s="77"/>
      <c r="S339" s="68"/>
      <c r="T339" s="77"/>
      <c r="U339" s="95"/>
      <c r="V339" s="77"/>
      <c r="W339" s="77"/>
      <c r="X339" s="77"/>
      <c r="Y339" s="47"/>
    </row>
    <row r="340" spans="1:25" x14ac:dyDescent="0.35">
      <c r="A340" s="46"/>
      <c r="B340" s="2" t="s">
        <v>18</v>
      </c>
      <c r="C340" s="3">
        <v>0.97222222222222232</v>
      </c>
      <c r="D340" s="88">
        <v>288.75000000000006</v>
      </c>
      <c r="E340" s="67"/>
      <c r="F340" s="68"/>
      <c r="G340" s="69">
        <f>IFERROR(VLOOKUP($B340,'Dinh muc'!$A$2:$I$40,2,0),0)</f>
        <v>7</v>
      </c>
      <c r="H340" s="70">
        <f t="shared" si="104"/>
        <v>0.32332563510392609</v>
      </c>
      <c r="I340" s="84">
        <f t="shared" si="106"/>
        <v>2.2632794457274827</v>
      </c>
      <c r="J340" s="68"/>
      <c r="K340" s="71">
        <f>IFERROR(VLOOKUP($B340,'Dinh muc'!$A$2:$I$40,6,0),0)</f>
        <v>12.375</v>
      </c>
      <c r="L340" s="71">
        <f t="shared" si="107"/>
        <v>12.375000000000002</v>
      </c>
      <c r="M340" s="2"/>
      <c r="N340" s="68"/>
      <c r="O340" s="85"/>
      <c r="P340" s="85"/>
      <c r="Q340" s="85"/>
      <c r="R340" s="77"/>
      <c r="S340" s="68"/>
      <c r="T340" s="77"/>
      <c r="U340" s="95"/>
      <c r="V340" s="77"/>
      <c r="W340" s="77"/>
      <c r="X340" s="77"/>
      <c r="Y340" s="47"/>
    </row>
    <row r="341" spans="1:25" x14ac:dyDescent="0.35">
      <c r="A341" s="46"/>
      <c r="B341" s="2" t="s">
        <v>55</v>
      </c>
      <c r="C341" s="3">
        <v>0.16666666666666666</v>
      </c>
      <c r="D341" s="88">
        <v>49.5</v>
      </c>
      <c r="E341" s="67"/>
      <c r="F341" s="68"/>
      <c r="G341" s="69">
        <f>IFERROR(VLOOKUP($B341,'Dinh muc'!$A$2:$I$40,2,0),0)</f>
        <v>7</v>
      </c>
      <c r="H341" s="70">
        <f t="shared" si="104"/>
        <v>5.5427251732101612E-2</v>
      </c>
      <c r="I341" s="84">
        <f t="shared" si="106"/>
        <v>0.38799076212471129</v>
      </c>
      <c r="J341" s="68"/>
      <c r="K341" s="71">
        <f>IFERROR(VLOOKUP($B341,'Dinh muc'!$A$2:$I$40,6,0),0)</f>
        <v>12.375</v>
      </c>
      <c r="L341" s="71">
        <f t="shared" si="107"/>
        <v>12.375</v>
      </c>
      <c r="M341" s="2"/>
      <c r="N341" s="68"/>
      <c r="O341" s="85"/>
      <c r="P341" s="85"/>
      <c r="Q341" s="85"/>
      <c r="R341" s="77"/>
      <c r="S341" s="68"/>
      <c r="T341" s="77"/>
      <c r="U341" s="95"/>
      <c r="V341" s="77"/>
      <c r="W341" s="77"/>
      <c r="X341" s="77"/>
      <c r="Y341" s="47"/>
    </row>
    <row r="342" spans="1:25" x14ac:dyDescent="0.35">
      <c r="A342" s="46"/>
      <c r="B342" s="2"/>
      <c r="C342" s="3"/>
      <c r="D342" s="32"/>
      <c r="E342" s="67"/>
      <c r="F342" s="68"/>
      <c r="G342" s="69">
        <f>IFERROR(VLOOKUP($B342,'Dinh muc'!$A$2:$I$40,2,0),0)</f>
        <v>0</v>
      </c>
      <c r="H342" s="70">
        <f t="shared" si="104"/>
        <v>0</v>
      </c>
      <c r="I342" s="84">
        <f t="shared" si="106"/>
        <v>0</v>
      </c>
      <c r="J342" s="68"/>
      <c r="K342" s="71">
        <f>IFERROR(VLOOKUP($B342,'Dinh muc'!$A$2:$I$40,6,0),0)</f>
        <v>0</v>
      </c>
      <c r="L342" s="71">
        <f t="shared" si="107"/>
        <v>0</v>
      </c>
      <c r="M342" s="2"/>
      <c r="N342" s="68"/>
      <c r="O342" s="85"/>
      <c r="P342" s="85"/>
      <c r="Q342" s="85"/>
      <c r="R342" s="77"/>
      <c r="S342" s="68"/>
      <c r="T342" s="77"/>
      <c r="U342" s="95"/>
      <c r="V342" s="77"/>
      <c r="W342" s="77"/>
      <c r="X342" s="77"/>
      <c r="Y342" s="47"/>
    </row>
    <row r="343" spans="1:25" x14ac:dyDescent="0.35">
      <c r="A343" s="46"/>
      <c r="B343" s="2"/>
      <c r="C343" s="3"/>
      <c r="D343" s="32"/>
      <c r="E343" s="67"/>
      <c r="F343" s="68"/>
      <c r="G343" s="69">
        <f>IFERROR(VLOOKUP($B343,'Dinh muc'!$A$2:$I$40,2,0),0)</f>
        <v>0</v>
      </c>
      <c r="H343" s="70">
        <f t="shared" si="104"/>
        <v>0</v>
      </c>
      <c r="I343" s="84">
        <f t="shared" si="106"/>
        <v>0</v>
      </c>
      <c r="J343" s="68"/>
      <c r="K343" s="71">
        <f>IFERROR(VLOOKUP($B343,'Dinh muc'!$A$2:$I$40,6,0),0)</f>
        <v>0</v>
      </c>
      <c r="L343" s="71">
        <f t="shared" si="107"/>
        <v>0</v>
      </c>
      <c r="M343" s="2"/>
      <c r="N343" s="68"/>
      <c r="O343" s="85"/>
      <c r="P343" s="85"/>
      <c r="Q343" s="85"/>
      <c r="R343" s="77"/>
      <c r="S343" s="68"/>
      <c r="T343" s="77"/>
      <c r="U343" s="95"/>
      <c r="V343" s="77"/>
      <c r="W343" s="77"/>
      <c r="X343" s="77"/>
      <c r="Y343" s="47"/>
    </row>
    <row r="344" spans="1:25" x14ac:dyDescent="0.35">
      <c r="A344" s="46"/>
      <c r="B344" s="2"/>
      <c r="C344" s="3"/>
      <c r="D344" s="32"/>
      <c r="E344" s="67"/>
      <c r="F344" s="68"/>
      <c r="G344" s="69">
        <f>IFERROR(VLOOKUP($B344,'Dinh muc'!$A$2:$I$40,2,0),0)</f>
        <v>0</v>
      </c>
      <c r="H344" s="70">
        <f t="shared" si="104"/>
        <v>0</v>
      </c>
      <c r="I344" s="84">
        <f t="shared" si="106"/>
        <v>0</v>
      </c>
      <c r="J344" s="68"/>
      <c r="K344" s="71">
        <f>IFERROR(VLOOKUP($B344,'Dinh muc'!$A$2:$I$40,6,0),0)</f>
        <v>0</v>
      </c>
      <c r="L344" s="71">
        <f t="shared" si="107"/>
        <v>0</v>
      </c>
      <c r="M344" s="2"/>
      <c r="N344" s="68"/>
      <c r="O344" s="85"/>
      <c r="P344" s="85"/>
      <c r="Q344" s="85"/>
      <c r="R344" s="77"/>
      <c r="S344" s="68"/>
      <c r="T344" s="77"/>
      <c r="U344" s="95"/>
      <c r="V344" s="77"/>
      <c r="W344" s="77"/>
      <c r="X344" s="77"/>
      <c r="Y344" s="47"/>
    </row>
    <row r="345" spans="1:25" x14ac:dyDescent="0.35">
      <c r="A345" s="46"/>
      <c r="B345" s="2" t="s">
        <v>82</v>
      </c>
      <c r="C345" s="3"/>
      <c r="D345" s="32"/>
      <c r="E345" s="67"/>
      <c r="F345" s="68"/>
      <c r="G345" s="69">
        <f>IFERROR(VLOOKUP($B345,'Dinh muc'!$A$2:$I$40,2,0),0)</f>
        <v>-20</v>
      </c>
      <c r="H345" s="70">
        <f t="shared" si="104"/>
        <v>0</v>
      </c>
      <c r="I345" s="84">
        <f>G345*H345</f>
        <v>0</v>
      </c>
      <c r="J345" s="68"/>
      <c r="K345" s="71">
        <f>IFERROR(VLOOKUP($B345,'Dinh muc'!$A$2:$I$40,6,0),0)</f>
        <v>0</v>
      </c>
      <c r="L345" s="71">
        <f t="shared" si="107"/>
        <v>0</v>
      </c>
      <c r="M345" s="2"/>
      <c r="N345" s="68"/>
      <c r="O345" s="85"/>
      <c r="P345" s="85"/>
      <c r="Q345" s="85"/>
      <c r="R345" s="77"/>
      <c r="S345" s="68"/>
      <c r="T345" s="77"/>
      <c r="U345" s="95"/>
      <c r="V345" s="77"/>
      <c r="W345" s="77"/>
      <c r="X345" s="77"/>
      <c r="Y345" s="47"/>
    </row>
    <row r="346" spans="1:25" x14ac:dyDescent="0.35">
      <c r="A346" s="35"/>
      <c r="B346" s="8"/>
      <c r="C346" s="9"/>
      <c r="D346" s="33"/>
      <c r="E346" s="10"/>
      <c r="F346" s="30"/>
      <c r="G346" s="11"/>
      <c r="H346" s="27"/>
      <c r="I346" s="29">
        <f>SUM(I336:I345)</f>
        <v>7.0588914549653579</v>
      </c>
      <c r="J346" s="30"/>
      <c r="K346" s="30">
        <f>AVERAGE(K336:K345)</f>
        <v>8.4375</v>
      </c>
      <c r="L346" s="30">
        <f>AVERAGE(L336:L345)</f>
        <v>8.4375000000000018</v>
      </c>
      <c r="M346" s="29">
        <f>(L346*8)/K346</f>
        <v>8.0000000000000018</v>
      </c>
      <c r="N346" s="30"/>
      <c r="O346" s="30">
        <f>AVERAGE(O336)</f>
        <v>4.8499999999999996</v>
      </c>
      <c r="P346" s="30">
        <f>AVERAGE(P336)</f>
        <v>5.4457274826789837</v>
      </c>
      <c r="Q346" s="29">
        <f>(O346*8)/P346</f>
        <v>7.1248515691263776</v>
      </c>
      <c r="R346" s="98"/>
      <c r="S346" s="79"/>
      <c r="T346" s="79"/>
      <c r="U346" s="93"/>
      <c r="V346" s="98"/>
      <c r="W346" s="79"/>
      <c r="X346" s="79"/>
      <c r="Y346" s="61"/>
    </row>
    <row r="347" spans="1:25" x14ac:dyDescent="0.35">
      <c r="A347" s="46" t="s">
        <v>4</v>
      </c>
      <c r="B347" s="2" t="s">
        <v>13</v>
      </c>
      <c r="C347" s="3">
        <v>1.0902777777777779</v>
      </c>
      <c r="D347" s="88">
        <v>323.81250000000006</v>
      </c>
      <c r="E347" s="67">
        <v>65</v>
      </c>
      <c r="F347" s="68">
        <v>0.5</v>
      </c>
      <c r="G347" s="69">
        <f>IFERROR(VLOOKUP($B347,'Dinh muc'!$A$2:$I$40,4,0),0)</f>
        <v>7</v>
      </c>
      <c r="H347" s="70">
        <f>(C347*24)/(SUM($C$347:$C$352)*24)</f>
        <v>0.60384615384615381</v>
      </c>
      <c r="I347" s="84">
        <f t="shared" ref="I347:I352" si="108">G347*H347</f>
        <v>4.226923076923077</v>
      </c>
      <c r="J347" s="68">
        <v>0.25</v>
      </c>
      <c r="K347" s="71">
        <f>IFERROR(VLOOKUP($B347,'Dinh muc'!$A$2:$I$40,8,0),0)</f>
        <v>12.375</v>
      </c>
      <c r="L347" s="71">
        <f t="shared" si="107"/>
        <v>12.375</v>
      </c>
      <c r="M347" s="2"/>
      <c r="N347" s="68">
        <v>0.25</v>
      </c>
      <c r="O347" s="85">
        <v>3.0762022194821204</v>
      </c>
      <c r="P347" s="85">
        <f>E347/(SUM(C347:C351)*24)</f>
        <v>1.7030567685589517</v>
      </c>
      <c r="Q347" s="85"/>
      <c r="R347" s="77">
        <f>F347*I353+J347*M353+N347*Q353</f>
        <v>7.5029502987764394</v>
      </c>
      <c r="S347" s="76">
        <v>0.7</v>
      </c>
      <c r="T347" s="32">
        <f>'Dinh muc'!N4</f>
        <v>164835.16483516482</v>
      </c>
      <c r="U347" s="91">
        <f>IFERROR(VLOOKUP(A347,'chi phi XCG'!$A$2:$C$39,3,0),0)</f>
        <v>70612.980769230766</v>
      </c>
      <c r="V347" s="83">
        <f>(T347*8)/U347</f>
        <v>18.674772036474163</v>
      </c>
      <c r="W347" s="77">
        <v>0.3</v>
      </c>
      <c r="X347" s="78">
        <f>R347*S347+V347*W347</f>
        <v>10.854496820085757</v>
      </c>
      <c r="Y347" s="102" t="str">
        <f>IF(X347&gt;=10,"A++",IF(X347&gt;=9,"A+",IF(X347&gt;=8,"A",IF(X347&gt;=7,"B","C"))))</f>
        <v>A++</v>
      </c>
    </row>
    <row r="348" spans="1:25" x14ac:dyDescent="0.35">
      <c r="A348" s="46"/>
      <c r="B348" s="2"/>
      <c r="C348" s="3"/>
      <c r="D348" s="88"/>
      <c r="E348" s="67"/>
      <c r="F348" s="68"/>
      <c r="G348" s="69">
        <f>IFERROR(VLOOKUP($B348,'Dinh muc'!$A$2:$I$40,4,0),0)</f>
        <v>0</v>
      </c>
      <c r="H348" s="70">
        <f t="shared" ref="H348:H352" si="109">(C348*24)/(SUM($C$347:$C$352)*24)</f>
        <v>0</v>
      </c>
      <c r="I348" s="84">
        <f t="shared" si="108"/>
        <v>0</v>
      </c>
      <c r="J348" s="68"/>
      <c r="K348" s="71">
        <f>IFERROR(VLOOKUP($B348,'Dinh muc'!$A$2:$I$40,8,0),0)</f>
        <v>0</v>
      </c>
      <c r="L348" s="71">
        <f t="shared" si="107"/>
        <v>0</v>
      </c>
      <c r="M348" s="2"/>
      <c r="N348" s="68"/>
      <c r="O348" s="85"/>
      <c r="P348" s="85"/>
      <c r="Q348" s="85"/>
      <c r="R348" s="77"/>
      <c r="S348" s="68"/>
      <c r="T348" s="77"/>
      <c r="U348" s="95"/>
      <c r="V348" s="77"/>
      <c r="W348" s="77"/>
      <c r="X348" s="77"/>
      <c r="Y348" s="102"/>
    </row>
    <row r="349" spans="1:25" x14ac:dyDescent="0.35">
      <c r="A349" s="46"/>
      <c r="B349" s="2"/>
      <c r="C349" s="3"/>
      <c r="D349" s="88"/>
      <c r="E349" s="67"/>
      <c r="F349" s="68"/>
      <c r="G349" s="69">
        <f>IFERROR(VLOOKUP($B349,'Dinh muc'!$A$2:$I$40,4,0),0)</f>
        <v>0</v>
      </c>
      <c r="H349" s="70">
        <f t="shared" si="109"/>
        <v>0</v>
      </c>
      <c r="I349" s="84">
        <f t="shared" si="108"/>
        <v>0</v>
      </c>
      <c r="J349" s="68"/>
      <c r="K349" s="71">
        <f>IFERROR(VLOOKUP($B349,'Dinh muc'!$A$2:$I$40,8,0),0)</f>
        <v>0</v>
      </c>
      <c r="L349" s="71">
        <f t="shared" si="107"/>
        <v>0</v>
      </c>
      <c r="M349" s="2"/>
      <c r="N349" s="68"/>
      <c r="O349" s="85"/>
      <c r="P349" s="85"/>
      <c r="Q349" s="85"/>
      <c r="R349" s="77"/>
      <c r="S349" s="68"/>
      <c r="T349" s="77"/>
      <c r="U349" s="95"/>
      <c r="V349" s="77"/>
      <c r="W349" s="77"/>
      <c r="X349" s="77"/>
      <c r="Y349" s="102"/>
    </row>
    <row r="350" spans="1:25" x14ac:dyDescent="0.35">
      <c r="A350" s="46"/>
      <c r="B350" s="2"/>
      <c r="C350" s="3"/>
      <c r="D350" s="88"/>
      <c r="E350" s="67"/>
      <c r="F350" s="68"/>
      <c r="G350" s="69">
        <f>IFERROR(VLOOKUP($B350,'Dinh muc'!$A$2:$I$40,4,0),0)</f>
        <v>0</v>
      </c>
      <c r="H350" s="70">
        <f t="shared" si="109"/>
        <v>0</v>
      </c>
      <c r="I350" s="84">
        <f t="shared" si="108"/>
        <v>0</v>
      </c>
      <c r="J350" s="68"/>
      <c r="K350" s="71">
        <f>IFERROR(VLOOKUP($B350,'Dinh muc'!$A$2:$I$40,8,0),0)</f>
        <v>0</v>
      </c>
      <c r="L350" s="71">
        <f t="shared" si="107"/>
        <v>0</v>
      </c>
      <c r="M350" s="2"/>
      <c r="N350" s="68"/>
      <c r="O350" s="85"/>
      <c r="P350" s="85"/>
      <c r="Q350" s="85"/>
      <c r="R350" s="77"/>
      <c r="S350" s="68"/>
      <c r="T350" s="77"/>
      <c r="U350" s="95"/>
      <c r="V350" s="77"/>
      <c r="W350" s="77"/>
      <c r="X350" s="77"/>
      <c r="Y350" s="102"/>
    </row>
    <row r="351" spans="1:25" x14ac:dyDescent="0.35">
      <c r="A351" s="46"/>
      <c r="B351" s="2" t="s">
        <v>18</v>
      </c>
      <c r="C351" s="3">
        <v>0.49999999999999994</v>
      </c>
      <c r="D351" s="88">
        <v>49.499999999999993</v>
      </c>
      <c r="E351" s="67"/>
      <c r="F351" s="68"/>
      <c r="G351" s="69">
        <f>IFERROR(VLOOKUP($B351,'Dinh muc'!$A$2:$I$40,4,0),0)</f>
        <v>7</v>
      </c>
      <c r="H351" s="70">
        <f t="shared" si="109"/>
        <v>0.27692307692307683</v>
      </c>
      <c r="I351" s="84">
        <f t="shared" si="108"/>
        <v>1.9384615384615378</v>
      </c>
      <c r="J351" s="68"/>
      <c r="K351" s="71">
        <f>IFERROR(VLOOKUP($B351,'Dinh muc'!$A$2:$I$40,8,0),0)</f>
        <v>4.125</v>
      </c>
      <c r="L351" s="71">
        <f t="shared" si="107"/>
        <v>4.125</v>
      </c>
      <c r="M351" s="2"/>
      <c r="N351" s="68"/>
      <c r="O351" s="85"/>
      <c r="P351" s="85"/>
      <c r="Q351" s="85"/>
      <c r="R351" s="77"/>
      <c r="S351" s="68"/>
      <c r="T351" s="77"/>
      <c r="U351" s="95"/>
      <c r="V351" s="77"/>
      <c r="W351" s="77"/>
      <c r="X351" s="77"/>
      <c r="Y351" s="102"/>
    </row>
    <row r="352" spans="1:25" x14ac:dyDescent="0.35">
      <c r="A352" s="46"/>
      <c r="B352" s="2" t="s">
        <v>82</v>
      </c>
      <c r="C352" s="3">
        <v>0.21527777777777779</v>
      </c>
      <c r="D352" s="88">
        <v>0</v>
      </c>
      <c r="E352" s="67"/>
      <c r="F352" s="68"/>
      <c r="G352" s="69">
        <f>IFERROR(VLOOKUP($B352,'Dinh muc'!$A$2:$I$40,4,0),0)</f>
        <v>-20</v>
      </c>
      <c r="H352" s="70">
        <f t="shared" si="109"/>
        <v>0.11923076923076921</v>
      </c>
      <c r="I352" s="84">
        <f t="shared" si="108"/>
        <v>-2.3846153846153841</v>
      </c>
      <c r="J352" s="68"/>
      <c r="K352" s="71">
        <f>IFERROR(VLOOKUP($B352,'Dinh muc'!$A$2:$I$40,8,0),0)</f>
        <v>0</v>
      </c>
      <c r="L352" s="71">
        <f t="shared" si="107"/>
        <v>0</v>
      </c>
      <c r="M352" s="2"/>
      <c r="N352" s="68"/>
      <c r="O352" s="85"/>
      <c r="P352" s="85"/>
      <c r="Q352" s="85"/>
      <c r="R352" s="77"/>
      <c r="S352" s="68"/>
      <c r="T352" s="77"/>
      <c r="U352" s="95"/>
      <c r="V352" s="77"/>
      <c r="W352" s="77"/>
      <c r="X352" s="77"/>
      <c r="Y352" s="102"/>
    </row>
    <row r="353" spans="1:25" x14ac:dyDescent="0.35">
      <c r="A353" s="35"/>
      <c r="B353" s="8"/>
      <c r="C353" s="9"/>
      <c r="D353" s="33"/>
      <c r="E353" s="10"/>
      <c r="F353" s="30"/>
      <c r="G353" s="11"/>
      <c r="H353" s="27"/>
      <c r="I353" s="29">
        <f>SUM(I347:I352)</f>
        <v>3.7807692307692307</v>
      </c>
      <c r="J353" s="30"/>
      <c r="K353" s="30">
        <f>AVERAGE(K347:K352)</f>
        <v>2.75</v>
      </c>
      <c r="L353" s="30">
        <f>AVERAGE(L347:L352)</f>
        <v>2.75</v>
      </c>
      <c r="M353" s="29">
        <f>(L353*8)/K353</f>
        <v>8</v>
      </c>
      <c r="N353" s="30"/>
      <c r="O353" s="30">
        <f>AVERAGE(O347)</f>
        <v>3.0762022194821204</v>
      </c>
      <c r="P353" s="30">
        <f>AVERAGE(P347)</f>
        <v>1.7030567685589517</v>
      </c>
      <c r="Q353" s="29">
        <f>(O353*8)/P353</f>
        <v>14.450262733567296</v>
      </c>
      <c r="R353" s="98"/>
      <c r="S353" s="79"/>
      <c r="T353" s="79"/>
      <c r="U353" s="93"/>
      <c r="V353" s="98"/>
      <c r="W353" s="79"/>
      <c r="X353" s="79"/>
      <c r="Y353" s="61"/>
    </row>
    <row r="354" spans="1:25" x14ac:dyDescent="0.35">
      <c r="A354" s="46" t="s">
        <v>7</v>
      </c>
      <c r="B354" s="2" t="s">
        <v>18</v>
      </c>
      <c r="C354" s="3">
        <v>0.26388888888888884</v>
      </c>
      <c r="D354" s="32">
        <v>78.374999999999986</v>
      </c>
      <c r="E354" s="67">
        <v>47</v>
      </c>
      <c r="F354" s="68">
        <v>0.5</v>
      </c>
      <c r="G354" s="69">
        <f>IFERROR(VLOOKUP($B354,'Dinh muc'!$A$2:$I$40,5,0),0)</f>
        <v>7</v>
      </c>
      <c r="H354" s="70">
        <f t="shared" ref="H354:H363" si="110">(C354*24)/(SUM($C$354:$C$363)*24)</f>
        <v>0.10555555555555554</v>
      </c>
      <c r="I354" s="84">
        <f>G354*H354</f>
        <v>0.73888888888888882</v>
      </c>
      <c r="J354" s="68">
        <v>0.25</v>
      </c>
      <c r="K354" s="71">
        <f>IFERROR(VLOOKUP($B354,'Dinh muc'!$A$2:$I$40,9,0),0)</f>
        <v>12.375</v>
      </c>
      <c r="L354" s="71">
        <f t="shared" si="107"/>
        <v>12.375</v>
      </c>
      <c r="M354" s="2"/>
      <c r="N354" s="68">
        <v>0.25</v>
      </c>
      <c r="O354" s="85">
        <v>3.2143832498862084</v>
      </c>
      <c r="P354" s="85">
        <f>(SUM(E354:E363)/(SUM(C354:C362)*24))</f>
        <v>3.6295224312590451</v>
      </c>
      <c r="Q354" s="85"/>
      <c r="R354" s="77">
        <f>F354*I364+J354*M364+N354*Q364</f>
        <v>8.1978083384044655</v>
      </c>
      <c r="S354" s="76">
        <v>0.7</v>
      </c>
      <c r="T354" s="32">
        <f>'Dinh muc'!O4*0.8</f>
        <v>131868.13186813187</v>
      </c>
      <c r="U354" s="91">
        <f>IFERROR(VLOOKUP(A354,'chi phi XCG'!$A$2:$C$39,3,0),0)</f>
        <v>76071.714759615381</v>
      </c>
      <c r="V354" s="83">
        <f>(T354*8)/U354</f>
        <v>13.867770146613015</v>
      </c>
      <c r="W354" s="77">
        <v>0.3</v>
      </c>
      <c r="X354" s="78">
        <f>R354*S354+V354*W354</f>
        <v>9.8987968808670299</v>
      </c>
      <c r="Y354" s="47" t="str">
        <f>IF(X354&gt;=10,"A++",IF(X354&gt;=9,"A+",IF(X354&gt;=8,"A",IF(X354&gt;=7,"B","C"))))</f>
        <v>A+</v>
      </c>
    </row>
    <row r="355" spans="1:25" x14ac:dyDescent="0.35">
      <c r="A355" s="46"/>
      <c r="B355" s="2" t="s">
        <v>41</v>
      </c>
      <c r="C355" s="3">
        <v>0.67361111111111105</v>
      </c>
      <c r="D355" s="32">
        <v>210.16666666666663</v>
      </c>
      <c r="E355" s="67"/>
      <c r="F355" s="68"/>
      <c r="G355" s="69">
        <f>IFERROR(VLOOKUP($B355,'Dinh muc'!$A$2:$I$40,5,0),0)</f>
        <v>10</v>
      </c>
      <c r="H355" s="70">
        <f t="shared" si="110"/>
        <v>0.26944444444444443</v>
      </c>
      <c r="I355" s="84">
        <f t="shared" ref="I355:I363" si="111">G355*H355</f>
        <v>2.6944444444444442</v>
      </c>
      <c r="J355" s="68"/>
      <c r="K355" s="71">
        <f>IFERROR(VLOOKUP($B355,'Dinh muc'!$A$2:$I$40,9,0),0)</f>
        <v>13</v>
      </c>
      <c r="L355" s="71">
        <f t="shared" si="107"/>
        <v>13</v>
      </c>
      <c r="M355" s="2"/>
      <c r="N355" s="68"/>
      <c r="O355" s="85"/>
      <c r="P355" s="85"/>
      <c r="Q355" s="85"/>
      <c r="R355" s="77"/>
      <c r="S355" s="68"/>
      <c r="T355" s="77"/>
      <c r="U355" s="95"/>
      <c r="V355" s="77"/>
      <c r="W355" s="77"/>
      <c r="X355" s="77"/>
      <c r="Y355" s="47"/>
    </row>
    <row r="356" spans="1:25" x14ac:dyDescent="0.35">
      <c r="A356" s="46"/>
      <c r="B356" s="2" t="s">
        <v>50</v>
      </c>
      <c r="C356" s="3">
        <v>6.25E-2</v>
      </c>
      <c r="D356" s="32">
        <v>14.625</v>
      </c>
      <c r="E356" s="67"/>
      <c r="F356" s="68"/>
      <c r="G356" s="69">
        <f>IFERROR(VLOOKUP($B356,'Dinh muc'!$A$2:$I$40,5,0),0)</f>
        <v>8</v>
      </c>
      <c r="H356" s="70">
        <f t="shared" si="110"/>
        <v>2.5000000000000001E-2</v>
      </c>
      <c r="I356" s="84">
        <f t="shared" si="111"/>
        <v>0.2</v>
      </c>
      <c r="J356" s="68"/>
      <c r="K356" s="71">
        <f>IFERROR(VLOOKUP($B356,'Dinh muc'!$A$2:$I$40,9,0),0)</f>
        <v>9.75</v>
      </c>
      <c r="L356" s="71">
        <f t="shared" si="107"/>
        <v>9.75</v>
      </c>
      <c r="M356" s="2"/>
      <c r="N356" s="68"/>
      <c r="O356" s="85"/>
      <c r="P356" s="85"/>
      <c r="Q356" s="85"/>
      <c r="R356" s="77"/>
      <c r="S356" s="68"/>
      <c r="T356" s="77"/>
      <c r="U356" s="95"/>
      <c r="V356" s="77"/>
      <c r="W356" s="77"/>
      <c r="X356" s="77"/>
      <c r="Y356" s="47"/>
    </row>
    <row r="357" spans="1:25" x14ac:dyDescent="0.35">
      <c r="A357" s="46"/>
      <c r="B357" s="2" t="s">
        <v>50</v>
      </c>
      <c r="C357" s="3">
        <v>0.38194444444444442</v>
      </c>
      <c r="D357" s="32">
        <v>89.375</v>
      </c>
      <c r="E357" s="67"/>
      <c r="F357" s="68"/>
      <c r="G357" s="69">
        <f>IFERROR(VLOOKUP($B357,'Dinh muc'!$A$2:$I$40,5,0),0)</f>
        <v>8</v>
      </c>
      <c r="H357" s="70">
        <f t="shared" si="110"/>
        <v>0.15277777777777776</v>
      </c>
      <c r="I357" s="84">
        <f t="shared" si="111"/>
        <v>1.2222222222222221</v>
      </c>
      <c r="J357" s="68"/>
      <c r="K357" s="71">
        <f>IFERROR(VLOOKUP($B357,'Dinh muc'!$A$2:$I$40,9,0),0)</f>
        <v>9.75</v>
      </c>
      <c r="L357" s="71">
        <f t="shared" si="107"/>
        <v>9.75</v>
      </c>
      <c r="M357" s="2"/>
      <c r="N357" s="68"/>
      <c r="O357" s="85"/>
      <c r="P357" s="85"/>
      <c r="Q357" s="85"/>
      <c r="R357" s="77"/>
      <c r="S357" s="68"/>
      <c r="T357" s="77"/>
      <c r="U357" s="95"/>
      <c r="V357" s="77"/>
      <c r="W357" s="77"/>
      <c r="X357" s="77"/>
      <c r="Y357" s="47"/>
    </row>
    <row r="358" spans="1:25" x14ac:dyDescent="0.35">
      <c r="A358" s="46"/>
      <c r="B358" s="2" t="s">
        <v>53</v>
      </c>
      <c r="C358" s="3">
        <v>0.55208333333333337</v>
      </c>
      <c r="D358" s="32">
        <v>129.1875</v>
      </c>
      <c r="E358" s="67">
        <v>162</v>
      </c>
      <c r="F358" s="68"/>
      <c r="G358" s="69">
        <f>IFERROR(VLOOKUP($B358,'Dinh muc'!$A$2:$I$40,5,0),0)</f>
        <v>10</v>
      </c>
      <c r="H358" s="70">
        <f t="shared" si="110"/>
        <v>0.22083333333333333</v>
      </c>
      <c r="I358" s="84">
        <f t="shared" si="111"/>
        <v>2.208333333333333</v>
      </c>
      <c r="J358" s="68"/>
      <c r="K358" s="71">
        <f>IFERROR(VLOOKUP($B358,'Dinh muc'!$A$2:$I$40,9,0),0)</f>
        <v>6.5</v>
      </c>
      <c r="L358" s="71">
        <f t="shared" si="107"/>
        <v>9.75</v>
      </c>
      <c r="M358" s="2"/>
      <c r="N358" s="68"/>
      <c r="O358" s="85"/>
      <c r="P358" s="85"/>
      <c r="Q358" s="85"/>
      <c r="R358" s="77"/>
      <c r="S358" s="68"/>
      <c r="T358" s="77"/>
      <c r="U358" s="95"/>
      <c r="V358" s="77"/>
      <c r="W358" s="77"/>
      <c r="X358" s="77"/>
      <c r="Y358" s="47"/>
    </row>
    <row r="359" spans="1:25" x14ac:dyDescent="0.35">
      <c r="A359" s="46"/>
      <c r="B359" s="2" t="s">
        <v>53</v>
      </c>
      <c r="C359" s="3">
        <v>9.0277777777777776E-2</v>
      </c>
      <c r="D359" s="32">
        <v>21.125</v>
      </c>
      <c r="E359" s="67"/>
      <c r="F359" s="68"/>
      <c r="G359" s="69">
        <f>IFERROR(VLOOKUP($B359,'Dinh muc'!$A$2:$I$40,5,0),0)</f>
        <v>10</v>
      </c>
      <c r="H359" s="70">
        <f t="shared" si="110"/>
        <v>3.6111111111111108E-2</v>
      </c>
      <c r="I359" s="84">
        <f t="shared" si="111"/>
        <v>0.36111111111111105</v>
      </c>
      <c r="J359" s="68"/>
      <c r="K359" s="71">
        <f>IFERROR(VLOOKUP($B359,'Dinh muc'!$A$2:$I$40,9,0),0)</f>
        <v>6.5</v>
      </c>
      <c r="L359" s="71">
        <f t="shared" si="107"/>
        <v>9.75</v>
      </c>
      <c r="M359" s="2"/>
      <c r="N359" s="68"/>
      <c r="O359" s="85"/>
      <c r="P359" s="85"/>
      <c r="Q359" s="85"/>
      <c r="R359" s="77"/>
      <c r="S359" s="68"/>
      <c r="T359" s="77"/>
      <c r="U359" s="95"/>
      <c r="V359" s="77"/>
      <c r="W359" s="77"/>
      <c r="X359" s="77"/>
      <c r="Y359" s="47"/>
    </row>
    <row r="360" spans="1:25" x14ac:dyDescent="0.35">
      <c r="A360" s="46"/>
      <c r="B360" s="2" t="s">
        <v>53</v>
      </c>
      <c r="C360" s="3">
        <v>6.25E-2</v>
      </c>
      <c r="D360" s="32">
        <v>14.625</v>
      </c>
      <c r="E360" s="67"/>
      <c r="F360" s="68"/>
      <c r="G360" s="69">
        <f>IFERROR(VLOOKUP($B360,'Dinh muc'!$A$2:$I$40,5,0),0)</f>
        <v>10</v>
      </c>
      <c r="H360" s="70">
        <f t="shared" si="110"/>
        <v>2.5000000000000001E-2</v>
      </c>
      <c r="I360" s="84">
        <f t="shared" si="111"/>
        <v>0.25</v>
      </c>
      <c r="J360" s="68"/>
      <c r="K360" s="71">
        <f>IFERROR(VLOOKUP($B360,'Dinh muc'!$A$2:$I$40,9,0),0)</f>
        <v>6.5</v>
      </c>
      <c r="L360" s="71">
        <f t="shared" si="107"/>
        <v>9.75</v>
      </c>
      <c r="M360" s="2"/>
      <c r="N360" s="68"/>
      <c r="O360" s="85"/>
      <c r="P360" s="85"/>
      <c r="Q360" s="85"/>
      <c r="R360" s="77"/>
      <c r="S360" s="68"/>
      <c r="T360" s="77"/>
      <c r="U360" s="95"/>
      <c r="V360" s="77"/>
      <c r="W360" s="77"/>
      <c r="X360" s="77"/>
      <c r="Y360" s="47"/>
    </row>
    <row r="361" spans="1:25" x14ac:dyDescent="0.35">
      <c r="A361" s="46"/>
      <c r="B361" s="2" t="s">
        <v>53</v>
      </c>
      <c r="C361" s="3">
        <v>0.3125</v>
      </c>
      <c r="D361" s="32">
        <v>73.125</v>
      </c>
      <c r="E361" s="67"/>
      <c r="F361" s="68"/>
      <c r="G361" s="69">
        <f>IFERROR(VLOOKUP($B361,'Dinh muc'!$A$2:$I$40,5,0),0)</f>
        <v>10</v>
      </c>
      <c r="H361" s="70">
        <f t="shared" si="110"/>
        <v>0.125</v>
      </c>
      <c r="I361" s="84">
        <f t="shared" si="111"/>
        <v>1.25</v>
      </c>
      <c r="J361" s="68"/>
      <c r="K361" s="71">
        <f>IFERROR(VLOOKUP($B361,'Dinh muc'!$A$2:$I$40,9,0),0)</f>
        <v>6.5</v>
      </c>
      <c r="L361" s="71">
        <f t="shared" si="107"/>
        <v>9.75</v>
      </c>
      <c r="M361" s="2"/>
      <c r="N361" s="68"/>
      <c r="O361" s="85"/>
      <c r="P361" s="85"/>
      <c r="Q361" s="85"/>
      <c r="R361" s="77"/>
      <c r="S361" s="68"/>
      <c r="T361" s="77"/>
      <c r="U361" s="95"/>
      <c r="V361" s="77"/>
      <c r="W361" s="77"/>
      <c r="X361" s="77"/>
      <c r="Y361" s="47"/>
    </row>
    <row r="362" spans="1:25" x14ac:dyDescent="0.35">
      <c r="A362" s="46"/>
      <c r="B362" s="2"/>
      <c r="C362" s="3"/>
      <c r="D362" s="32"/>
      <c r="E362" s="67"/>
      <c r="F362" s="68"/>
      <c r="G362" s="69">
        <f>IFERROR(VLOOKUP($B362,'Dinh muc'!$A$2:$I$40,5,0),0)</f>
        <v>0</v>
      </c>
      <c r="H362" s="70">
        <f t="shared" si="110"/>
        <v>0</v>
      </c>
      <c r="I362" s="84">
        <f t="shared" si="111"/>
        <v>0</v>
      </c>
      <c r="J362" s="68"/>
      <c r="K362" s="71">
        <f>IFERROR(VLOOKUP($B362,'Dinh muc'!$A$2:$I$40,9,0),0)</f>
        <v>0</v>
      </c>
      <c r="L362" s="71">
        <f t="shared" si="107"/>
        <v>0</v>
      </c>
      <c r="M362" s="2"/>
      <c r="N362" s="68"/>
      <c r="O362" s="85"/>
      <c r="P362" s="85"/>
      <c r="Q362" s="85"/>
      <c r="R362" s="77"/>
      <c r="S362" s="68"/>
      <c r="T362" s="77"/>
      <c r="U362" s="95"/>
      <c r="V362" s="77"/>
      <c r="W362" s="77"/>
      <c r="X362" s="77"/>
      <c r="Y362" s="47"/>
    </row>
    <row r="363" spans="1:25" x14ac:dyDescent="0.35">
      <c r="A363" s="46"/>
      <c r="B363" s="2" t="s">
        <v>82</v>
      </c>
      <c r="C363" s="3">
        <v>0.10069444444444443</v>
      </c>
      <c r="D363" s="32"/>
      <c r="E363" s="67"/>
      <c r="F363" s="68"/>
      <c r="G363" s="69">
        <f>IFERROR(VLOOKUP($B363,'Dinh muc'!$A$2:$I$40,5,0),0)</f>
        <v>-20</v>
      </c>
      <c r="H363" s="70">
        <f t="shared" si="110"/>
        <v>4.0277777777777773E-2</v>
      </c>
      <c r="I363" s="84">
        <f t="shared" si="111"/>
        <v>-0.80555555555555547</v>
      </c>
      <c r="J363" s="68"/>
      <c r="K363" s="71">
        <f>IFERROR(VLOOKUP($B363,'Dinh muc'!$A$2:$I$40,9,0),0)</f>
        <v>0</v>
      </c>
      <c r="L363" s="71">
        <f t="shared" si="107"/>
        <v>0</v>
      </c>
      <c r="M363" s="2"/>
      <c r="N363" s="68"/>
      <c r="O363" s="85"/>
      <c r="P363" s="85"/>
      <c r="Q363" s="85"/>
      <c r="R363" s="77"/>
      <c r="S363" s="68"/>
      <c r="T363" s="77"/>
      <c r="U363" s="95"/>
      <c r="V363" s="77"/>
      <c r="W363" s="77"/>
      <c r="X363" s="77"/>
      <c r="Y363" s="47"/>
    </row>
    <row r="364" spans="1:25" x14ac:dyDescent="0.35">
      <c r="A364" s="35"/>
      <c r="B364" s="8"/>
      <c r="C364" s="9"/>
      <c r="D364" s="33"/>
      <c r="E364" s="10"/>
      <c r="F364" s="30"/>
      <c r="G364" s="11"/>
      <c r="H364" s="27"/>
      <c r="I364" s="29">
        <f>SUM(I354:I363)</f>
        <v>8.1194444444444436</v>
      </c>
      <c r="J364" s="30"/>
      <c r="K364" s="30">
        <f>AVERAGE(K354:K363)</f>
        <v>7.0875000000000004</v>
      </c>
      <c r="L364" s="30">
        <f>AVERAGE(L354:L363)</f>
        <v>8.3874999999999993</v>
      </c>
      <c r="M364" s="29">
        <f>(L364*8)/K364</f>
        <v>9.4673721340387988</v>
      </c>
      <c r="N364" s="30"/>
      <c r="O364" s="30">
        <f>AVERAGE(O354)</f>
        <v>3.2143832498862084</v>
      </c>
      <c r="P364" s="30">
        <f>AVERAGE(P354)</f>
        <v>3.6295224312590451</v>
      </c>
      <c r="Q364" s="29">
        <f>(O364*8)/P364</f>
        <v>7.0849723306901753</v>
      </c>
      <c r="R364" s="98"/>
      <c r="S364" s="79"/>
      <c r="T364" s="79"/>
      <c r="U364" s="93"/>
      <c r="V364" s="98"/>
      <c r="W364" s="79"/>
      <c r="X364" s="79"/>
      <c r="Y364" s="61"/>
    </row>
    <row r="365" spans="1:25" x14ac:dyDescent="0.35">
      <c r="A365" s="46" t="s">
        <v>11</v>
      </c>
      <c r="B365" s="2" t="s">
        <v>18</v>
      </c>
      <c r="C365" s="3">
        <v>0.25</v>
      </c>
      <c r="D365" s="32">
        <v>74.25</v>
      </c>
      <c r="E365" s="67"/>
      <c r="F365" s="68">
        <v>0.5</v>
      </c>
      <c r="G365" s="69">
        <f>IFERROR(VLOOKUP($B365,'Dinh muc'!$A$2:$I$40,5,0),0)</f>
        <v>7</v>
      </c>
      <c r="H365" s="70">
        <f t="shared" ref="H365:H374" si="112">(C365*24)/(SUM($C$365:$C$374)*24)</f>
        <v>0.11428571428571428</v>
      </c>
      <c r="I365" s="84">
        <f t="shared" ref="I365" si="113">G365*H365</f>
        <v>0.79999999999999993</v>
      </c>
      <c r="J365" s="68">
        <v>0.25</v>
      </c>
      <c r="K365" s="71">
        <f>IFERROR(VLOOKUP($B365,'Dinh muc'!$A$2:$I$40,9,0),0)</f>
        <v>12.375</v>
      </c>
      <c r="L365" s="71">
        <f t="shared" si="107"/>
        <v>12.375</v>
      </c>
      <c r="M365" s="2"/>
      <c r="N365" s="68">
        <v>0.25</v>
      </c>
      <c r="O365" s="85">
        <v>2.73</v>
      </c>
      <c r="P365" s="85">
        <f>(SUM(E365:E374)/(SUM(C365:C373)*24))</f>
        <v>3.8285714285714287</v>
      </c>
      <c r="Q365" s="85"/>
      <c r="R365" s="77">
        <f>F365*I375+J365*M375+N365*Q375</f>
        <v>7.1748112098884036</v>
      </c>
      <c r="S365" s="76">
        <v>0.7</v>
      </c>
      <c r="T365" s="32">
        <f>'Dinh muc'!O4*0.7</f>
        <v>115384.61538461536</v>
      </c>
      <c r="U365" s="91">
        <f>IFERROR(VLOOKUP(A365,'chi phi XCG'!$A$2:$C$39,3,0),0)</f>
        <v>69826.221971153849</v>
      </c>
      <c r="V365" s="83">
        <f>(T365*8)/U365</f>
        <v>13.219631494000325</v>
      </c>
      <c r="W365" s="77">
        <v>0.3</v>
      </c>
      <c r="X365" s="78">
        <f>R365*S365+V365*W365</f>
        <v>8.9882572951219792</v>
      </c>
      <c r="Y365" s="47" t="str">
        <f>IF(X365&gt;=10,"A++",IF(X365&gt;=9,"A+",IF(X365&gt;=8,"A",IF(X365&gt;=7,"B","C"))))</f>
        <v>A</v>
      </c>
    </row>
    <row r="366" spans="1:25" x14ac:dyDescent="0.35">
      <c r="A366" s="46"/>
      <c r="B366" s="2" t="s">
        <v>40</v>
      </c>
      <c r="C366" s="3">
        <v>0.125</v>
      </c>
      <c r="D366" s="32">
        <v>375</v>
      </c>
      <c r="E366" s="67"/>
      <c r="F366" s="68"/>
      <c r="G366" s="69">
        <f>IFERROR(VLOOKUP($B366,'Dinh muc'!$A$2:$I$40,5,0),0)</f>
        <v>8</v>
      </c>
      <c r="H366" s="70">
        <f t="shared" si="112"/>
        <v>5.7142857142857141E-2</v>
      </c>
      <c r="I366" s="84">
        <f t="shared" ref="I366:I374" si="114">G366*H366</f>
        <v>0.45714285714285713</v>
      </c>
      <c r="J366" s="68"/>
      <c r="K366" s="71">
        <f>IFERROR(VLOOKUP($B366,'Dinh muc'!$A$2:$I$40,9,0),0)</f>
        <v>125</v>
      </c>
      <c r="L366" s="71">
        <f t="shared" si="107"/>
        <v>125</v>
      </c>
      <c r="M366" s="2"/>
      <c r="N366" s="68"/>
      <c r="O366" s="85"/>
      <c r="P366" s="85"/>
      <c r="Q366" s="85"/>
      <c r="R366" s="77"/>
      <c r="S366" s="68"/>
      <c r="T366" s="77"/>
      <c r="U366" s="95"/>
      <c r="V366" s="77"/>
      <c r="W366" s="77"/>
      <c r="X366" s="77"/>
      <c r="Y366" s="47"/>
    </row>
    <row r="367" spans="1:25" x14ac:dyDescent="0.35">
      <c r="A367" s="46"/>
      <c r="B367" s="2" t="s">
        <v>46</v>
      </c>
      <c r="C367" s="3">
        <v>1.8125</v>
      </c>
      <c r="D367" s="32">
        <v>1044</v>
      </c>
      <c r="E367" s="67">
        <v>201</v>
      </c>
      <c r="F367" s="68"/>
      <c r="G367" s="69">
        <f>IFERROR(VLOOKUP($B367,'Dinh muc'!$A$2:$I$40,5,0),0)</f>
        <v>7</v>
      </c>
      <c r="H367" s="70">
        <f t="shared" si="112"/>
        <v>0.82857142857142863</v>
      </c>
      <c r="I367" s="84">
        <f t="shared" si="114"/>
        <v>5.8000000000000007</v>
      </c>
      <c r="J367" s="68"/>
      <c r="K367" s="71">
        <f>IFERROR(VLOOKUP($B367,'Dinh muc'!$A$2:$I$40,9,0),0)</f>
        <v>8</v>
      </c>
      <c r="L367" s="71">
        <f t="shared" si="107"/>
        <v>24</v>
      </c>
      <c r="M367" s="2"/>
      <c r="N367" s="68"/>
      <c r="O367" s="85"/>
      <c r="P367" s="85"/>
      <c r="Q367" s="85"/>
      <c r="R367" s="77"/>
      <c r="S367" s="68"/>
      <c r="T367" s="77"/>
      <c r="U367" s="95"/>
      <c r="V367" s="77"/>
      <c r="W367" s="77"/>
      <c r="X367" s="77"/>
      <c r="Y367" s="47"/>
    </row>
    <row r="368" spans="1:25" x14ac:dyDescent="0.35">
      <c r="A368" s="46"/>
      <c r="B368" s="2"/>
      <c r="C368" s="3"/>
      <c r="D368" s="32"/>
      <c r="E368" s="67"/>
      <c r="F368" s="68"/>
      <c r="G368" s="69">
        <f>IFERROR(VLOOKUP($B368,'Dinh muc'!$A$2:$I$40,5,0),0)</f>
        <v>0</v>
      </c>
      <c r="H368" s="70">
        <f t="shared" si="112"/>
        <v>0</v>
      </c>
      <c r="I368" s="84">
        <f t="shared" si="114"/>
        <v>0</v>
      </c>
      <c r="J368" s="68"/>
      <c r="K368" s="71">
        <f>IFERROR(VLOOKUP($B368,'Dinh muc'!$A$2:$I$40,9,0),0)</f>
        <v>0</v>
      </c>
      <c r="L368" s="71">
        <f t="shared" si="107"/>
        <v>0</v>
      </c>
      <c r="M368" s="2"/>
      <c r="N368" s="68"/>
      <c r="O368" s="85"/>
      <c r="P368" s="85"/>
      <c r="Q368" s="85"/>
      <c r="R368" s="77"/>
      <c r="S368" s="68"/>
      <c r="T368" s="77"/>
      <c r="U368" s="95"/>
      <c r="V368" s="77"/>
      <c r="W368" s="77"/>
      <c r="X368" s="77"/>
      <c r="Y368" s="47"/>
    </row>
    <row r="369" spans="1:25" x14ac:dyDescent="0.35">
      <c r="A369" s="46"/>
      <c r="B369" s="2"/>
      <c r="C369" s="3"/>
      <c r="D369" s="32"/>
      <c r="E369" s="67"/>
      <c r="F369" s="68"/>
      <c r="G369" s="69">
        <f>IFERROR(VLOOKUP($B369,'Dinh muc'!$A$2:$I$40,5,0),0)</f>
        <v>0</v>
      </c>
      <c r="H369" s="70">
        <f t="shared" si="112"/>
        <v>0</v>
      </c>
      <c r="I369" s="84">
        <f t="shared" si="114"/>
        <v>0</v>
      </c>
      <c r="J369" s="68"/>
      <c r="K369" s="71">
        <f>IFERROR(VLOOKUP($B369,'Dinh muc'!$A$2:$I$40,9,0),0)</f>
        <v>0</v>
      </c>
      <c r="L369" s="71">
        <f t="shared" si="107"/>
        <v>0</v>
      </c>
      <c r="M369" s="2"/>
      <c r="N369" s="68"/>
      <c r="O369" s="85"/>
      <c r="P369" s="85"/>
      <c r="Q369" s="85"/>
      <c r="R369" s="77"/>
      <c r="S369" s="68"/>
      <c r="T369" s="77"/>
      <c r="U369" s="95"/>
      <c r="V369" s="77"/>
      <c r="W369" s="77"/>
      <c r="X369" s="77"/>
      <c r="Y369" s="47"/>
    </row>
    <row r="370" spans="1:25" x14ac:dyDescent="0.35">
      <c r="A370" s="46"/>
      <c r="B370" s="2"/>
      <c r="C370" s="3"/>
      <c r="D370" s="32"/>
      <c r="E370" s="67"/>
      <c r="F370" s="68"/>
      <c r="G370" s="69">
        <f>IFERROR(VLOOKUP($B370,'Dinh muc'!$A$2:$I$40,5,0),0)</f>
        <v>0</v>
      </c>
      <c r="H370" s="70">
        <f t="shared" si="112"/>
        <v>0</v>
      </c>
      <c r="I370" s="84">
        <f t="shared" si="114"/>
        <v>0</v>
      </c>
      <c r="J370" s="68"/>
      <c r="K370" s="71">
        <f>IFERROR(VLOOKUP($B370,'Dinh muc'!$A$2:$I$40,9,0),0)</f>
        <v>0</v>
      </c>
      <c r="L370" s="71">
        <f t="shared" si="107"/>
        <v>0</v>
      </c>
      <c r="M370" s="2"/>
      <c r="N370" s="68"/>
      <c r="O370" s="85"/>
      <c r="P370" s="85"/>
      <c r="Q370" s="85"/>
      <c r="R370" s="77"/>
      <c r="S370" s="68"/>
      <c r="T370" s="77"/>
      <c r="U370" s="95"/>
      <c r="V370" s="77"/>
      <c r="W370" s="77"/>
      <c r="X370" s="77"/>
      <c r="Y370" s="47"/>
    </row>
    <row r="371" spans="1:25" x14ac:dyDescent="0.35">
      <c r="A371" s="46"/>
      <c r="B371" s="2"/>
      <c r="C371" s="3"/>
      <c r="D371" s="32"/>
      <c r="E371" s="67"/>
      <c r="F371" s="68"/>
      <c r="G371" s="69">
        <f>IFERROR(VLOOKUP($B371,'Dinh muc'!$A$2:$I$40,5,0),0)</f>
        <v>0</v>
      </c>
      <c r="H371" s="70">
        <f t="shared" si="112"/>
        <v>0</v>
      </c>
      <c r="I371" s="84">
        <f t="shared" si="114"/>
        <v>0</v>
      </c>
      <c r="J371" s="68"/>
      <c r="K371" s="71">
        <f>IFERROR(VLOOKUP($B371,'Dinh muc'!$A$2:$I$40,9,0),0)</f>
        <v>0</v>
      </c>
      <c r="L371" s="71">
        <f t="shared" si="107"/>
        <v>0</v>
      </c>
      <c r="M371" s="2"/>
      <c r="N371" s="68"/>
      <c r="O371" s="85"/>
      <c r="P371" s="85"/>
      <c r="Q371" s="85"/>
      <c r="R371" s="77"/>
      <c r="S371" s="68"/>
      <c r="T371" s="77"/>
      <c r="U371" s="95"/>
      <c r="V371" s="77"/>
      <c r="W371" s="77"/>
      <c r="X371" s="77"/>
      <c r="Y371" s="47"/>
    </row>
    <row r="372" spans="1:25" x14ac:dyDescent="0.35">
      <c r="A372" s="46"/>
      <c r="B372" s="2"/>
      <c r="C372" s="3"/>
      <c r="D372" s="32"/>
      <c r="E372" s="67"/>
      <c r="F372" s="68"/>
      <c r="G372" s="69">
        <f>IFERROR(VLOOKUP($B372,'Dinh muc'!$A$2:$I$40,5,0),0)</f>
        <v>0</v>
      </c>
      <c r="H372" s="70">
        <f t="shared" si="112"/>
        <v>0</v>
      </c>
      <c r="I372" s="84">
        <f t="shared" si="114"/>
        <v>0</v>
      </c>
      <c r="J372" s="68"/>
      <c r="K372" s="71">
        <f>IFERROR(VLOOKUP($B372,'Dinh muc'!$A$2:$I$40,9,0),0)</f>
        <v>0</v>
      </c>
      <c r="L372" s="71">
        <f t="shared" si="107"/>
        <v>0</v>
      </c>
      <c r="M372" s="2"/>
      <c r="N372" s="68"/>
      <c r="O372" s="85"/>
      <c r="P372" s="85"/>
      <c r="Q372" s="85"/>
      <c r="R372" s="77"/>
      <c r="S372" s="68"/>
      <c r="T372" s="77"/>
      <c r="U372" s="95"/>
      <c r="V372" s="77"/>
      <c r="W372" s="77"/>
      <c r="X372" s="77"/>
      <c r="Y372" s="47"/>
    </row>
    <row r="373" spans="1:25" x14ac:dyDescent="0.35">
      <c r="A373" s="46"/>
      <c r="B373" s="2"/>
      <c r="C373" s="3"/>
      <c r="D373" s="32"/>
      <c r="E373" s="67"/>
      <c r="F373" s="68"/>
      <c r="G373" s="69">
        <f>IFERROR(VLOOKUP($B373,'Dinh muc'!$A$2:$I$40,5,0),0)</f>
        <v>0</v>
      </c>
      <c r="H373" s="70">
        <f t="shared" si="112"/>
        <v>0</v>
      </c>
      <c r="I373" s="84">
        <f t="shared" si="114"/>
        <v>0</v>
      </c>
      <c r="J373" s="68"/>
      <c r="K373" s="71">
        <f>IFERROR(VLOOKUP($B373,'Dinh muc'!$A$2:$I$40,9,0),0)</f>
        <v>0</v>
      </c>
      <c r="L373" s="71">
        <f t="shared" si="107"/>
        <v>0</v>
      </c>
      <c r="M373" s="2"/>
      <c r="N373" s="68"/>
      <c r="O373" s="85"/>
      <c r="P373" s="85"/>
      <c r="Q373" s="85"/>
      <c r="R373" s="77"/>
      <c r="S373" s="68"/>
      <c r="T373" s="77"/>
      <c r="U373" s="95"/>
      <c r="V373" s="77"/>
      <c r="W373" s="77"/>
      <c r="X373" s="77"/>
      <c r="Y373" s="47"/>
    </row>
    <row r="374" spans="1:25" x14ac:dyDescent="0.35">
      <c r="A374" s="46"/>
      <c r="B374" s="2" t="s">
        <v>82</v>
      </c>
      <c r="C374" s="3"/>
      <c r="D374" s="32"/>
      <c r="E374" s="67"/>
      <c r="F374" s="68"/>
      <c r="G374" s="69">
        <f>IFERROR(VLOOKUP($B374,'Dinh muc'!$A$2:$I$40,5,0),0)</f>
        <v>-20</v>
      </c>
      <c r="H374" s="70">
        <f t="shared" si="112"/>
        <v>0</v>
      </c>
      <c r="I374" s="84">
        <f t="shared" si="114"/>
        <v>0</v>
      </c>
      <c r="J374" s="68"/>
      <c r="K374" s="71">
        <f>IFERROR(VLOOKUP($B374,'Dinh muc'!$A$2:$I$40,9,0),0)</f>
        <v>0</v>
      </c>
      <c r="L374" s="71">
        <f t="shared" si="107"/>
        <v>0</v>
      </c>
      <c r="M374" s="2"/>
      <c r="N374" s="68"/>
      <c r="O374" s="85"/>
      <c r="P374" s="85"/>
      <c r="Q374" s="85"/>
      <c r="R374" s="77"/>
      <c r="S374" s="68"/>
      <c r="T374" s="77"/>
      <c r="U374" s="95"/>
      <c r="V374" s="77"/>
      <c r="W374" s="77"/>
      <c r="X374" s="77"/>
      <c r="Y374" s="47"/>
    </row>
    <row r="375" spans="1:25" x14ac:dyDescent="0.35">
      <c r="A375" s="35"/>
      <c r="B375" s="8"/>
      <c r="C375" s="9"/>
      <c r="D375" s="33"/>
      <c r="E375" s="10"/>
      <c r="F375" s="30"/>
      <c r="G375" s="11"/>
      <c r="H375" s="27"/>
      <c r="I375" s="29">
        <f>SUM(I365:I374)</f>
        <v>7.0571428571428578</v>
      </c>
      <c r="J375" s="30"/>
      <c r="K375" s="30">
        <f>AVERAGE(K365:K374)</f>
        <v>14.5375</v>
      </c>
      <c r="L375" s="30">
        <f>AVERAGE(L365:L374)</f>
        <v>16.137499999999999</v>
      </c>
      <c r="M375" s="29">
        <f>(L375*8)/K375</f>
        <v>8.8804815133276005</v>
      </c>
      <c r="N375" s="30"/>
      <c r="O375" s="30">
        <f>AVERAGE(O365)</f>
        <v>2.73</v>
      </c>
      <c r="P375" s="30">
        <f>AVERAGE(P365)</f>
        <v>3.8285714285714287</v>
      </c>
      <c r="Q375" s="29">
        <f>(O375*8)/P375</f>
        <v>5.7044776119402982</v>
      </c>
      <c r="R375" s="98"/>
      <c r="S375" s="79"/>
      <c r="T375" s="79"/>
      <c r="U375" s="93"/>
      <c r="V375" s="98"/>
      <c r="W375" s="79"/>
      <c r="X375" s="79"/>
      <c r="Y375" s="61"/>
    </row>
    <row r="376" spans="1:25" x14ac:dyDescent="0.35">
      <c r="A376" s="46" t="s">
        <v>5</v>
      </c>
      <c r="B376" s="2" t="s">
        <v>18</v>
      </c>
      <c r="C376" s="3">
        <v>0.24652777777777779</v>
      </c>
      <c r="D376" s="32">
        <v>73.21875</v>
      </c>
      <c r="E376" s="67"/>
      <c r="F376" s="68">
        <v>0.5</v>
      </c>
      <c r="G376" s="69">
        <f>IFERROR(VLOOKUP($B376,'Dinh muc'!$A$2:$I$40,5,0),0)</f>
        <v>7</v>
      </c>
      <c r="H376" s="70">
        <f t="shared" ref="H376:H385" si="115">(C376*24)/(SUM($C$376:$C$385)*24)</f>
        <v>9.1142490372272136E-2</v>
      </c>
      <c r="I376" s="84">
        <f t="shared" ref="I376" si="116">G376*H376</f>
        <v>0.63799743260590491</v>
      </c>
      <c r="J376" s="68">
        <v>0.25</v>
      </c>
      <c r="K376" s="71">
        <f>IFERROR(VLOOKUP($B376,'Dinh muc'!$A$2:$I$40,9,0),0)</f>
        <v>12.375</v>
      </c>
      <c r="L376" s="71">
        <f t="shared" si="107"/>
        <v>12.375</v>
      </c>
      <c r="M376" s="2"/>
      <c r="N376" s="68">
        <v>0.25</v>
      </c>
      <c r="O376" s="85">
        <v>4.51</v>
      </c>
      <c r="P376" s="85">
        <f>(SUM(E376:E385)/(SUM(C376:C384)*24))</f>
        <v>9.4251655629139073</v>
      </c>
      <c r="Q376" s="85"/>
      <c r="R376" s="77">
        <f>F376*I386+J376*M386+N376*Q386</f>
        <v>6.6161908003876349</v>
      </c>
      <c r="S376" s="76">
        <v>0.7</v>
      </c>
      <c r="T376" s="32">
        <f>'Dinh muc'!O4</f>
        <v>164835.16483516482</v>
      </c>
      <c r="U376" s="91">
        <f>IFERROR(VLOOKUP(A376,'chi phi XCG'!$A$2:$C$39,3,0),0)</f>
        <v>76303.904471153844</v>
      </c>
      <c r="V376" s="83">
        <f>(T376*8)/U376</f>
        <v>17.28196384996048</v>
      </c>
      <c r="W376" s="77">
        <v>0.4</v>
      </c>
      <c r="X376" s="78">
        <f>R376*S376+V376*W376</f>
        <v>11.544119100255536</v>
      </c>
      <c r="Y376" s="47" t="str">
        <f>IF(X376&gt;=10,"A++",IF(X376&gt;=9,"A+",IF(X376&gt;=8,"A",IF(X376&gt;=7,"B","C"))))</f>
        <v>A++</v>
      </c>
    </row>
    <row r="377" spans="1:25" x14ac:dyDescent="0.35">
      <c r="A377" s="46"/>
      <c r="B377" s="2" t="s">
        <v>41</v>
      </c>
      <c r="C377" s="3">
        <v>0.36805555555555552</v>
      </c>
      <c r="D377" s="32">
        <v>114.83333333333331</v>
      </c>
      <c r="E377" s="67"/>
      <c r="F377" s="68"/>
      <c r="G377" s="69">
        <f>IFERROR(VLOOKUP($B377,'Dinh muc'!$A$2:$I$40,5,0),0)</f>
        <v>10</v>
      </c>
      <c r="H377" s="70">
        <f t="shared" si="115"/>
        <v>0.13607188703465981</v>
      </c>
      <c r="I377" s="84">
        <f t="shared" ref="I377:I385" si="117">G377*H377</f>
        <v>1.360718870346598</v>
      </c>
      <c r="J377" s="68"/>
      <c r="K377" s="71">
        <f>IFERROR(VLOOKUP($B377,'Dinh muc'!$A$2:$I$40,9,0),0)</f>
        <v>13</v>
      </c>
      <c r="L377" s="71">
        <f t="shared" si="107"/>
        <v>13</v>
      </c>
      <c r="M377" s="2"/>
      <c r="N377" s="68"/>
      <c r="O377" s="85"/>
      <c r="P377" s="85"/>
      <c r="Q377" s="85"/>
      <c r="R377" s="77"/>
      <c r="S377" s="68"/>
      <c r="T377" s="77"/>
      <c r="U377" s="95"/>
      <c r="V377" s="77"/>
      <c r="W377" s="77"/>
      <c r="X377" s="77"/>
      <c r="Y377" s="47"/>
    </row>
    <row r="378" spans="1:25" x14ac:dyDescent="0.35">
      <c r="A378" s="46"/>
      <c r="B378" s="2" t="s">
        <v>52</v>
      </c>
      <c r="C378" s="3">
        <v>0.21527777777777779</v>
      </c>
      <c r="D378" s="32">
        <v>50.375</v>
      </c>
      <c r="E378" s="67"/>
      <c r="F378" s="68"/>
      <c r="G378" s="69">
        <f>IFERROR(VLOOKUP($B378,'Dinh muc'!$A$2:$I$40,5,0),0)</f>
        <v>8</v>
      </c>
      <c r="H378" s="70">
        <f t="shared" si="115"/>
        <v>7.9589216944801019E-2</v>
      </c>
      <c r="I378" s="84">
        <f t="shared" si="117"/>
        <v>0.63671373555840816</v>
      </c>
      <c r="J378" s="68"/>
      <c r="K378" s="71">
        <f>IFERROR(VLOOKUP($B378,'Dinh muc'!$A$2:$I$40,9,0),0)</f>
        <v>9.75</v>
      </c>
      <c r="L378" s="71">
        <f t="shared" si="107"/>
        <v>9.75</v>
      </c>
      <c r="M378" s="2"/>
      <c r="N378" s="68"/>
      <c r="O378" s="85"/>
      <c r="P378" s="85"/>
      <c r="Q378" s="85"/>
      <c r="R378" s="77"/>
      <c r="S378" s="68"/>
      <c r="T378" s="77"/>
      <c r="U378" s="95"/>
      <c r="V378" s="77"/>
      <c r="W378" s="77"/>
      <c r="X378" s="77"/>
      <c r="Y378" s="47"/>
    </row>
    <row r="379" spans="1:25" x14ac:dyDescent="0.35">
      <c r="A379" s="46"/>
      <c r="B379" s="2" t="s">
        <v>58</v>
      </c>
      <c r="C379" s="3">
        <v>1.7916666666666667</v>
      </c>
      <c r="D379" s="32">
        <v>419.25</v>
      </c>
      <c r="E379" s="67">
        <v>593</v>
      </c>
      <c r="F379" s="68"/>
      <c r="G379" s="69">
        <f>IFERROR(VLOOKUP($B379,'Dinh muc'!$A$2:$I$40,5,0),0)</f>
        <v>8</v>
      </c>
      <c r="H379" s="70">
        <f t="shared" si="115"/>
        <v>0.66238767650834396</v>
      </c>
      <c r="I379" s="84">
        <f t="shared" si="117"/>
        <v>5.2991014120667517</v>
      </c>
      <c r="J379" s="68"/>
      <c r="K379" s="71">
        <f>IFERROR(VLOOKUP($B379,'Dinh muc'!$A$2:$I$40,9,0),0)</f>
        <v>9.75</v>
      </c>
      <c r="L379" s="71">
        <f t="shared" si="107"/>
        <v>9.75</v>
      </c>
      <c r="M379" s="2"/>
      <c r="N379" s="68"/>
      <c r="O379" s="85"/>
      <c r="P379" s="85"/>
      <c r="Q379" s="85"/>
      <c r="R379" s="77"/>
      <c r="S379" s="68"/>
      <c r="T379" s="77"/>
      <c r="U379" s="95"/>
      <c r="V379" s="77"/>
      <c r="W379" s="77"/>
      <c r="X379" s="77"/>
      <c r="Y379" s="47"/>
    </row>
    <row r="380" spans="1:25" x14ac:dyDescent="0.35">
      <c r="A380" s="46"/>
      <c r="B380" s="2"/>
      <c r="C380" s="3"/>
      <c r="D380" s="32"/>
      <c r="E380" s="67"/>
      <c r="F380" s="68"/>
      <c r="G380" s="69">
        <f>IFERROR(VLOOKUP($B380,'Dinh muc'!$A$2:$I$40,5,0),0)</f>
        <v>0</v>
      </c>
      <c r="H380" s="70">
        <f t="shared" si="115"/>
        <v>0</v>
      </c>
      <c r="I380" s="84">
        <f t="shared" si="117"/>
        <v>0</v>
      </c>
      <c r="J380" s="68"/>
      <c r="K380" s="71">
        <f>IFERROR(VLOOKUP($B380,'Dinh muc'!$A$2:$I$40,9,0),0)</f>
        <v>0</v>
      </c>
      <c r="L380" s="71">
        <f t="shared" si="107"/>
        <v>0</v>
      </c>
      <c r="M380" s="2"/>
      <c r="N380" s="68"/>
      <c r="O380" s="85"/>
      <c r="P380" s="85"/>
      <c r="Q380" s="85"/>
      <c r="R380" s="77"/>
      <c r="S380" s="68"/>
      <c r="T380" s="77"/>
      <c r="U380" s="95"/>
      <c r="V380" s="77"/>
      <c r="W380" s="77"/>
      <c r="X380" s="77"/>
      <c r="Y380" s="47"/>
    </row>
    <row r="381" spans="1:25" x14ac:dyDescent="0.35">
      <c r="A381" s="46"/>
      <c r="B381" s="2"/>
      <c r="C381" s="3"/>
      <c r="D381" s="32"/>
      <c r="E381" s="67"/>
      <c r="F381" s="68"/>
      <c r="G381" s="69">
        <f>IFERROR(VLOOKUP($B381,'Dinh muc'!$A$2:$I$40,5,0),0)</f>
        <v>0</v>
      </c>
      <c r="H381" s="70">
        <f t="shared" si="115"/>
        <v>0</v>
      </c>
      <c r="I381" s="84">
        <f t="shared" si="117"/>
        <v>0</v>
      </c>
      <c r="J381" s="68"/>
      <c r="K381" s="71">
        <f>IFERROR(VLOOKUP($B381,'Dinh muc'!$A$2:$I$40,9,0),0)</f>
        <v>0</v>
      </c>
      <c r="L381" s="71">
        <f t="shared" si="107"/>
        <v>0</v>
      </c>
      <c r="M381" s="2"/>
      <c r="N381" s="68"/>
      <c r="O381" s="85"/>
      <c r="P381" s="85"/>
      <c r="Q381" s="85"/>
      <c r="R381" s="77"/>
      <c r="S381" s="68"/>
      <c r="T381" s="77"/>
      <c r="U381" s="95"/>
      <c r="V381" s="77"/>
      <c r="W381" s="77"/>
      <c r="X381" s="77"/>
      <c r="Y381" s="47"/>
    </row>
    <row r="382" spans="1:25" x14ac:dyDescent="0.35">
      <c r="A382" s="46"/>
      <c r="B382" s="2"/>
      <c r="C382" s="3"/>
      <c r="D382" s="32"/>
      <c r="E382" s="67"/>
      <c r="F382" s="68"/>
      <c r="G382" s="69">
        <f>IFERROR(VLOOKUP($B382,'Dinh muc'!$A$2:$I$40,5,0),0)</f>
        <v>0</v>
      </c>
      <c r="H382" s="70">
        <f t="shared" si="115"/>
        <v>0</v>
      </c>
      <c r="I382" s="84">
        <f t="shared" si="117"/>
        <v>0</v>
      </c>
      <c r="J382" s="68"/>
      <c r="K382" s="71">
        <f>IFERROR(VLOOKUP($B382,'Dinh muc'!$A$2:$I$40,9,0),0)</f>
        <v>0</v>
      </c>
      <c r="L382" s="71">
        <f t="shared" si="107"/>
        <v>0</v>
      </c>
      <c r="M382" s="2"/>
      <c r="N382" s="68"/>
      <c r="O382" s="85"/>
      <c r="P382" s="85"/>
      <c r="Q382" s="85"/>
      <c r="R382" s="77"/>
      <c r="S382" s="68"/>
      <c r="T382" s="77"/>
      <c r="U382" s="95"/>
      <c r="V382" s="77"/>
      <c r="W382" s="77"/>
      <c r="X382" s="77"/>
      <c r="Y382" s="47"/>
    </row>
    <row r="383" spans="1:25" x14ac:dyDescent="0.35">
      <c r="A383" s="46"/>
      <c r="B383" s="2"/>
      <c r="C383" s="3"/>
      <c r="D383" s="32"/>
      <c r="E383" s="67"/>
      <c r="F383" s="68"/>
      <c r="G383" s="69">
        <f>IFERROR(VLOOKUP($B383,'Dinh muc'!$A$2:$I$40,5,0),0)</f>
        <v>0</v>
      </c>
      <c r="H383" s="70">
        <f t="shared" si="115"/>
        <v>0</v>
      </c>
      <c r="I383" s="84">
        <f t="shared" si="117"/>
        <v>0</v>
      </c>
      <c r="J383" s="68"/>
      <c r="K383" s="71">
        <f>IFERROR(VLOOKUP($B383,'Dinh muc'!$A$2:$I$40,9,0),0)</f>
        <v>0</v>
      </c>
      <c r="L383" s="71">
        <f t="shared" si="107"/>
        <v>0</v>
      </c>
      <c r="M383" s="2"/>
      <c r="N383" s="68"/>
      <c r="O383" s="85"/>
      <c r="P383" s="85"/>
      <c r="Q383" s="85"/>
      <c r="R383" s="77"/>
      <c r="S383" s="68"/>
      <c r="T383" s="77"/>
      <c r="U383" s="95"/>
      <c r="V383" s="77"/>
      <c r="W383" s="77"/>
      <c r="X383" s="77"/>
      <c r="Y383" s="47"/>
    </row>
    <row r="384" spans="1:25" x14ac:dyDescent="0.35">
      <c r="A384" s="46"/>
      <c r="B384" s="2"/>
      <c r="C384" s="3"/>
      <c r="D384" s="32"/>
      <c r="E384" s="67"/>
      <c r="F384" s="68"/>
      <c r="G384" s="69">
        <f>IFERROR(VLOOKUP($B384,'Dinh muc'!$A$2:$I$40,5,0),0)</f>
        <v>0</v>
      </c>
      <c r="H384" s="70">
        <f t="shared" si="115"/>
        <v>0</v>
      </c>
      <c r="I384" s="84">
        <f t="shared" si="117"/>
        <v>0</v>
      </c>
      <c r="J384" s="68"/>
      <c r="K384" s="71">
        <f>IFERROR(VLOOKUP($B384,'Dinh muc'!$A$2:$I$40,9,0),0)</f>
        <v>0</v>
      </c>
      <c r="L384" s="71">
        <f t="shared" si="107"/>
        <v>0</v>
      </c>
      <c r="M384" s="2"/>
      <c r="N384" s="68"/>
      <c r="O384" s="85"/>
      <c r="P384" s="85"/>
      <c r="Q384" s="85"/>
      <c r="R384" s="77"/>
      <c r="S384" s="68"/>
      <c r="T384" s="77"/>
      <c r="U384" s="95"/>
      <c r="V384" s="77"/>
      <c r="W384" s="77"/>
      <c r="X384" s="77"/>
      <c r="Y384" s="47"/>
    </row>
    <row r="385" spans="1:25" x14ac:dyDescent="0.35">
      <c r="A385" s="46"/>
      <c r="B385" s="2" t="s">
        <v>82</v>
      </c>
      <c r="C385" s="3">
        <v>8.3333333333333329E-2</v>
      </c>
      <c r="D385" s="32"/>
      <c r="E385" s="67"/>
      <c r="F385" s="68"/>
      <c r="G385" s="69">
        <f>IFERROR(VLOOKUP($B385,'Dinh muc'!$A$2:$I$40,5,0),0)</f>
        <v>-20</v>
      </c>
      <c r="H385" s="70">
        <f t="shared" si="115"/>
        <v>3.0808729139922976E-2</v>
      </c>
      <c r="I385" s="84">
        <f t="shared" si="117"/>
        <v>-0.61617458279845949</v>
      </c>
      <c r="J385" s="68"/>
      <c r="K385" s="71">
        <f>IFERROR(VLOOKUP($B385,'Dinh muc'!$A$2:$I$40,9,0),0)</f>
        <v>0</v>
      </c>
      <c r="L385" s="71">
        <f t="shared" si="107"/>
        <v>0</v>
      </c>
      <c r="M385" s="2"/>
      <c r="N385" s="68"/>
      <c r="O385" s="85"/>
      <c r="P385" s="85"/>
      <c r="Q385" s="85"/>
      <c r="R385" s="77"/>
      <c r="S385" s="68"/>
      <c r="T385" s="77"/>
      <c r="U385" s="95"/>
      <c r="V385" s="77"/>
      <c r="W385" s="77"/>
      <c r="X385" s="77"/>
      <c r="Y385" s="47"/>
    </row>
    <row r="386" spans="1:25" x14ac:dyDescent="0.35">
      <c r="A386" s="35"/>
      <c r="B386" s="8"/>
      <c r="C386" s="9"/>
      <c r="D386" s="33"/>
      <c r="E386" s="10"/>
      <c r="F386" s="30"/>
      <c r="G386" s="11"/>
      <c r="H386" s="27"/>
      <c r="I386" s="29">
        <f>SUM(I376:I385)</f>
        <v>7.3183568677792037</v>
      </c>
      <c r="J386" s="30"/>
      <c r="K386" s="30">
        <f>AVERAGE(K376:K385)</f>
        <v>4.4874999999999998</v>
      </c>
      <c r="L386" s="30">
        <f>AVERAGE(L376:L385)</f>
        <v>4.4874999999999998</v>
      </c>
      <c r="M386" s="29">
        <f>(L386*8)/K386</f>
        <v>8</v>
      </c>
      <c r="N386" s="30"/>
      <c r="O386" s="30">
        <f>AVERAGE(O376)</f>
        <v>4.51</v>
      </c>
      <c r="P386" s="30">
        <f>AVERAGE(P376)</f>
        <v>9.4251655629139073</v>
      </c>
      <c r="Q386" s="29">
        <f>(O386*8)/P386</f>
        <v>3.8280494659921303</v>
      </c>
      <c r="R386" s="98"/>
      <c r="S386" s="79"/>
      <c r="T386" s="79"/>
      <c r="U386" s="93"/>
      <c r="V386" s="98"/>
      <c r="W386" s="79"/>
      <c r="X386" s="79"/>
      <c r="Y386" s="61"/>
    </row>
    <row r="387" spans="1:25" x14ac:dyDescent="0.35">
      <c r="A387" s="46" t="s">
        <v>99</v>
      </c>
      <c r="B387" s="2" t="s">
        <v>18</v>
      </c>
      <c r="C387" s="3">
        <v>0.19097222222222224</v>
      </c>
      <c r="D387" s="32">
        <v>56.718750000000007</v>
      </c>
      <c r="E387" s="67"/>
      <c r="F387" s="68">
        <v>0.5</v>
      </c>
      <c r="G387" s="69">
        <f>IFERROR(VLOOKUP($B387,'Dinh muc'!$A$2:$I$40,5,0),0)</f>
        <v>7</v>
      </c>
      <c r="H387" s="70">
        <f>(C387*24)/(SUM($C$387:$C$396)*24)</f>
        <v>8.3841463414634151E-2</v>
      </c>
      <c r="I387" s="84">
        <f t="shared" ref="I387" si="118">G387*H387</f>
        <v>0.58689024390243905</v>
      </c>
      <c r="J387" s="68">
        <v>0.25</v>
      </c>
      <c r="K387" s="71">
        <f>IFERROR(VLOOKUP($B387,'Dinh muc'!$A$2:$I$40,9,0),0)</f>
        <v>12.375</v>
      </c>
      <c r="L387" s="71">
        <f t="shared" si="107"/>
        <v>12.375</v>
      </c>
      <c r="M387" s="2"/>
      <c r="N387" s="68">
        <v>0.25</v>
      </c>
      <c r="O387" s="85">
        <v>4.5087090796788161</v>
      </c>
      <c r="P387" s="85">
        <f>(SUM(E387:E396)/(SUM(C387:C395)*24))</f>
        <v>4.9006211180124213</v>
      </c>
      <c r="Q387" s="85"/>
      <c r="R387" s="77">
        <f>F387*I397+J387*M397+N387*Q397</f>
        <v>8.4399037379801456</v>
      </c>
      <c r="S387" s="76">
        <v>0.7</v>
      </c>
      <c r="T387" s="32">
        <f>T376</f>
        <v>164835.16483516482</v>
      </c>
      <c r="U387" s="91">
        <f>IFERROR(VLOOKUP(A387,'chi phi XCG'!$A$2:$C$39,3,0),0)</f>
        <v>73116.987163461541</v>
      </c>
      <c r="V387" s="83">
        <f>(T387*8)/U387</f>
        <v>18.035225052876601</v>
      </c>
      <c r="W387" s="77">
        <v>0.3</v>
      </c>
      <c r="X387" s="78">
        <f>R387*S387+V387*W387</f>
        <v>11.318500132449081</v>
      </c>
      <c r="Y387" s="47" t="str">
        <f>IF(X387&gt;=10,"A++",IF(X387&gt;=9,"A+",IF(X387&gt;=8,"A",IF(X387&gt;=7,"B","C"))))</f>
        <v>A++</v>
      </c>
    </row>
    <row r="388" spans="1:25" x14ac:dyDescent="0.35">
      <c r="A388" s="46"/>
      <c r="B388" s="2" t="s">
        <v>41</v>
      </c>
      <c r="C388" s="3">
        <v>1.5347222222222223</v>
      </c>
      <c r="D388" s="32">
        <v>478.83333333333337</v>
      </c>
      <c r="E388" s="67">
        <v>176</v>
      </c>
      <c r="F388" s="68"/>
      <c r="G388" s="69">
        <f>IFERROR(VLOOKUP($B388,'Dinh muc'!$A$2:$I$40,5,0),0)</f>
        <v>10</v>
      </c>
      <c r="H388" s="70">
        <f>(C388*24)/(SUM($C$387:$C$396)*24)</f>
        <v>0.67378048780487798</v>
      </c>
      <c r="I388" s="84">
        <f t="shared" ref="I388:I396" si="119">G388*H388</f>
        <v>6.73780487804878</v>
      </c>
      <c r="J388" s="68"/>
      <c r="K388" s="71">
        <f>IFERROR(VLOOKUP($B388,'Dinh muc'!$A$2:$I$40,9,0),0)</f>
        <v>13</v>
      </c>
      <c r="L388" s="71">
        <f t="shared" si="107"/>
        <v>13</v>
      </c>
      <c r="M388" s="2"/>
      <c r="N388" s="68"/>
      <c r="O388" s="85"/>
      <c r="P388" s="85"/>
      <c r="Q388" s="85"/>
      <c r="R388" s="77"/>
      <c r="S388" s="68"/>
      <c r="T388" s="77"/>
      <c r="U388" s="95"/>
      <c r="V388" s="77"/>
      <c r="W388" s="77"/>
      <c r="X388" s="77"/>
      <c r="Y388" s="47"/>
    </row>
    <row r="389" spans="1:25" x14ac:dyDescent="0.35">
      <c r="A389" s="46"/>
      <c r="B389" s="2" t="s">
        <v>54</v>
      </c>
      <c r="C389" s="3">
        <v>0.51041666666666674</v>
      </c>
      <c r="D389" s="32">
        <v>159.25000000000003</v>
      </c>
      <c r="E389" s="67">
        <v>87</v>
      </c>
      <c r="F389" s="68"/>
      <c r="G389" s="69">
        <f>IFERROR(VLOOKUP($B389,'Dinh muc'!$A$2:$I$40,5,0),0)</f>
        <v>10</v>
      </c>
      <c r="H389" s="70">
        <f t="shared" ref="H389:H394" si="120">(C389*24)/(SUM($C$387:$C$396)*24)</f>
        <v>0.22408536585365854</v>
      </c>
      <c r="I389" s="84">
        <f t="shared" ref="I389:I394" si="121">G389*H389</f>
        <v>2.2408536585365852</v>
      </c>
      <c r="J389" s="68"/>
      <c r="K389" s="71">
        <f>IFERROR(VLOOKUP($B389,'Dinh muc'!$A$2:$I$40,9,0),0)</f>
        <v>13</v>
      </c>
      <c r="L389" s="71">
        <f t="shared" si="107"/>
        <v>13</v>
      </c>
      <c r="M389" s="2"/>
      <c r="N389" s="68"/>
      <c r="O389" s="85"/>
      <c r="P389" s="85"/>
      <c r="Q389" s="85"/>
      <c r="R389" s="77"/>
      <c r="S389" s="68"/>
      <c r="T389" s="77"/>
      <c r="U389" s="95"/>
      <c r="V389" s="77"/>
      <c r="W389" s="77"/>
      <c r="X389" s="77"/>
      <c r="Y389" s="47"/>
    </row>
    <row r="390" spans="1:25" x14ac:dyDescent="0.35">
      <c r="A390" s="46"/>
      <c r="B390" s="2"/>
      <c r="C390" s="3"/>
      <c r="D390" s="32"/>
      <c r="E390" s="67"/>
      <c r="F390" s="68"/>
      <c r="G390" s="69">
        <f>IFERROR(VLOOKUP($B390,'Dinh muc'!$A$2:$I$40,5,0),0)</f>
        <v>0</v>
      </c>
      <c r="H390" s="70">
        <f t="shared" si="120"/>
        <v>0</v>
      </c>
      <c r="I390" s="84">
        <f t="shared" si="121"/>
        <v>0</v>
      </c>
      <c r="J390" s="68"/>
      <c r="K390" s="71">
        <f>IFERROR(VLOOKUP($B390,'Dinh muc'!$A$2:$I$40,9,0),0)</f>
        <v>0</v>
      </c>
      <c r="L390" s="71">
        <f t="shared" si="107"/>
        <v>0</v>
      </c>
      <c r="M390" s="2"/>
      <c r="N390" s="68"/>
      <c r="O390" s="85"/>
      <c r="P390" s="85"/>
      <c r="Q390" s="85"/>
      <c r="R390" s="77"/>
      <c r="S390" s="68"/>
      <c r="T390" s="77"/>
      <c r="U390" s="95"/>
      <c r="V390" s="77"/>
      <c r="W390" s="77"/>
      <c r="X390" s="77"/>
      <c r="Y390" s="47"/>
    </row>
    <row r="391" spans="1:25" x14ac:dyDescent="0.35">
      <c r="A391" s="46"/>
      <c r="B391" s="2"/>
      <c r="C391" s="3"/>
      <c r="D391" s="32"/>
      <c r="E391" s="67"/>
      <c r="F391" s="68"/>
      <c r="G391" s="69">
        <f>IFERROR(VLOOKUP($B391,'Dinh muc'!$A$2:$I$40,5,0),0)</f>
        <v>0</v>
      </c>
      <c r="H391" s="70">
        <f t="shared" si="120"/>
        <v>0</v>
      </c>
      <c r="I391" s="84">
        <f t="shared" si="121"/>
        <v>0</v>
      </c>
      <c r="J391" s="68"/>
      <c r="K391" s="71">
        <f>IFERROR(VLOOKUP($B391,'Dinh muc'!$A$2:$I$40,9,0),0)</f>
        <v>0</v>
      </c>
      <c r="L391" s="71">
        <f t="shared" si="107"/>
        <v>0</v>
      </c>
      <c r="M391" s="2"/>
      <c r="N391" s="68"/>
      <c r="O391" s="85"/>
      <c r="P391" s="85"/>
      <c r="Q391" s="85"/>
      <c r="R391" s="77"/>
      <c r="S391" s="68"/>
      <c r="T391" s="77"/>
      <c r="U391" s="95"/>
      <c r="V391" s="77"/>
      <c r="W391" s="77"/>
      <c r="X391" s="77"/>
      <c r="Y391" s="47"/>
    </row>
    <row r="392" spans="1:25" x14ac:dyDescent="0.35">
      <c r="A392" s="46"/>
      <c r="B392" s="2"/>
      <c r="C392" s="3"/>
      <c r="D392" s="32"/>
      <c r="E392" s="67"/>
      <c r="F392" s="68"/>
      <c r="G392" s="69">
        <f>IFERROR(VLOOKUP($B392,'Dinh muc'!$A$2:$I$40,5,0),0)</f>
        <v>0</v>
      </c>
      <c r="H392" s="70">
        <f t="shared" si="120"/>
        <v>0</v>
      </c>
      <c r="I392" s="84">
        <f t="shared" si="121"/>
        <v>0</v>
      </c>
      <c r="J392" s="68"/>
      <c r="K392" s="71">
        <f>IFERROR(VLOOKUP($B392,'Dinh muc'!$A$2:$I$40,9,0),0)</f>
        <v>0</v>
      </c>
      <c r="L392" s="71">
        <f t="shared" si="107"/>
        <v>0</v>
      </c>
      <c r="M392" s="2"/>
      <c r="N392" s="68"/>
      <c r="O392" s="85"/>
      <c r="P392" s="85"/>
      <c r="Q392" s="85"/>
      <c r="R392" s="77"/>
      <c r="S392" s="68"/>
      <c r="T392" s="77"/>
      <c r="U392" s="95"/>
      <c r="V392" s="77"/>
      <c r="W392" s="77"/>
      <c r="X392" s="77"/>
      <c r="Y392" s="47"/>
    </row>
    <row r="393" spans="1:25" x14ac:dyDescent="0.35">
      <c r="A393" s="46"/>
      <c r="B393" s="2"/>
      <c r="C393" s="3"/>
      <c r="D393" s="32"/>
      <c r="E393" s="67"/>
      <c r="F393" s="68"/>
      <c r="G393" s="69">
        <f>IFERROR(VLOOKUP($B393,'Dinh muc'!$A$2:$I$40,5,0),0)</f>
        <v>0</v>
      </c>
      <c r="H393" s="70">
        <f t="shared" si="120"/>
        <v>0</v>
      </c>
      <c r="I393" s="84">
        <f t="shared" si="121"/>
        <v>0</v>
      </c>
      <c r="J393" s="68"/>
      <c r="K393" s="71">
        <f>IFERROR(VLOOKUP($B393,'Dinh muc'!$A$2:$I$40,9,0),0)</f>
        <v>0</v>
      </c>
      <c r="L393" s="71">
        <f t="shared" si="107"/>
        <v>0</v>
      </c>
      <c r="M393" s="2"/>
      <c r="N393" s="68"/>
      <c r="O393" s="85"/>
      <c r="P393" s="85"/>
      <c r="Q393" s="85"/>
      <c r="R393" s="77"/>
      <c r="S393" s="68"/>
      <c r="T393" s="77"/>
      <c r="U393" s="95"/>
      <c r="V393" s="77"/>
      <c r="W393" s="77"/>
      <c r="X393" s="77"/>
      <c r="Y393" s="47"/>
    </row>
    <row r="394" spans="1:25" x14ac:dyDescent="0.35">
      <c r="A394" s="46"/>
      <c r="B394" s="2"/>
      <c r="C394" s="3"/>
      <c r="D394" s="32"/>
      <c r="E394" s="67"/>
      <c r="F394" s="68"/>
      <c r="G394" s="69">
        <f>IFERROR(VLOOKUP($B394,'Dinh muc'!$A$2:$I$40,5,0),0)</f>
        <v>0</v>
      </c>
      <c r="H394" s="70">
        <f t="shared" si="120"/>
        <v>0</v>
      </c>
      <c r="I394" s="84">
        <f t="shared" si="121"/>
        <v>0</v>
      </c>
      <c r="J394" s="68"/>
      <c r="K394" s="71">
        <f>IFERROR(VLOOKUP($B394,'Dinh muc'!$A$2:$I$40,9,0),0)</f>
        <v>0</v>
      </c>
      <c r="L394" s="71">
        <f t="shared" si="107"/>
        <v>0</v>
      </c>
      <c r="M394" s="2"/>
      <c r="N394" s="68"/>
      <c r="O394" s="85"/>
      <c r="P394" s="85"/>
      <c r="Q394" s="85"/>
      <c r="R394" s="77"/>
      <c r="S394" s="68"/>
      <c r="T394" s="77"/>
      <c r="U394" s="95"/>
      <c r="V394" s="77"/>
      <c r="W394" s="77"/>
      <c r="X394" s="77"/>
      <c r="Y394" s="47"/>
    </row>
    <row r="395" spans="1:25" x14ac:dyDescent="0.35">
      <c r="A395" s="46"/>
      <c r="B395" s="2"/>
      <c r="C395" s="3"/>
      <c r="D395" s="32"/>
      <c r="E395" s="67"/>
      <c r="F395" s="68"/>
      <c r="G395" s="69">
        <f>IFERROR(VLOOKUP($B395,'Dinh muc'!$A$2:$I$40,5,0),0)</f>
        <v>0</v>
      </c>
      <c r="H395" s="70">
        <f>(C395*24)/(SUM($C$387:$C$396)*24)</f>
        <v>0</v>
      </c>
      <c r="I395" s="84">
        <f t="shared" si="119"/>
        <v>0</v>
      </c>
      <c r="J395" s="68"/>
      <c r="K395" s="71">
        <f>IFERROR(VLOOKUP($B395,'Dinh muc'!$A$2:$I$40,9,0),0)</f>
        <v>0</v>
      </c>
      <c r="L395" s="71">
        <f t="shared" si="107"/>
        <v>0</v>
      </c>
      <c r="M395" s="2"/>
      <c r="N395" s="68"/>
      <c r="O395" s="85"/>
      <c r="P395" s="85"/>
      <c r="Q395" s="85"/>
      <c r="R395" s="77"/>
      <c r="S395" s="68"/>
      <c r="T395" s="77"/>
      <c r="U395" s="95"/>
      <c r="V395" s="77"/>
      <c r="W395" s="77"/>
      <c r="X395" s="77"/>
      <c r="Y395" s="47"/>
    </row>
    <row r="396" spans="1:25" x14ac:dyDescent="0.35">
      <c r="A396" s="46"/>
      <c r="B396" s="2" t="s">
        <v>82</v>
      </c>
      <c r="C396" s="3">
        <v>4.1666666666666664E-2</v>
      </c>
      <c r="D396" s="32"/>
      <c r="E396" s="67"/>
      <c r="F396" s="68"/>
      <c r="G396" s="69">
        <f>IFERROR(VLOOKUP($B396,'Dinh muc'!$A$2:$I$40,5,0),0)</f>
        <v>-20</v>
      </c>
      <c r="H396" s="70">
        <f>(C396*24)/(SUM($C$387:$C$396)*24)</f>
        <v>1.8292682926829267E-2</v>
      </c>
      <c r="I396" s="84">
        <f t="shared" si="119"/>
        <v>-0.36585365853658536</v>
      </c>
      <c r="J396" s="68"/>
      <c r="K396" s="71">
        <f>IFERROR(VLOOKUP($B396,'Dinh muc'!$A$2:$I$40,9,0),0)</f>
        <v>0</v>
      </c>
      <c r="L396" s="71">
        <f t="shared" si="107"/>
        <v>0</v>
      </c>
      <c r="M396" s="2"/>
      <c r="N396" s="68"/>
      <c r="O396" s="85"/>
      <c r="P396" s="85"/>
      <c r="Q396" s="85"/>
      <c r="R396" s="77"/>
      <c r="S396" s="68"/>
      <c r="T396" s="77"/>
      <c r="U396" s="95"/>
      <c r="V396" s="77"/>
      <c r="W396" s="77"/>
      <c r="X396" s="77"/>
      <c r="Y396" s="47"/>
    </row>
    <row r="397" spans="1:25" x14ac:dyDescent="0.35">
      <c r="A397" s="35"/>
      <c r="B397" s="8"/>
      <c r="C397" s="9"/>
      <c r="D397" s="33"/>
      <c r="E397" s="10"/>
      <c r="F397" s="30"/>
      <c r="G397" s="11"/>
      <c r="H397" s="27"/>
      <c r="I397" s="29">
        <f>SUM(I387:I396)</f>
        <v>9.1996951219512191</v>
      </c>
      <c r="J397" s="30"/>
      <c r="K397" s="30">
        <f>AVERAGE(K387:K396)</f>
        <v>3.8374999999999999</v>
      </c>
      <c r="L397" s="30">
        <f>AVERAGE(L387:L396)</f>
        <v>3.8374999999999999</v>
      </c>
      <c r="M397" s="29">
        <f>(L397*8)/K397</f>
        <v>8</v>
      </c>
      <c r="N397" s="30"/>
      <c r="O397" s="30">
        <f>AVERAGE(O387)</f>
        <v>4.5087090796788161</v>
      </c>
      <c r="P397" s="30">
        <f>AVERAGE(P387)</f>
        <v>4.9006211180124213</v>
      </c>
      <c r="Q397" s="29">
        <f>(O397*8)/P397</f>
        <v>7.3602247080181451</v>
      </c>
      <c r="R397" s="98"/>
      <c r="S397" s="79"/>
      <c r="T397" s="79"/>
      <c r="U397" s="93"/>
      <c r="V397" s="98"/>
      <c r="W397" s="79"/>
      <c r="X397" s="79"/>
      <c r="Y397" s="61"/>
    </row>
    <row r="398" spans="1:25" x14ac:dyDescent="0.35">
      <c r="A398" s="46" t="s">
        <v>8</v>
      </c>
      <c r="B398" s="2" t="s">
        <v>6</v>
      </c>
      <c r="C398" s="3">
        <v>3.4826388888888888</v>
      </c>
      <c r="D398" s="32">
        <v>1086.5833333333333</v>
      </c>
      <c r="E398" s="67">
        <v>291</v>
      </c>
      <c r="F398" s="68">
        <v>0.5</v>
      </c>
      <c r="G398" s="69">
        <f>IFERROR(VLOOKUP($B398,'Dinh muc'!$A$2:$I$40,5,0),0)</f>
        <v>9</v>
      </c>
      <c r="H398" s="70">
        <f>(C398*24)/(SUM($C$398:$C$402)*24)</f>
        <v>1</v>
      </c>
      <c r="I398" s="84">
        <f t="shared" ref="I398" si="122">G398*H398</f>
        <v>9</v>
      </c>
      <c r="J398" s="68">
        <v>0.25</v>
      </c>
      <c r="K398" s="71">
        <f>IFERROR(VLOOKUP($B398,'Dinh muc'!$A$2:$I$40,9,0),0)</f>
        <v>13</v>
      </c>
      <c r="L398" s="71">
        <f t="shared" si="107"/>
        <v>13</v>
      </c>
      <c r="M398" s="2"/>
      <c r="N398" s="68">
        <v>0.25</v>
      </c>
      <c r="O398" s="85">
        <v>2.7310344827586208</v>
      </c>
      <c r="P398" s="85"/>
      <c r="Q398" s="85">
        <f>(SUM(E398:E402)/(SUM(C398:C401)*24))</f>
        <v>3.4815553339980063</v>
      </c>
      <c r="R398" s="77">
        <f>F398*I403+J398*M403+N398*Q403</f>
        <v>7.9773114240208205</v>
      </c>
      <c r="S398" s="76">
        <v>0.7</v>
      </c>
      <c r="T398" s="32">
        <f>T365</f>
        <v>115384.61538461536</v>
      </c>
      <c r="U398" s="91">
        <f>IFERROR(VLOOKUP(A398,'chi phi XCG'!$A$2:$C$39,3,0),0)</f>
        <v>79718.458653846159</v>
      </c>
      <c r="V398" s="83">
        <f>(T398*8)/U398</f>
        <v>11.57921187469406</v>
      </c>
      <c r="W398" s="77">
        <v>0.3</v>
      </c>
      <c r="X398" s="78">
        <f>R398*S398+V398*W398</f>
        <v>9.0578815592227926</v>
      </c>
      <c r="Y398" s="102" t="str">
        <f>IF(X398&gt;=10,"A++",IF(X398&gt;=9,"A+",IF(X398&gt;=8,"A",IF(X398&gt;=7,"B","C"))))</f>
        <v>A+</v>
      </c>
    </row>
    <row r="399" spans="1:25" x14ac:dyDescent="0.35">
      <c r="A399" s="46"/>
      <c r="B399" s="2"/>
      <c r="C399" s="3"/>
      <c r="D399" s="32"/>
      <c r="E399" s="67"/>
      <c r="F399" s="68"/>
      <c r="G399" s="69">
        <f>IFERROR(VLOOKUP($B399,'Dinh muc'!$A$2:$I$40,5,0),0)</f>
        <v>0</v>
      </c>
      <c r="H399" s="70">
        <f t="shared" ref="H399:H402" si="123">(C399*24)/(SUM($C$398:$C$402)*24)</f>
        <v>0</v>
      </c>
      <c r="I399" s="84">
        <f t="shared" ref="I399:I402" si="124">G399*H399</f>
        <v>0</v>
      </c>
      <c r="J399" s="68"/>
      <c r="K399" s="71">
        <f>IFERROR(VLOOKUP($B399,'Dinh muc'!$A$2:$I$40,9,0),0)</f>
        <v>0</v>
      </c>
      <c r="L399" s="71">
        <f t="shared" si="107"/>
        <v>0</v>
      </c>
      <c r="M399" s="2"/>
      <c r="N399" s="68"/>
      <c r="O399" s="85"/>
      <c r="P399" s="85"/>
      <c r="Q399" s="85"/>
      <c r="R399" s="77"/>
      <c r="S399" s="68"/>
      <c r="T399" s="77"/>
      <c r="U399" s="95"/>
      <c r="V399" s="77"/>
      <c r="W399" s="77"/>
      <c r="X399" s="77"/>
      <c r="Y399" s="102"/>
    </row>
    <row r="400" spans="1:25" x14ac:dyDescent="0.35">
      <c r="A400" s="46"/>
      <c r="B400" s="2"/>
      <c r="C400" s="3"/>
      <c r="D400" s="32"/>
      <c r="E400" s="67"/>
      <c r="F400" s="68"/>
      <c r="G400" s="69">
        <f>IFERROR(VLOOKUP($B400,'Dinh muc'!$A$2:$I$40,5,0),0)</f>
        <v>0</v>
      </c>
      <c r="H400" s="70">
        <f t="shared" si="123"/>
        <v>0</v>
      </c>
      <c r="I400" s="84">
        <f t="shared" si="124"/>
        <v>0</v>
      </c>
      <c r="J400" s="68"/>
      <c r="K400" s="71">
        <f>IFERROR(VLOOKUP($B400,'Dinh muc'!$A$2:$I$40,9,0),0)</f>
        <v>0</v>
      </c>
      <c r="L400" s="71">
        <f t="shared" si="107"/>
        <v>0</v>
      </c>
      <c r="M400" s="2"/>
      <c r="N400" s="68"/>
      <c r="O400" s="85"/>
      <c r="P400" s="85"/>
      <c r="Q400" s="85"/>
      <c r="R400" s="77"/>
      <c r="S400" s="68"/>
      <c r="T400" s="77"/>
      <c r="U400" s="95"/>
      <c r="V400" s="77"/>
      <c r="W400" s="77"/>
      <c r="X400" s="77"/>
      <c r="Y400" s="102"/>
    </row>
    <row r="401" spans="1:25" x14ac:dyDescent="0.35">
      <c r="A401" s="46"/>
      <c r="B401" s="2"/>
      <c r="C401" s="3"/>
      <c r="D401" s="32"/>
      <c r="E401" s="67"/>
      <c r="F401" s="68"/>
      <c r="G401" s="69">
        <f>IFERROR(VLOOKUP($B401,'Dinh muc'!$A$2:$I$40,5,0),0)</f>
        <v>0</v>
      </c>
      <c r="H401" s="70">
        <f t="shared" si="123"/>
        <v>0</v>
      </c>
      <c r="I401" s="84">
        <f t="shared" si="124"/>
        <v>0</v>
      </c>
      <c r="J401" s="68"/>
      <c r="K401" s="71">
        <f>IFERROR(VLOOKUP($B401,'Dinh muc'!$A$2:$I$40,9,0),0)</f>
        <v>0</v>
      </c>
      <c r="L401" s="71">
        <f t="shared" si="107"/>
        <v>0</v>
      </c>
      <c r="M401" s="2"/>
      <c r="N401" s="68"/>
      <c r="O401" s="85"/>
      <c r="P401" s="85"/>
      <c r="Q401" s="85"/>
      <c r="R401" s="77"/>
      <c r="S401" s="68"/>
      <c r="T401" s="77"/>
      <c r="U401" s="95"/>
      <c r="V401" s="77"/>
      <c r="W401" s="77"/>
      <c r="X401" s="77"/>
      <c r="Y401" s="102"/>
    </row>
    <row r="402" spans="1:25" x14ac:dyDescent="0.35">
      <c r="A402" s="46"/>
      <c r="B402" s="2" t="s">
        <v>82</v>
      </c>
      <c r="C402" s="3"/>
      <c r="D402" s="32"/>
      <c r="E402" s="67"/>
      <c r="F402" s="68"/>
      <c r="G402" s="69">
        <f>IFERROR(VLOOKUP($B402,'Dinh muc'!$A$2:$I$40,5,0),0)</f>
        <v>-20</v>
      </c>
      <c r="H402" s="70">
        <f t="shared" si="123"/>
        <v>0</v>
      </c>
      <c r="I402" s="84">
        <f t="shared" si="124"/>
        <v>0</v>
      </c>
      <c r="J402" s="68"/>
      <c r="K402" s="71">
        <f>IFERROR(VLOOKUP($B402,'Dinh muc'!$A$2:$I$40,9,0),0)</f>
        <v>0</v>
      </c>
      <c r="L402" s="71">
        <f t="shared" si="107"/>
        <v>0</v>
      </c>
      <c r="M402" s="2"/>
      <c r="N402" s="68"/>
      <c r="O402" s="85"/>
      <c r="P402" s="85"/>
      <c r="Q402" s="85"/>
      <c r="R402" s="77"/>
      <c r="S402" s="68"/>
      <c r="T402" s="77"/>
      <c r="U402" s="95"/>
      <c r="V402" s="77"/>
      <c r="W402" s="77"/>
      <c r="X402" s="77"/>
      <c r="Y402" s="102"/>
    </row>
    <row r="403" spans="1:25" x14ac:dyDescent="0.35">
      <c r="A403" s="35"/>
      <c r="B403" s="8"/>
      <c r="C403" s="9"/>
      <c r="D403" s="33"/>
      <c r="E403" s="10"/>
      <c r="F403" s="30"/>
      <c r="G403" s="11"/>
      <c r="H403" s="27"/>
      <c r="I403" s="29">
        <f>SUM(I398:I402)</f>
        <v>9</v>
      </c>
      <c r="J403" s="30"/>
      <c r="K403" s="30">
        <f>AVERAGE(K398:K402)</f>
        <v>2.6</v>
      </c>
      <c r="L403" s="30">
        <f>AVERAGE(L398:L402)</f>
        <v>2.6</v>
      </c>
      <c r="M403" s="29">
        <f>(L403*8)/K403</f>
        <v>8</v>
      </c>
      <c r="N403" s="30"/>
      <c r="O403" s="30">
        <f>AVERAGE(O393:O402)</f>
        <v>3.6198717812187184</v>
      </c>
      <c r="P403" s="30">
        <f>AVERAGE(P393:P402)</f>
        <v>4.9006211180124213</v>
      </c>
      <c r="Q403" s="29">
        <f>(O403*8)/P403</f>
        <v>5.9092456960832829</v>
      </c>
      <c r="R403" s="98"/>
      <c r="S403" s="79"/>
      <c r="T403" s="79"/>
      <c r="U403" s="93"/>
      <c r="V403" s="98"/>
      <c r="W403" s="79"/>
      <c r="X403" s="79"/>
      <c r="Y403" s="61"/>
    </row>
  </sheetData>
  <mergeCells count="8">
    <mergeCell ref="F3:I3"/>
    <mergeCell ref="A1:E1"/>
    <mergeCell ref="Y398:Y402"/>
    <mergeCell ref="R3:S3"/>
    <mergeCell ref="T3:W3"/>
    <mergeCell ref="N3:Q3"/>
    <mergeCell ref="J3:M3"/>
    <mergeCell ref="Y347:Y3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workbookViewId="0">
      <selection activeCell="A2" sqref="A2"/>
    </sheetView>
  </sheetViews>
  <sheetFormatPr defaultColWidth="10.83203125" defaultRowHeight="15.5" x14ac:dyDescent="0.35"/>
  <cols>
    <col min="1" max="1" width="39.5" style="42" bestFit="1" customWidth="1"/>
    <col min="2" max="2" width="10.83203125" style="43"/>
    <col min="3" max="16384" width="10.83203125" style="42"/>
  </cols>
  <sheetData>
    <row r="3" spans="1:3" ht="17.5" x14ac:dyDescent="0.35">
      <c r="A3" s="46" t="s">
        <v>19</v>
      </c>
      <c r="B3" s="40">
        <v>8.0399999999999991</v>
      </c>
      <c r="C3" s="41" t="str">
        <f>IF(B3&gt;=10,"A++",IF(B3&gt;=9,"A+",IF(B3&gt;=8,"A",IF(B3&gt;=7,"B","C"))))</f>
        <v>A</v>
      </c>
    </row>
    <row r="4" spans="1:3" ht="17.5" x14ac:dyDescent="0.35">
      <c r="A4" s="46" t="s">
        <v>20</v>
      </c>
      <c r="B4" s="40">
        <v>6.12</v>
      </c>
      <c r="C4" s="41" t="str">
        <f t="shared" ref="C4:C19" si="0">IF(B4&gt;=10,"A++",IF(B4&gt;=9,"A+",IF(B4&gt;=8,"A",IF(B4&gt;=7,"B","C"))))</f>
        <v>C</v>
      </c>
    </row>
    <row r="5" spans="1:3" ht="17.5" x14ac:dyDescent="0.35">
      <c r="A5" s="46" t="s">
        <v>21</v>
      </c>
      <c r="B5" s="40">
        <v>6.87</v>
      </c>
      <c r="C5" s="41" t="str">
        <f t="shared" si="0"/>
        <v>C</v>
      </c>
    </row>
    <row r="6" spans="1:3" ht="17.5" x14ac:dyDescent="0.35">
      <c r="A6" s="46" t="s">
        <v>22</v>
      </c>
      <c r="B6" s="40">
        <v>8.25</v>
      </c>
      <c r="C6" s="41" t="str">
        <f t="shared" si="0"/>
        <v>A</v>
      </c>
    </row>
    <row r="7" spans="1:3" ht="17.5" x14ac:dyDescent="0.35">
      <c r="A7" s="46" t="s">
        <v>25</v>
      </c>
      <c r="B7" s="40">
        <v>8.7899999999999991</v>
      </c>
      <c r="C7" s="41" t="str">
        <f t="shared" si="0"/>
        <v>A</v>
      </c>
    </row>
    <row r="8" spans="1:3" ht="17.5" x14ac:dyDescent="0.35">
      <c r="A8" s="46" t="s">
        <v>26</v>
      </c>
      <c r="B8" s="40">
        <v>8.07</v>
      </c>
      <c r="C8" s="41" t="str">
        <f t="shared" si="0"/>
        <v>A</v>
      </c>
    </row>
    <row r="9" spans="1:3" ht="17.5" x14ac:dyDescent="0.35">
      <c r="A9" s="46" t="s">
        <v>27</v>
      </c>
      <c r="B9" s="40">
        <v>6.5</v>
      </c>
      <c r="C9" s="41" t="str">
        <f t="shared" si="0"/>
        <v>C</v>
      </c>
    </row>
    <row r="10" spans="1:3" ht="17.5" x14ac:dyDescent="0.35">
      <c r="A10" s="46" t="s">
        <v>28</v>
      </c>
      <c r="B10" s="40">
        <v>7.71</v>
      </c>
      <c r="C10" s="41" t="str">
        <f t="shared" si="0"/>
        <v>B</v>
      </c>
    </row>
    <row r="11" spans="1:3" ht="17.5" x14ac:dyDescent="0.35">
      <c r="A11" s="46" t="s">
        <v>48</v>
      </c>
      <c r="B11" s="40">
        <v>7.93</v>
      </c>
      <c r="C11" s="41" t="str">
        <f t="shared" si="0"/>
        <v>B</v>
      </c>
    </row>
    <row r="12" spans="1:3" ht="17.5" x14ac:dyDescent="0.35">
      <c r="A12" s="46" t="s">
        <v>29</v>
      </c>
      <c r="B12" s="40">
        <v>6.55</v>
      </c>
      <c r="C12" s="41" t="str">
        <f t="shared" si="0"/>
        <v>C</v>
      </c>
    </row>
    <row r="13" spans="1:3" ht="17.5" x14ac:dyDescent="0.35">
      <c r="A13" s="46" t="s">
        <v>30</v>
      </c>
      <c r="B13" s="40">
        <v>7.92</v>
      </c>
      <c r="C13" s="41" t="str">
        <f t="shared" si="0"/>
        <v>B</v>
      </c>
    </row>
    <row r="14" spans="1:3" ht="17.5" x14ac:dyDescent="0.35">
      <c r="A14" s="46" t="s">
        <v>31</v>
      </c>
      <c r="B14" s="40">
        <v>9.26</v>
      </c>
      <c r="C14" s="41" t="str">
        <f t="shared" si="0"/>
        <v>A+</v>
      </c>
    </row>
    <row r="15" spans="1:3" ht="17.5" x14ac:dyDescent="0.35">
      <c r="A15" s="46" t="s">
        <v>23</v>
      </c>
      <c r="B15" s="40">
        <v>8.82</v>
      </c>
      <c r="C15" s="41" t="str">
        <f t="shared" si="0"/>
        <v>A</v>
      </c>
    </row>
    <row r="16" spans="1:3" ht="17.5" x14ac:dyDescent="0.35">
      <c r="A16" s="46" t="s">
        <v>24</v>
      </c>
      <c r="B16" s="40">
        <v>6.38</v>
      </c>
      <c r="C16" s="41" t="str">
        <f t="shared" si="0"/>
        <v>C</v>
      </c>
    </row>
    <row r="17" spans="1:3" ht="17.5" x14ac:dyDescent="0.35">
      <c r="A17" s="46" t="s">
        <v>32</v>
      </c>
      <c r="B17" s="40">
        <v>8.82</v>
      </c>
      <c r="C17" s="41" t="str">
        <f t="shared" si="0"/>
        <v>A</v>
      </c>
    </row>
    <row r="18" spans="1:3" ht="17.5" x14ac:dyDescent="0.35">
      <c r="A18" s="46" t="s">
        <v>33</v>
      </c>
      <c r="B18" s="40">
        <v>8.18</v>
      </c>
      <c r="C18" s="41" t="str">
        <f t="shared" si="0"/>
        <v>A</v>
      </c>
    </row>
    <row r="19" spans="1:3" ht="17.5" x14ac:dyDescent="0.35">
      <c r="A19" s="46" t="s">
        <v>34</v>
      </c>
      <c r="B19" s="40">
        <v>7.84</v>
      </c>
      <c r="C19" s="41" t="str">
        <f t="shared" si="0"/>
        <v>B</v>
      </c>
    </row>
    <row r="22" spans="1:3" x14ac:dyDescent="0.35">
      <c r="A22" s="39" t="s">
        <v>0</v>
      </c>
      <c r="B22" s="40">
        <v>8.59</v>
      </c>
      <c r="C22" s="41" t="str">
        <f t="shared" ref="C22:C35" si="1">IF(B22&gt;=10,"A++",IF(B22&gt;=9,"A+",IF(B22&gt;=8,"A",IF(B22&gt;=7,"B","C"))))</f>
        <v>A</v>
      </c>
    </row>
    <row r="23" spans="1:3" ht="17.5" x14ac:dyDescent="0.35">
      <c r="A23" s="46" t="s">
        <v>96</v>
      </c>
      <c r="B23" s="40">
        <v>6.9</v>
      </c>
      <c r="C23" s="41" t="str">
        <f t="shared" si="1"/>
        <v>C</v>
      </c>
    </row>
    <row r="24" spans="1:3" ht="17.5" x14ac:dyDescent="0.35">
      <c r="A24" s="46" t="s">
        <v>14</v>
      </c>
      <c r="B24" s="40">
        <v>7.57</v>
      </c>
      <c r="C24" s="41" t="str">
        <f t="shared" si="1"/>
        <v>B</v>
      </c>
    </row>
    <row r="25" spans="1:3" ht="17.5" x14ac:dyDescent="0.35">
      <c r="A25" s="46" t="s">
        <v>1</v>
      </c>
      <c r="B25" s="40">
        <v>7.72</v>
      </c>
      <c r="C25" s="41" t="str">
        <f t="shared" si="1"/>
        <v>B</v>
      </c>
    </row>
    <row r="26" spans="1:3" ht="17.5" x14ac:dyDescent="0.35">
      <c r="A26" s="46" t="s">
        <v>35</v>
      </c>
      <c r="B26" s="40">
        <v>7.1</v>
      </c>
      <c r="C26" s="41" t="str">
        <f t="shared" si="1"/>
        <v>B</v>
      </c>
    </row>
    <row r="27" spans="1:3" ht="17.5" x14ac:dyDescent="0.35">
      <c r="A27" s="46" t="s">
        <v>2</v>
      </c>
      <c r="B27" s="40">
        <v>6.7</v>
      </c>
      <c r="C27" s="41" t="str">
        <f t="shared" si="1"/>
        <v>C</v>
      </c>
    </row>
    <row r="28" spans="1:3" ht="17.5" x14ac:dyDescent="0.35">
      <c r="A28" s="46" t="s">
        <v>3</v>
      </c>
      <c r="B28" s="40">
        <v>7.73</v>
      </c>
      <c r="C28" s="41" t="str">
        <f t="shared" si="1"/>
        <v>B</v>
      </c>
    </row>
    <row r="29" spans="1:3" ht="17.5" x14ac:dyDescent="0.35">
      <c r="A29" s="46" t="s">
        <v>15</v>
      </c>
      <c r="B29" s="40">
        <v>6.97</v>
      </c>
      <c r="C29" s="41" t="str">
        <f t="shared" si="1"/>
        <v>C</v>
      </c>
    </row>
    <row r="30" spans="1:3" ht="17.5" x14ac:dyDescent="0.35">
      <c r="A30" s="46" t="s">
        <v>10</v>
      </c>
      <c r="B30" s="40">
        <v>7.11</v>
      </c>
      <c r="C30" s="41" t="str">
        <f t="shared" si="1"/>
        <v>B</v>
      </c>
    </row>
    <row r="31" spans="1:3" ht="17.5" x14ac:dyDescent="0.35">
      <c r="A31" s="46" t="s">
        <v>12</v>
      </c>
      <c r="B31" s="40">
        <v>6.92</v>
      </c>
      <c r="C31" s="41" t="str">
        <f t="shared" si="1"/>
        <v>C</v>
      </c>
    </row>
    <row r="32" spans="1:3" ht="17.5" x14ac:dyDescent="0.35">
      <c r="A32" s="46" t="s">
        <v>16</v>
      </c>
      <c r="B32" s="40">
        <v>7.32</v>
      </c>
      <c r="C32" s="41" t="str">
        <f t="shared" si="1"/>
        <v>B</v>
      </c>
    </row>
    <row r="33" spans="1:3" ht="17.5" x14ac:dyDescent="0.35">
      <c r="A33" s="46" t="s">
        <v>59</v>
      </c>
      <c r="B33" s="40">
        <v>7.51</v>
      </c>
      <c r="C33" s="41" t="str">
        <f t="shared" si="1"/>
        <v>B</v>
      </c>
    </row>
    <row r="34" spans="1:3" ht="17.5" x14ac:dyDescent="0.35">
      <c r="A34" s="46" t="s">
        <v>17</v>
      </c>
      <c r="B34" s="40">
        <v>7.31</v>
      </c>
      <c r="C34" s="41" t="str">
        <f t="shared" si="1"/>
        <v>B</v>
      </c>
    </row>
    <row r="35" spans="1:3" ht="17.5" x14ac:dyDescent="0.35">
      <c r="A35" s="46" t="s">
        <v>95</v>
      </c>
      <c r="B35" s="40">
        <v>7.31</v>
      </c>
      <c r="C35" s="41" t="str">
        <f t="shared" si="1"/>
        <v>B</v>
      </c>
    </row>
    <row r="38" spans="1:3" ht="17.5" x14ac:dyDescent="0.35">
      <c r="A38" s="46" t="s">
        <v>7</v>
      </c>
      <c r="B38" s="40">
        <v>7.83</v>
      </c>
      <c r="C38" s="41" t="str">
        <f t="shared" ref="C38:C42" si="2">IF(B38&gt;=10,"A++",IF(B38&gt;=9,"A+",IF(B38&gt;=8,"A",IF(B38&gt;=7,"B","C"))))</f>
        <v>B</v>
      </c>
    </row>
    <row r="39" spans="1:3" ht="17.5" x14ac:dyDescent="0.35">
      <c r="A39" s="46" t="s">
        <v>11</v>
      </c>
      <c r="B39" s="40">
        <v>7.5</v>
      </c>
      <c r="C39" s="41" t="str">
        <f t="shared" si="2"/>
        <v>B</v>
      </c>
    </row>
    <row r="40" spans="1:3" ht="17.5" x14ac:dyDescent="0.35">
      <c r="A40" s="46" t="s">
        <v>5</v>
      </c>
      <c r="B40" s="40">
        <v>6.62</v>
      </c>
      <c r="C40" s="41" t="str">
        <f t="shared" si="2"/>
        <v>C</v>
      </c>
    </row>
    <row r="41" spans="1:3" ht="17.5" x14ac:dyDescent="0.35">
      <c r="A41" s="46" t="s">
        <v>99</v>
      </c>
      <c r="B41" s="40">
        <v>8.44</v>
      </c>
      <c r="C41" s="41" t="str">
        <f t="shared" si="2"/>
        <v>A</v>
      </c>
    </row>
    <row r="42" spans="1:3" ht="17.5" x14ac:dyDescent="0.35">
      <c r="A42" s="46" t="s">
        <v>8</v>
      </c>
      <c r="B42" s="40">
        <v>7.98</v>
      </c>
      <c r="C42" s="41" t="str">
        <f t="shared" si="2"/>
        <v>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zoomScale="115" workbookViewId="0">
      <selection activeCell="I10" sqref="I10"/>
    </sheetView>
  </sheetViews>
  <sheetFormatPr defaultColWidth="8.83203125" defaultRowHeight="15.5" x14ac:dyDescent="0.35"/>
  <cols>
    <col min="1" max="1" width="40.1640625" bestFit="1" customWidth="1"/>
    <col min="2" max="5" width="8" customWidth="1"/>
    <col min="6" max="7" width="8" style="22" customWidth="1"/>
    <col min="8" max="9" width="8" customWidth="1"/>
    <col min="10" max="10" width="11.6640625" style="52" bestFit="1" customWidth="1"/>
    <col min="11" max="11" width="11.5" style="52" bestFit="1" customWidth="1"/>
    <col min="12" max="12" width="11.1640625" style="52" customWidth="1"/>
    <col min="13" max="13" width="11.5" style="22" bestFit="1" customWidth="1"/>
    <col min="14" max="15" width="11.5" bestFit="1" customWidth="1"/>
  </cols>
  <sheetData>
    <row r="2" spans="1:15" x14ac:dyDescent="0.35">
      <c r="A2" s="107" t="s">
        <v>68</v>
      </c>
      <c r="B2" s="106" t="s">
        <v>106</v>
      </c>
      <c r="C2" s="106"/>
      <c r="D2" s="106"/>
      <c r="E2" s="106"/>
      <c r="F2" s="108" t="s">
        <v>107</v>
      </c>
      <c r="G2" s="108"/>
      <c r="H2" s="108"/>
      <c r="I2" s="108"/>
      <c r="J2" s="108" t="s">
        <v>104</v>
      </c>
      <c r="K2" s="108"/>
      <c r="L2" s="108"/>
      <c r="M2" s="108"/>
      <c r="N2" s="108"/>
      <c r="O2" s="108"/>
    </row>
    <row r="3" spans="1:15" x14ac:dyDescent="0.35">
      <c r="A3" s="107"/>
      <c r="B3" s="18" t="s">
        <v>73</v>
      </c>
      <c r="C3" s="18" t="s">
        <v>74</v>
      </c>
      <c r="D3" s="18" t="s">
        <v>75</v>
      </c>
      <c r="E3" s="18" t="s">
        <v>76</v>
      </c>
      <c r="F3" s="20" t="s">
        <v>73</v>
      </c>
      <c r="G3" s="20" t="s">
        <v>74</v>
      </c>
      <c r="H3" s="17" t="s">
        <v>75</v>
      </c>
      <c r="I3" s="17" t="s">
        <v>76</v>
      </c>
      <c r="J3" s="51" t="s">
        <v>114</v>
      </c>
      <c r="K3" s="51" t="s">
        <v>115</v>
      </c>
      <c r="L3" s="51" t="s">
        <v>116</v>
      </c>
      <c r="M3" s="20" t="s">
        <v>74</v>
      </c>
      <c r="N3" s="17" t="s">
        <v>75</v>
      </c>
      <c r="O3" s="17" t="s">
        <v>76</v>
      </c>
    </row>
    <row r="4" spans="1:15" x14ac:dyDescent="0.35">
      <c r="A4" s="12" t="s">
        <v>44</v>
      </c>
      <c r="B4" s="15">
        <v>7</v>
      </c>
      <c r="C4" s="15">
        <v>7</v>
      </c>
      <c r="D4" s="15"/>
      <c r="E4" s="15">
        <v>7</v>
      </c>
      <c r="F4" s="21">
        <f>(33/8)*3</f>
        <v>12.375</v>
      </c>
      <c r="G4" s="21">
        <f>33/8</f>
        <v>4.125</v>
      </c>
      <c r="H4" s="15"/>
      <c r="I4" s="21">
        <f>(33/8)*3</f>
        <v>12.375</v>
      </c>
      <c r="J4" s="56">
        <f>(35000000)/26/7</f>
        <v>192307.69230769231</v>
      </c>
      <c r="K4" s="56">
        <f>(30000000)/26/7</f>
        <v>164835.16483516482</v>
      </c>
      <c r="L4" s="56">
        <f>J4/2</f>
        <v>96153.846153846156</v>
      </c>
      <c r="M4" s="56">
        <f>(30000000)/26/7</f>
        <v>164835.16483516482</v>
      </c>
      <c r="N4" s="56">
        <f>(30000000)/26/7</f>
        <v>164835.16483516482</v>
      </c>
      <c r="O4" s="56">
        <f>(30000000)/26/7</f>
        <v>164835.16483516482</v>
      </c>
    </row>
    <row r="5" spans="1:15" x14ac:dyDescent="0.35">
      <c r="A5" s="12" t="s">
        <v>13</v>
      </c>
      <c r="B5" s="15"/>
      <c r="C5" s="15"/>
      <c r="D5" s="15">
        <v>7</v>
      </c>
      <c r="E5" s="15"/>
      <c r="F5" s="21"/>
      <c r="G5" s="21"/>
      <c r="H5" s="21">
        <f>(33/8)*3</f>
        <v>12.375</v>
      </c>
      <c r="I5" s="15"/>
      <c r="J5" s="57"/>
      <c r="K5" s="57"/>
      <c r="L5" s="57"/>
      <c r="M5" s="57"/>
      <c r="N5" s="57"/>
      <c r="O5" s="57"/>
    </row>
    <row r="6" spans="1:15" x14ac:dyDescent="0.35">
      <c r="A6" s="13" t="s">
        <v>37</v>
      </c>
      <c r="B6" s="15">
        <v>8</v>
      </c>
      <c r="C6" s="15"/>
      <c r="D6" s="15"/>
      <c r="E6" s="15"/>
      <c r="F6" s="21">
        <f>1000/8</f>
        <v>125</v>
      </c>
      <c r="G6" s="21"/>
      <c r="H6" s="15"/>
      <c r="I6" s="15"/>
      <c r="J6" s="57"/>
      <c r="K6" s="57"/>
      <c r="L6" s="57"/>
      <c r="M6" s="57"/>
      <c r="N6" s="57"/>
      <c r="O6" s="57"/>
    </row>
    <row r="7" spans="1:15" x14ac:dyDescent="0.35">
      <c r="A7" s="13" t="s">
        <v>38</v>
      </c>
      <c r="B7" s="15">
        <v>7</v>
      </c>
      <c r="C7" s="15"/>
      <c r="D7" s="15"/>
      <c r="E7" s="15"/>
      <c r="F7" s="21">
        <f>1000/8</f>
        <v>125</v>
      </c>
      <c r="G7" s="21"/>
      <c r="H7" s="15"/>
      <c r="I7" s="15"/>
      <c r="J7" s="57"/>
      <c r="K7" s="57"/>
      <c r="L7" s="57"/>
      <c r="M7" s="57"/>
      <c r="N7" s="57"/>
      <c r="O7" s="57"/>
    </row>
    <row r="8" spans="1:15" x14ac:dyDescent="0.35">
      <c r="A8" s="13" t="s">
        <v>39</v>
      </c>
      <c r="B8" s="15">
        <v>6</v>
      </c>
      <c r="C8" s="15"/>
      <c r="D8" s="15"/>
      <c r="E8" s="15"/>
      <c r="F8" s="21">
        <f>1000/8</f>
        <v>125</v>
      </c>
      <c r="G8" s="21"/>
      <c r="H8" s="15"/>
      <c r="I8" s="15"/>
      <c r="J8" s="57"/>
      <c r="K8" s="57"/>
      <c r="L8" s="57"/>
      <c r="M8" s="57"/>
      <c r="N8" s="57"/>
      <c r="O8" s="57"/>
    </row>
    <row r="9" spans="1:15" x14ac:dyDescent="0.35">
      <c r="A9" s="12" t="s">
        <v>43</v>
      </c>
      <c r="B9" s="15">
        <v>7</v>
      </c>
      <c r="C9" s="15">
        <v>7</v>
      </c>
      <c r="D9" s="15"/>
      <c r="E9" s="15">
        <v>7</v>
      </c>
      <c r="F9" s="21">
        <f>(33/8)*3</f>
        <v>12.375</v>
      </c>
      <c r="G9" s="21">
        <f>33/8</f>
        <v>4.125</v>
      </c>
      <c r="H9" s="15"/>
      <c r="I9" s="21">
        <f>(33/8)*3</f>
        <v>12.375</v>
      </c>
      <c r="J9" s="57"/>
      <c r="K9" s="57"/>
      <c r="L9" s="57"/>
      <c r="M9" s="57"/>
      <c r="N9" s="57"/>
      <c r="O9" s="57"/>
    </row>
    <row r="10" spans="1:15" x14ac:dyDescent="0.35">
      <c r="A10" s="14" t="s">
        <v>9</v>
      </c>
      <c r="B10" s="15">
        <v>7</v>
      </c>
      <c r="C10" s="15"/>
      <c r="D10" s="15"/>
      <c r="E10" s="15"/>
      <c r="F10" s="21">
        <f>320/8</f>
        <v>40</v>
      </c>
      <c r="G10" s="21"/>
      <c r="H10" s="15"/>
      <c r="I10" s="15"/>
      <c r="J10" s="57"/>
      <c r="K10" s="57"/>
      <c r="L10" s="57"/>
      <c r="M10" s="57"/>
      <c r="N10" s="57"/>
      <c r="O10" s="57"/>
    </row>
    <row r="11" spans="1:15" x14ac:dyDescent="0.35">
      <c r="A11" s="14" t="s">
        <v>61</v>
      </c>
      <c r="B11" s="15">
        <v>7</v>
      </c>
      <c r="C11" s="15">
        <v>7</v>
      </c>
      <c r="D11" s="15"/>
      <c r="E11" s="15">
        <v>7</v>
      </c>
      <c r="F11" s="21">
        <f>(33/8)*3</f>
        <v>12.375</v>
      </c>
      <c r="G11" s="21">
        <f>33/8</f>
        <v>4.125</v>
      </c>
      <c r="H11" s="15"/>
      <c r="I11" s="21">
        <f>(33/8)*3</f>
        <v>12.375</v>
      </c>
      <c r="J11" s="57"/>
      <c r="K11" s="57"/>
      <c r="L11" s="57"/>
      <c r="M11" s="57"/>
      <c r="N11" s="57"/>
      <c r="O11" s="57"/>
    </row>
    <row r="12" spans="1:15" x14ac:dyDescent="0.35">
      <c r="A12" s="12" t="s">
        <v>46</v>
      </c>
      <c r="B12" s="15">
        <v>7</v>
      </c>
      <c r="C12" s="15">
        <v>7</v>
      </c>
      <c r="D12" s="15"/>
      <c r="E12" s="15">
        <v>7</v>
      </c>
      <c r="F12" s="21">
        <f>(320/5/8)</f>
        <v>8</v>
      </c>
      <c r="G12" s="21">
        <f>(320/5/8)</f>
        <v>8</v>
      </c>
      <c r="H12" s="15"/>
      <c r="I12" s="21">
        <f>(320/5/8)</f>
        <v>8</v>
      </c>
      <c r="J12" s="57"/>
      <c r="K12" s="57"/>
      <c r="L12" s="57"/>
      <c r="M12" s="57"/>
      <c r="N12" s="57"/>
      <c r="O12" s="57"/>
    </row>
    <row r="13" spans="1:15" x14ac:dyDescent="0.35">
      <c r="A13" s="12" t="s">
        <v>56</v>
      </c>
      <c r="B13" s="15">
        <v>7</v>
      </c>
      <c r="C13" s="15">
        <v>7</v>
      </c>
      <c r="D13" s="15"/>
      <c r="E13" s="15">
        <v>7</v>
      </c>
      <c r="F13" s="21">
        <f>(33/8)*3</f>
        <v>12.375</v>
      </c>
      <c r="G13" s="21">
        <f>33/8</f>
        <v>4.125</v>
      </c>
      <c r="H13" s="15"/>
      <c r="I13" s="21">
        <f>(33/8)*3</f>
        <v>12.375</v>
      </c>
      <c r="J13" s="57"/>
      <c r="K13" s="57"/>
      <c r="L13" s="57"/>
      <c r="M13" s="57"/>
      <c r="N13" s="57"/>
      <c r="O13" s="57"/>
    </row>
    <row r="14" spans="1:15" x14ac:dyDescent="0.35">
      <c r="A14" s="12" t="s">
        <v>40</v>
      </c>
      <c r="B14" s="15">
        <v>7</v>
      </c>
      <c r="C14" s="15"/>
      <c r="D14" s="15"/>
      <c r="E14" s="15">
        <v>8</v>
      </c>
      <c r="F14" s="21">
        <f>1000/8</f>
        <v>125</v>
      </c>
      <c r="G14" s="21"/>
      <c r="H14" s="15"/>
      <c r="I14" s="21">
        <f>1000/8</f>
        <v>125</v>
      </c>
      <c r="J14" s="57"/>
      <c r="K14" s="57"/>
      <c r="L14" s="57"/>
      <c r="M14" s="57"/>
      <c r="N14" s="57"/>
      <c r="O14" s="57"/>
    </row>
    <row r="15" spans="1:15" x14ac:dyDescent="0.35">
      <c r="A15" s="13" t="s">
        <v>51</v>
      </c>
      <c r="B15" s="15">
        <v>9</v>
      </c>
      <c r="C15" s="15">
        <v>10</v>
      </c>
      <c r="D15" s="15"/>
      <c r="E15" s="15"/>
      <c r="F15" s="21">
        <f>(26/8)*3</f>
        <v>9.75</v>
      </c>
      <c r="G15" s="21">
        <f>(26/8)</f>
        <v>3.25</v>
      </c>
      <c r="H15" s="15"/>
      <c r="I15" s="15"/>
      <c r="J15" s="57"/>
      <c r="K15" s="57"/>
      <c r="L15" s="57"/>
      <c r="M15" s="57"/>
      <c r="N15" s="57"/>
      <c r="O15" s="57"/>
    </row>
    <row r="16" spans="1:15" x14ac:dyDescent="0.35">
      <c r="A16" s="13" t="s">
        <v>42</v>
      </c>
      <c r="B16" s="15">
        <v>10</v>
      </c>
      <c r="C16" s="15"/>
      <c r="D16" s="15"/>
      <c r="E16" s="15"/>
      <c r="F16" s="21">
        <f>F15</f>
        <v>9.75</v>
      </c>
      <c r="G16" s="21"/>
      <c r="H16" s="15"/>
      <c r="I16" s="15"/>
      <c r="J16" s="57"/>
      <c r="K16" s="57"/>
      <c r="L16" s="57"/>
      <c r="M16" s="57"/>
      <c r="N16" s="57"/>
      <c r="O16" s="57"/>
    </row>
    <row r="17" spans="1:15" x14ac:dyDescent="0.35">
      <c r="A17" s="13" t="s">
        <v>58</v>
      </c>
      <c r="B17" s="15">
        <v>8</v>
      </c>
      <c r="C17" s="15">
        <v>9</v>
      </c>
      <c r="D17" s="15"/>
      <c r="E17" s="15">
        <v>8</v>
      </c>
      <c r="F17" s="21">
        <f>(26/8)*3</f>
        <v>9.75</v>
      </c>
      <c r="G17" s="21">
        <f>26/8</f>
        <v>3.25</v>
      </c>
      <c r="H17" s="15"/>
      <c r="I17" s="21">
        <f>(26/8)*3</f>
        <v>9.75</v>
      </c>
      <c r="J17" s="57"/>
      <c r="K17" s="57"/>
      <c r="L17" s="57"/>
      <c r="M17" s="57"/>
      <c r="N17" s="57"/>
      <c r="O17" s="57"/>
    </row>
    <row r="18" spans="1:15" x14ac:dyDescent="0.35">
      <c r="A18" s="13" t="s">
        <v>60</v>
      </c>
      <c r="B18" s="15">
        <v>8</v>
      </c>
      <c r="C18" s="15">
        <v>8</v>
      </c>
      <c r="D18" s="15"/>
      <c r="E18" s="15">
        <v>8</v>
      </c>
      <c r="F18" s="21">
        <f>(26/8)*3</f>
        <v>9.75</v>
      </c>
      <c r="G18" s="21">
        <f>26/8</f>
        <v>3.25</v>
      </c>
      <c r="H18" s="15"/>
      <c r="I18" s="21">
        <f>(26/8)*3</f>
        <v>9.75</v>
      </c>
      <c r="J18" s="57"/>
      <c r="K18" s="57"/>
      <c r="L18" s="57"/>
      <c r="M18" s="57"/>
      <c r="N18" s="57"/>
      <c r="O18" s="57"/>
    </row>
    <row r="19" spans="1:15" x14ac:dyDescent="0.35">
      <c r="A19" s="13" t="s">
        <v>50</v>
      </c>
      <c r="B19" s="15">
        <v>8</v>
      </c>
      <c r="C19" s="15">
        <v>8</v>
      </c>
      <c r="D19" s="15"/>
      <c r="E19" s="15">
        <v>8</v>
      </c>
      <c r="F19" s="21">
        <f>(26/8)*3</f>
        <v>9.75</v>
      </c>
      <c r="G19" s="21">
        <f>26/8</f>
        <v>3.25</v>
      </c>
      <c r="H19" s="15"/>
      <c r="I19" s="21">
        <f>(26/8)*3</f>
        <v>9.75</v>
      </c>
      <c r="J19" s="57"/>
      <c r="K19" s="57"/>
      <c r="L19" s="57"/>
      <c r="M19" s="57"/>
      <c r="N19" s="57"/>
      <c r="O19" s="57"/>
    </row>
    <row r="20" spans="1:15" x14ac:dyDescent="0.35">
      <c r="A20" s="14" t="s">
        <v>47</v>
      </c>
      <c r="B20" s="15">
        <v>9</v>
      </c>
      <c r="C20" s="15">
        <v>10</v>
      </c>
      <c r="D20" s="15"/>
      <c r="E20" s="15"/>
      <c r="F20" s="21">
        <f>(26/8)*3</f>
        <v>9.75</v>
      </c>
      <c r="G20" s="21">
        <f>26/8</f>
        <v>3.25</v>
      </c>
      <c r="H20" s="15"/>
      <c r="I20" s="15"/>
      <c r="J20" s="57"/>
      <c r="K20" s="57"/>
      <c r="L20" s="57"/>
      <c r="M20" s="57"/>
      <c r="N20" s="57"/>
      <c r="O20" s="57"/>
    </row>
    <row r="21" spans="1:15" x14ac:dyDescent="0.35">
      <c r="A21" s="13" t="s">
        <v>69</v>
      </c>
      <c r="B21" s="15">
        <v>8</v>
      </c>
      <c r="C21" s="15"/>
      <c r="D21" s="15"/>
      <c r="E21" s="15"/>
      <c r="F21" s="21">
        <f>1000/8</f>
        <v>125</v>
      </c>
      <c r="G21" s="21"/>
      <c r="H21" s="15"/>
      <c r="I21" s="15"/>
      <c r="J21" s="57"/>
      <c r="K21" s="57"/>
      <c r="L21" s="57"/>
      <c r="M21" s="57"/>
      <c r="N21" s="57"/>
      <c r="O21" s="57"/>
    </row>
    <row r="22" spans="1:15" x14ac:dyDescent="0.35">
      <c r="A22" s="13" t="s">
        <v>55</v>
      </c>
      <c r="B22" s="15">
        <v>7</v>
      </c>
      <c r="C22" s="15">
        <v>7</v>
      </c>
      <c r="D22" s="15"/>
      <c r="E22" s="15">
        <v>7</v>
      </c>
      <c r="F22" s="21">
        <f t="shared" ref="F22:F24" si="0">(33/8)*3</f>
        <v>12.375</v>
      </c>
      <c r="G22" s="21">
        <f t="shared" ref="G22:G24" si="1">33/8</f>
        <v>4.125</v>
      </c>
      <c r="H22" s="15"/>
      <c r="I22" s="21">
        <f t="shared" ref="I22:I24" si="2">(33/8)*3</f>
        <v>12.375</v>
      </c>
      <c r="J22" s="57"/>
      <c r="K22" s="57"/>
      <c r="L22" s="57"/>
      <c r="M22" s="57"/>
      <c r="N22" s="57"/>
      <c r="O22" s="57"/>
    </row>
    <row r="23" spans="1:15" x14ac:dyDescent="0.35">
      <c r="A23" s="13" t="s">
        <v>70</v>
      </c>
      <c r="B23" s="15">
        <v>7</v>
      </c>
      <c r="C23" s="15">
        <v>7</v>
      </c>
      <c r="D23" s="15"/>
      <c r="E23" s="15">
        <v>7</v>
      </c>
      <c r="F23" s="21">
        <f t="shared" si="0"/>
        <v>12.375</v>
      </c>
      <c r="G23" s="21">
        <f t="shared" si="1"/>
        <v>4.125</v>
      </c>
      <c r="H23" s="15"/>
      <c r="I23" s="21">
        <f t="shared" si="2"/>
        <v>12.375</v>
      </c>
      <c r="J23" s="57"/>
      <c r="K23" s="57"/>
      <c r="L23" s="57"/>
      <c r="M23" s="57"/>
      <c r="N23" s="57"/>
      <c r="O23" s="57"/>
    </row>
    <row r="24" spans="1:15" x14ac:dyDescent="0.35">
      <c r="A24" s="13" t="s">
        <v>71</v>
      </c>
      <c r="B24" s="15">
        <v>7</v>
      </c>
      <c r="C24" s="15">
        <v>7</v>
      </c>
      <c r="D24" s="15"/>
      <c r="E24" s="15">
        <v>7</v>
      </c>
      <c r="F24" s="21">
        <f t="shared" si="0"/>
        <v>12.375</v>
      </c>
      <c r="G24" s="21">
        <f t="shared" si="1"/>
        <v>4.125</v>
      </c>
      <c r="H24" s="15"/>
      <c r="I24" s="21">
        <f t="shared" si="2"/>
        <v>12.375</v>
      </c>
      <c r="J24" s="57"/>
      <c r="K24" s="57"/>
      <c r="L24" s="57"/>
      <c r="M24" s="57"/>
      <c r="N24" s="57"/>
      <c r="O24" s="57"/>
    </row>
    <row r="25" spans="1:15" x14ac:dyDescent="0.35">
      <c r="A25" s="13" t="s">
        <v>6</v>
      </c>
      <c r="B25" s="15"/>
      <c r="C25" s="15"/>
      <c r="D25" s="15"/>
      <c r="E25" s="15">
        <v>9</v>
      </c>
      <c r="F25" s="21"/>
      <c r="G25" s="21"/>
      <c r="H25" s="15"/>
      <c r="I25" s="21">
        <f>13</f>
        <v>13</v>
      </c>
      <c r="J25" s="57"/>
      <c r="K25" s="57"/>
      <c r="L25" s="57"/>
      <c r="M25" s="57"/>
      <c r="N25" s="57"/>
      <c r="O25" s="57"/>
    </row>
    <row r="26" spans="1:15" x14ac:dyDescent="0.35">
      <c r="A26" s="12" t="s">
        <v>54</v>
      </c>
      <c r="B26" s="15"/>
      <c r="C26" s="15"/>
      <c r="D26" s="15"/>
      <c r="E26" s="15">
        <v>10</v>
      </c>
      <c r="F26" s="21"/>
      <c r="G26" s="21"/>
      <c r="H26" s="15"/>
      <c r="I26" s="23">
        <f>I25</f>
        <v>13</v>
      </c>
      <c r="J26" s="57"/>
      <c r="K26" s="57"/>
      <c r="L26" s="57"/>
      <c r="M26" s="57"/>
      <c r="N26" s="57"/>
      <c r="O26" s="57"/>
    </row>
    <row r="27" spans="1:15" x14ac:dyDescent="0.35">
      <c r="A27" s="12" t="s">
        <v>41</v>
      </c>
      <c r="B27" s="15"/>
      <c r="C27" s="15"/>
      <c r="D27" s="15"/>
      <c r="E27" s="15">
        <v>10</v>
      </c>
      <c r="F27" s="21"/>
      <c r="G27" s="21"/>
      <c r="H27" s="15"/>
      <c r="I27" s="23">
        <f>I26</f>
        <v>13</v>
      </c>
      <c r="J27" s="57"/>
      <c r="K27" s="57"/>
      <c r="L27" s="57"/>
      <c r="M27" s="57"/>
      <c r="N27" s="57"/>
      <c r="O27" s="57"/>
    </row>
    <row r="28" spans="1:15" x14ac:dyDescent="0.35">
      <c r="A28" s="12" t="s">
        <v>53</v>
      </c>
      <c r="B28" s="15">
        <v>8</v>
      </c>
      <c r="C28" s="15">
        <v>8</v>
      </c>
      <c r="D28" s="15"/>
      <c r="E28" s="15">
        <v>10</v>
      </c>
      <c r="F28" s="21">
        <f>(26/8)*2</f>
        <v>6.5</v>
      </c>
      <c r="G28" s="21">
        <f>26/8</f>
        <v>3.25</v>
      </c>
      <c r="H28" s="15"/>
      <c r="I28" s="21">
        <f>(26/8)*2</f>
        <v>6.5</v>
      </c>
      <c r="J28" s="57"/>
      <c r="K28" s="57"/>
      <c r="L28" s="57"/>
      <c r="M28" s="57"/>
      <c r="N28" s="57"/>
      <c r="O28" s="57"/>
    </row>
    <row r="29" spans="1:15" x14ac:dyDescent="0.35">
      <c r="A29" s="13" t="s">
        <v>36</v>
      </c>
      <c r="B29" s="15">
        <v>9</v>
      </c>
      <c r="C29" s="15"/>
      <c r="D29" s="15"/>
      <c r="E29" s="15"/>
      <c r="F29" s="21">
        <f>1000/8</f>
        <v>125</v>
      </c>
      <c r="G29" s="21"/>
      <c r="H29" s="15"/>
      <c r="I29" s="15"/>
      <c r="J29" s="57"/>
      <c r="K29" s="57"/>
      <c r="L29" s="57"/>
      <c r="M29" s="57"/>
      <c r="N29" s="57"/>
      <c r="O29" s="57"/>
    </row>
    <row r="30" spans="1:15" x14ac:dyDescent="0.35">
      <c r="A30" s="12" t="s">
        <v>97</v>
      </c>
      <c r="B30" s="15">
        <v>8</v>
      </c>
      <c r="C30" s="15"/>
      <c r="D30" s="15"/>
      <c r="E30" s="15"/>
      <c r="F30" s="21">
        <f>180/8</f>
        <v>22.5</v>
      </c>
      <c r="G30" s="21"/>
      <c r="H30" s="15"/>
      <c r="I30" s="15"/>
      <c r="J30" s="57"/>
      <c r="K30" s="57"/>
      <c r="L30" s="57"/>
      <c r="M30" s="57"/>
      <c r="N30" s="57"/>
      <c r="O30" s="57"/>
    </row>
    <row r="31" spans="1:15" x14ac:dyDescent="0.35">
      <c r="A31" s="12" t="s">
        <v>62</v>
      </c>
      <c r="B31" s="15">
        <v>8</v>
      </c>
      <c r="C31" s="15"/>
      <c r="D31" s="15"/>
      <c r="E31" s="15"/>
      <c r="F31" s="21">
        <f>180/8</f>
        <v>22.5</v>
      </c>
      <c r="G31" s="21"/>
      <c r="H31" s="15"/>
      <c r="I31" s="15"/>
      <c r="J31" s="57"/>
      <c r="K31" s="57"/>
      <c r="L31" s="57"/>
      <c r="M31" s="57"/>
      <c r="N31" s="57"/>
      <c r="O31" s="57"/>
    </row>
    <row r="32" spans="1:15" x14ac:dyDescent="0.35">
      <c r="A32" s="13" t="s">
        <v>52</v>
      </c>
      <c r="B32" s="15">
        <v>8</v>
      </c>
      <c r="C32" s="15">
        <v>8</v>
      </c>
      <c r="D32" s="15"/>
      <c r="E32" s="15">
        <v>8</v>
      </c>
      <c r="F32" s="21">
        <f>(26/8)*3</f>
        <v>9.75</v>
      </c>
      <c r="G32" s="21">
        <f>26/8</f>
        <v>3.25</v>
      </c>
      <c r="H32" s="15"/>
      <c r="I32" s="21">
        <f>(26/8)*3</f>
        <v>9.75</v>
      </c>
      <c r="J32" s="57"/>
      <c r="K32" s="57"/>
      <c r="L32" s="57"/>
      <c r="M32" s="57"/>
      <c r="N32" s="57"/>
      <c r="O32" s="57"/>
    </row>
    <row r="33" spans="1:15" x14ac:dyDescent="0.35">
      <c r="A33" s="13" t="s">
        <v>78</v>
      </c>
      <c r="B33" s="15">
        <v>8</v>
      </c>
      <c r="C33" s="15"/>
      <c r="D33" s="15"/>
      <c r="E33" s="15">
        <v>8</v>
      </c>
      <c r="F33" s="21">
        <f>(26/8)*3</f>
        <v>9.75</v>
      </c>
      <c r="G33" s="21"/>
      <c r="H33" s="15"/>
      <c r="I33" s="21">
        <f>(420/12.5/7)*3</f>
        <v>14.399999999999999</v>
      </c>
      <c r="J33" s="57"/>
      <c r="K33" s="57"/>
      <c r="L33" s="57"/>
      <c r="M33" s="57"/>
      <c r="N33" s="57"/>
      <c r="O33" s="57"/>
    </row>
    <row r="34" spans="1:15" x14ac:dyDescent="0.35">
      <c r="A34" s="12" t="s">
        <v>45</v>
      </c>
      <c r="B34" s="15">
        <v>7</v>
      </c>
      <c r="C34" s="15">
        <v>7</v>
      </c>
      <c r="D34" s="15"/>
      <c r="E34" s="15">
        <v>7</v>
      </c>
      <c r="F34" s="21">
        <f>(26/8)*3</f>
        <v>9.75</v>
      </c>
      <c r="G34" s="21">
        <f>26/8</f>
        <v>3.25</v>
      </c>
      <c r="H34" s="15"/>
      <c r="I34" s="21">
        <f>(26/8)*3</f>
        <v>9.75</v>
      </c>
      <c r="J34" s="57"/>
      <c r="K34" s="57"/>
      <c r="L34" s="57"/>
      <c r="M34" s="57"/>
      <c r="N34" s="57"/>
      <c r="O34" s="57"/>
    </row>
    <row r="35" spans="1:15" x14ac:dyDescent="0.35">
      <c r="A35" s="14" t="s">
        <v>57</v>
      </c>
      <c r="B35" s="15">
        <v>7</v>
      </c>
      <c r="C35" s="15">
        <v>7</v>
      </c>
      <c r="D35" s="15"/>
      <c r="E35" s="15">
        <v>7</v>
      </c>
      <c r="F35" s="21">
        <f>(26/8)*3</f>
        <v>9.75</v>
      </c>
      <c r="G35" s="21">
        <f>26/8</f>
        <v>3.25</v>
      </c>
      <c r="H35" s="15"/>
      <c r="I35" s="21">
        <f>(26/8)*3</f>
        <v>9.75</v>
      </c>
      <c r="J35" s="57"/>
      <c r="K35" s="57"/>
      <c r="L35" s="57"/>
      <c r="M35" s="57"/>
      <c r="N35" s="57"/>
      <c r="O35" s="57"/>
    </row>
    <row r="36" spans="1:15" x14ac:dyDescent="0.35">
      <c r="A36" s="16" t="s">
        <v>49</v>
      </c>
      <c r="B36" s="15">
        <v>9</v>
      </c>
      <c r="C36" s="15">
        <v>8</v>
      </c>
      <c r="D36" s="15"/>
      <c r="E36" s="15"/>
      <c r="F36" s="21"/>
      <c r="G36" s="21"/>
      <c r="H36" s="15"/>
      <c r="I36" s="15"/>
      <c r="J36" s="57"/>
      <c r="K36" s="57"/>
      <c r="L36" s="57"/>
      <c r="M36" s="57"/>
      <c r="N36" s="57"/>
      <c r="O36" s="57"/>
    </row>
    <row r="37" spans="1:15" x14ac:dyDescent="0.35">
      <c r="A37" s="15" t="s">
        <v>18</v>
      </c>
      <c r="B37" s="19">
        <v>7</v>
      </c>
      <c r="C37" s="19">
        <v>7</v>
      </c>
      <c r="D37" s="15">
        <v>7</v>
      </c>
      <c r="E37" s="15">
        <v>7</v>
      </c>
      <c r="F37" s="21">
        <f>33/8*3</f>
        <v>12.375</v>
      </c>
      <c r="G37" s="21">
        <f>33/8</f>
        <v>4.125</v>
      </c>
      <c r="H37" s="21">
        <f>33/8</f>
        <v>4.125</v>
      </c>
      <c r="I37" s="21">
        <f>33/8*3</f>
        <v>12.375</v>
      </c>
      <c r="J37" s="57"/>
      <c r="K37" s="57"/>
      <c r="L37" s="57"/>
      <c r="M37" s="57"/>
      <c r="N37" s="57"/>
      <c r="O37" s="57"/>
    </row>
    <row r="38" spans="1:15" x14ac:dyDescent="0.35">
      <c r="A38" s="15" t="s">
        <v>82</v>
      </c>
      <c r="B38" s="15">
        <v>-20</v>
      </c>
      <c r="C38" s="15">
        <v>-20</v>
      </c>
      <c r="D38" s="15">
        <v>-20</v>
      </c>
      <c r="E38" s="15">
        <v>-20</v>
      </c>
      <c r="F38" s="15"/>
      <c r="G38" s="15"/>
      <c r="H38" s="15"/>
      <c r="I38" s="15"/>
      <c r="J38" s="58"/>
      <c r="K38" s="58"/>
      <c r="L38" s="58"/>
      <c r="M38" s="58"/>
      <c r="N38" s="58"/>
      <c r="O38" s="58"/>
    </row>
  </sheetData>
  <mergeCells count="4">
    <mergeCell ref="B2:E2"/>
    <mergeCell ref="A2:A3"/>
    <mergeCell ref="F2:I2"/>
    <mergeCell ref="J2:O2"/>
  </mergeCells>
  <dataValidations count="1">
    <dataValidation type="list" allowBlank="1" showInputMessage="1" showErrorMessage="1" sqref="A24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topLeftCell="A34" workbookViewId="0">
      <selection activeCell="B12" sqref="B12"/>
    </sheetView>
  </sheetViews>
  <sheetFormatPr defaultColWidth="10.83203125" defaultRowHeight="16.5" x14ac:dyDescent="0.35"/>
  <cols>
    <col min="1" max="1" width="39.5" style="48" bestFit="1" customWidth="1"/>
    <col min="2" max="2" width="24.1640625" style="50" bestFit="1" customWidth="1"/>
    <col min="3" max="3" width="23.6640625" style="48" bestFit="1" customWidth="1"/>
    <col min="4" max="16384" width="10.83203125" style="48"/>
  </cols>
  <sheetData>
    <row r="2" spans="1:3" ht="20" x14ac:dyDescent="0.4">
      <c r="A2" s="55" t="s">
        <v>108</v>
      </c>
      <c r="B2" s="55" t="s">
        <v>109</v>
      </c>
      <c r="C2" s="55" t="s">
        <v>110</v>
      </c>
    </row>
    <row r="3" spans="1:3" x14ac:dyDescent="0.35">
      <c r="A3" s="54" t="s">
        <v>19</v>
      </c>
      <c r="B3" s="50">
        <v>35200000</v>
      </c>
      <c r="C3" s="53">
        <f>B3/26/7</f>
        <v>193406.5934065934</v>
      </c>
    </row>
    <row r="4" spans="1:3" x14ac:dyDescent="0.35">
      <c r="A4" s="49" t="s">
        <v>20</v>
      </c>
      <c r="B4" s="50">
        <v>33000000.000000004</v>
      </c>
      <c r="C4" s="53">
        <f>B4/26/7</f>
        <v>181318.68131868137</v>
      </c>
    </row>
    <row r="5" spans="1:3" x14ac:dyDescent="0.35">
      <c r="A5" s="49" t="s">
        <v>21</v>
      </c>
      <c r="B5" s="50">
        <v>33000000.000000004</v>
      </c>
      <c r="C5" s="53">
        <f t="shared" ref="C5:C32" si="0">B5/26/7</f>
        <v>181318.68131868137</v>
      </c>
    </row>
    <row r="6" spans="1:3" x14ac:dyDescent="0.35">
      <c r="A6" s="49" t="s">
        <v>22</v>
      </c>
      <c r="B6" s="50">
        <v>33000000.000000004</v>
      </c>
      <c r="C6" s="53">
        <f t="shared" si="0"/>
        <v>181318.68131868137</v>
      </c>
    </row>
    <row r="7" spans="1:3" x14ac:dyDescent="0.35">
      <c r="A7" s="49" t="s">
        <v>25</v>
      </c>
      <c r="B7" s="50">
        <v>35200000</v>
      </c>
      <c r="C7" s="53">
        <f t="shared" si="0"/>
        <v>193406.5934065934</v>
      </c>
    </row>
    <row r="8" spans="1:3" x14ac:dyDescent="0.35">
      <c r="A8" s="49" t="s">
        <v>26</v>
      </c>
      <c r="B8" s="50">
        <v>35200000</v>
      </c>
      <c r="C8" s="53">
        <f t="shared" si="0"/>
        <v>193406.5934065934</v>
      </c>
    </row>
    <row r="9" spans="1:3" x14ac:dyDescent="0.35">
      <c r="A9" s="49" t="s">
        <v>27</v>
      </c>
      <c r="B9" s="50">
        <v>34100000</v>
      </c>
      <c r="C9" s="53">
        <f t="shared" si="0"/>
        <v>187362.63736263735</v>
      </c>
    </row>
    <row r="10" spans="1:3" x14ac:dyDescent="0.35">
      <c r="A10" s="49" t="s">
        <v>28</v>
      </c>
      <c r="B10" s="50">
        <v>35200000</v>
      </c>
      <c r="C10" s="53">
        <f t="shared" si="0"/>
        <v>193406.5934065934</v>
      </c>
    </row>
    <row r="11" spans="1:3" x14ac:dyDescent="0.35">
      <c r="A11" s="49" t="s">
        <v>48</v>
      </c>
      <c r="B11" s="50">
        <v>35200000</v>
      </c>
      <c r="C11" s="53">
        <f t="shared" si="0"/>
        <v>193406.5934065934</v>
      </c>
    </row>
    <row r="12" spans="1:3" x14ac:dyDescent="0.35">
      <c r="A12" s="49" t="s">
        <v>29</v>
      </c>
      <c r="B12" s="50">
        <v>34100000</v>
      </c>
      <c r="C12" s="53">
        <f t="shared" si="0"/>
        <v>187362.63736263735</v>
      </c>
    </row>
    <row r="13" spans="1:3" x14ac:dyDescent="0.35">
      <c r="A13" s="49" t="s">
        <v>30</v>
      </c>
      <c r="B13" s="50">
        <v>35200000</v>
      </c>
      <c r="C13" s="53">
        <f t="shared" si="0"/>
        <v>193406.5934065934</v>
      </c>
    </row>
    <row r="14" spans="1:3" x14ac:dyDescent="0.35">
      <c r="A14" s="49" t="s">
        <v>31</v>
      </c>
      <c r="B14" s="50">
        <v>34100000</v>
      </c>
      <c r="C14" s="53">
        <f t="shared" si="0"/>
        <v>187362.63736263735</v>
      </c>
    </row>
    <row r="15" spans="1:3" x14ac:dyDescent="0.35">
      <c r="A15" s="49" t="s">
        <v>23</v>
      </c>
      <c r="B15" s="50">
        <v>33000000.000000004</v>
      </c>
      <c r="C15" s="53">
        <f t="shared" si="0"/>
        <v>181318.68131868137</v>
      </c>
    </row>
    <row r="16" spans="1:3" x14ac:dyDescent="0.35">
      <c r="A16" s="49" t="s">
        <v>24</v>
      </c>
      <c r="B16" s="50">
        <v>33000000.000000004</v>
      </c>
      <c r="C16" s="53">
        <f t="shared" si="0"/>
        <v>181318.68131868137</v>
      </c>
    </row>
    <row r="17" spans="1:3" x14ac:dyDescent="0.35">
      <c r="A17" s="49" t="s">
        <v>32</v>
      </c>
      <c r="B17" s="50">
        <v>34100000</v>
      </c>
      <c r="C17" s="53">
        <f t="shared" si="0"/>
        <v>187362.63736263735</v>
      </c>
    </row>
    <row r="18" spans="1:3" x14ac:dyDescent="0.35">
      <c r="A18" s="49" t="s">
        <v>33</v>
      </c>
      <c r="B18" s="50">
        <v>33000000.000000004</v>
      </c>
      <c r="C18" s="53">
        <f t="shared" si="0"/>
        <v>181318.68131868137</v>
      </c>
    </row>
    <row r="19" spans="1:3" x14ac:dyDescent="0.35">
      <c r="A19" s="49" t="s">
        <v>34</v>
      </c>
      <c r="B19" s="53">
        <v>19400568.18</v>
      </c>
      <c r="C19" s="53">
        <f>B19/26/8</f>
        <v>93271.962403846148</v>
      </c>
    </row>
    <row r="20" spans="1:3" x14ac:dyDescent="0.35">
      <c r="A20" s="49" t="s">
        <v>0</v>
      </c>
      <c r="B20" s="53">
        <v>13787878.789999999</v>
      </c>
      <c r="C20" s="53">
        <f>B20/26/8</f>
        <v>66287.878798076912</v>
      </c>
    </row>
    <row r="21" spans="1:3" x14ac:dyDescent="0.35">
      <c r="A21" s="49" t="s">
        <v>96</v>
      </c>
      <c r="B21" s="53">
        <v>18181818.18</v>
      </c>
      <c r="C21" s="53">
        <f t="shared" si="0"/>
        <v>99900.099890109879</v>
      </c>
    </row>
    <row r="22" spans="1:3" x14ac:dyDescent="0.35">
      <c r="A22" s="49" t="s">
        <v>14</v>
      </c>
      <c r="B22" s="50">
        <v>33000000.000000004</v>
      </c>
      <c r="C22" s="53">
        <f t="shared" si="0"/>
        <v>181318.68131868137</v>
      </c>
    </row>
    <row r="23" spans="1:3" x14ac:dyDescent="0.35">
      <c r="A23" s="49" t="s">
        <v>1</v>
      </c>
      <c r="B23" s="50">
        <v>33000000.000000004</v>
      </c>
      <c r="C23" s="53">
        <f t="shared" si="0"/>
        <v>181318.68131868137</v>
      </c>
    </row>
    <row r="24" spans="1:3" x14ac:dyDescent="0.35">
      <c r="A24" s="49" t="s">
        <v>35</v>
      </c>
      <c r="B24" s="53">
        <v>16155303.030000001</v>
      </c>
      <c r="C24" s="53">
        <f>B24/26/8</f>
        <v>77669.726105769238</v>
      </c>
    </row>
    <row r="25" spans="1:3" x14ac:dyDescent="0.35">
      <c r="A25" s="49" t="s">
        <v>2</v>
      </c>
      <c r="B25" s="53">
        <v>18143939.399999999</v>
      </c>
      <c r="C25" s="53">
        <f>B25/26/8</f>
        <v>87230.477884615379</v>
      </c>
    </row>
    <row r="26" spans="1:3" x14ac:dyDescent="0.35">
      <c r="A26" s="49" t="s">
        <v>3</v>
      </c>
      <c r="B26" s="53">
        <v>17954545.460000001</v>
      </c>
      <c r="C26" s="53">
        <f>B26/26/8</f>
        <v>86319.930096153854</v>
      </c>
    </row>
    <row r="27" spans="1:3" x14ac:dyDescent="0.35">
      <c r="A27" s="49" t="s">
        <v>15</v>
      </c>
      <c r="B27" s="50">
        <v>38500000</v>
      </c>
      <c r="C27" s="53">
        <f t="shared" si="0"/>
        <v>211538.46153846153</v>
      </c>
    </row>
    <row r="28" spans="1:3" x14ac:dyDescent="0.35">
      <c r="A28" s="49" t="s">
        <v>10</v>
      </c>
      <c r="B28" s="50">
        <v>37400000</v>
      </c>
      <c r="C28" s="53">
        <f t="shared" si="0"/>
        <v>205494.50549450549</v>
      </c>
    </row>
    <row r="29" spans="1:3" x14ac:dyDescent="0.35">
      <c r="A29" s="49" t="s">
        <v>12</v>
      </c>
      <c r="B29" s="50">
        <v>37400000</v>
      </c>
      <c r="C29" s="53">
        <f t="shared" si="0"/>
        <v>205494.50549450549</v>
      </c>
    </row>
    <row r="30" spans="1:3" x14ac:dyDescent="0.35">
      <c r="A30" s="49" t="s">
        <v>16</v>
      </c>
      <c r="B30" s="50">
        <v>37400000</v>
      </c>
      <c r="C30" s="53">
        <f t="shared" si="0"/>
        <v>205494.50549450549</v>
      </c>
    </row>
    <row r="31" spans="1:3" x14ac:dyDescent="0.35">
      <c r="A31" s="49" t="s">
        <v>59</v>
      </c>
      <c r="B31" s="50">
        <v>37400000</v>
      </c>
      <c r="C31" s="53">
        <f t="shared" si="0"/>
        <v>205494.50549450549</v>
      </c>
    </row>
    <row r="32" spans="1:3" x14ac:dyDescent="0.35">
      <c r="A32" s="49" t="s">
        <v>17</v>
      </c>
      <c r="B32" s="50">
        <v>37400000</v>
      </c>
      <c r="C32" s="53">
        <f t="shared" si="0"/>
        <v>205494.50549450549</v>
      </c>
    </row>
    <row r="33" spans="1:3" x14ac:dyDescent="0.35">
      <c r="A33" s="49" t="s">
        <v>95</v>
      </c>
      <c r="B33" s="53">
        <v>20890151.509999998</v>
      </c>
      <c r="C33" s="53">
        <f t="shared" ref="C33:C39" si="1">B33/26/8</f>
        <v>100433.42072115383</v>
      </c>
    </row>
    <row r="34" spans="1:3" x14ac:dyDescent="0.35">
      <c r="A34" s="49" t="s">
        <v>4</v>
      </c>
      <c r="B34" s="53">
        <v>14687500</v>
      </c>
      <c r="C34" s="53">
        <f t="shared" si="1"/>
        <v>70612.980769230766</v>
      </c>
    </row>
    <row r="35" spans="1:3" x14ac:dyDescent="0.35">
      <c r="A35" s="49" t="s">
        <v>7</v>
      </c>
      <c r="B35" s="53">
        <v>15822916.67</v>
      </c>
      <c r="C35" s="53">
        <f t="shared" si="1"/>
        <v>76071.714759615381</v>
      </c>
    </row>
    <row r="36" spans="1:3" x14ac:dyDescent="0.35">
      <c r="A36" s="49" t="s">
        <v>11</v>
      </c>
      <c r="B36" s="53">
        <v>14523854.17</v>
      </c>
      <c r="C36" s="53">
        <f t="shared" si="1"/>
        <v>69826.221971153849</v>
      </c>
    </row>
    <row r="37" spans="1:3" x14ac:dyDescent="0.35">
      <c r="A37" s="49" t="s">
        <v>5</v>
      </c>
      <c r="B37" s="53">
        <v>15871212.129999999</v>
      </c>
      <c r="C37" s="53">
        <f t="shared" si="1"/>
        <v>76303.904471153844</v>
      </c>
    </row>
    <row r="38" spans="1:3" x14ac:dyDescent="0.35">
      <c r="A38" s="49" t="s">
        <v>99</v>
      </c>
      <c r="B38" s="53">
        <v>15208333.33</v>
      </c>
      <c r="C38" s="53">
        <f t="shared" si="1"/>
        <v>73116.987163461541</v>
      </c>
    </row>
    <row r="39" spans="1:3" x14ac:dyDescent="0.35">
      <c r="A39" s="49" t="s">
        <v>8</v>
      </c>
      <c r="B39" s="53">
        <v>16581439.4</v>
      </c>
      <c r="C39" s="53">
        <f t="shared" si="1"/>
        <v>79718.458653846159</v>
      </c>
    </row>
    <row r="40" spans="1:3" x14ac:dyDescent="0.35">
      <c r="B40" s="50" t="s">
        <v>111</v>
      </c>
      <c r="C40" s="48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gia XCG</vt:lpstr>
      <vt:lpstr>Do thi</vt:lpstr>
      <vt:lpstr>Dinh muc</vt:lpstr>
      <vt:lpstr>chi phi XCG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Xuan Tran</cp:lastModifiedBy>
  <dcterms:created xsi:type="dcterms:W3CDTF">2018-07-06T04:26:27Z</dcterms:created>
  <dcterms:modified xsi:type="dcterms:W3CDTF">2018-08-14T09:55:01Z</dcterms:modified>
</cp:coreProperties>
</file>