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Alvi\Documents\Job Study\Forage\Goldman\"/>
    </mc:Choice>
  </mc:AlternateContent>
  <xr:revisionPtr revIDLastSave="0" documentId="8_{52563FFA-63CA-4FC4-AB64-E5EBD994C4B1}" xr6:coauthVersionLast="47" xr6:coauthVersionMax="47" xr10:uidLastSave="{00000000-0000-0000-0000-000000000000}"/>
  <bookViews>
    <workbookView xWindow="-28920" yWindow="-120" windowWidth="29040" windowHeight="15720" activeTab="4" xr2:uid="{4DB94E64-DCDC-4CEA-9CF9-DAAACE51F060}"/>
  </bookViews>
  <sheets>
    <sheet name="Basic Excel Skills" sheetId="1" r:id="rId1"/>
    <sheet name="Forecast Assumptions" sheetId="2" r:id="rId2"/>
    <sheet name="P&amp;L Forecast" sheetId="3" r:id="rId3"/>
    <sheet name="Cash Flow Forecast" sheetId="4" r:id="rId4"/>
    <sheet name="Outputs" sheetId="5" r:id="rId5"/>
  </sheets>
  <externalReferences>
    <externalReference r:id="rId6"/>
    <externalReference r:id="rId7"/>
    <externalReference r:id="rId8"/>
  </externalReferences>
  <definedNames>
    <definedName name="_xlnm._FilterDatabase" localSheetId="1" hidden="1">'Forecast Assumptions'!$E$13:$I$13</definedName>
    <definedName name="Debt" localSheetId="0">'Basic Excel Skills'!$E$221</definedName>
    <definedName name="Equity" localSheetId="0">'Basic Excel Skills'!$E$222</definedName>
    <definedName name="_xlnm.Print_Area" localSheetId="0">'Basic Excel Skills'!$A$1:$V$227</definedName>
    <definedName name="_xlnm.Print_Area" localSheetId="3">'Cash Flow Forecast'!$A$1:$J$26</definedName>
    <definedName name="_xlnm.Print_Area" localSheetId="1">'Forecast Assumptions'!$A$1:$J$49</definedName>
    <definedName name="_xlnm.Print_Area" localSheetId="4">Outputs!$A$1:$I$142</definedName>
    <definedName name="_xlnm.Print_Area" localSheetId="2">'P&amp;L Forecast'!$A$1:$J$40</definedName>
    <definedName name="Rd">'Basic Excel Skills'!$E$219</definedName>
    <definedName name="Re" localSheetId="0">'Basic Excel Skills'!$E$218</definedName>
    <definedName name="Tax_Rate">'Basic Excel Skills'!$E$218+'Basic Excel Skills'!$E$220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4" l="1"/>
  <c r="F3" i="4" s="1"/>
  <c r="G3" i="4" s="1"/>
  <c r="H3" i="4" s="1"/>
  <c r="I3" i="4" s="1"/>
  <c r="E5" i="4"/>
  <c r="F5" i="4"/>
  <c r="G5" i="4"/>
  <c r="H5" i="4"/>
  <c r="I5" i="4"/>
  <c r="E8" i="4"/>
  <c r="F8" i="4"/>
  <c r="G8" i="4"/>
  <c r="H8" i="4"/>
  <c r="I8" i="4"/>
  <c r="E9" i="4"/>
  <c r="E10" i="4"/>
  <c r="F10" i="4"/>
  <c r="G10" i="4"/>
  <c r="H10" i="4"/>
  <c r="I10" i="4"/>
  <c r="I36" i="3" l="1"/>
  <c r="H36" i="3"/>
  <c r="G36" i="3"/>
  <c r="F36" i="3"/>
  <c r="E36" i="3"/>
  <c r="I20" i="3"/>
  <c r="H20" i="3"/>
  <c r="G20" i="3"/>
  <c r="F20" i="3"/>
  <c r="E20" i="3"/>
  <c r="I19" i="3"/>
  <c r="H19" i="3"/>
  <c r="G19" i="3"/>
  <c r="F19" i="3"/>
  <c r="E19" i="3"/>
  <c r="I18" i="3"/>
  <c r="H18" i="3"/>
  <c r="G18" i="3"/>
  <c r="F18" i="3"/>
  <c r="E18" i="3"/>
  <c r="I17" i="3"/>
  <c r="H17" i="3"/>
  <c r="G17" i="3"/>
  <c r="F17" i="3"/>
  <c r="E17" i="3"/>
  <c r="I13" i="3"/>
  <c r="H13" i="3"/>
  <c r="G13" i="3"/>
  <c r="F13" i="3"/>
  <c r="E13" i="3"/>
  <c r="I12" i="3"/>
  <c r="H12" i="3"/>
  <c r="G12" i="3"/>
  <c r="F12" i="3"/>
  <c r="E12" i="3"/>
  <c r="I11" i="3"/>
  <c r="H11" i="3"/>
  <c r="G11" i="3"/>
  <c r="F11" i="3"/>
  <c r="E11" i="3"/>
  <c r="G8" i="3"/>
  <c r="I7" i="3"/>
  <c r="H7" i="3"/>
  <c r="G7" i="3"/>
  <c r="F7" i="3"/>
  <c r="E7" i="3"/>
  <c r="I6" i="3"/>
  <c r="H6" i="3"/>
  <c r="G6" i="3"/>
  <c r="F6" i="3"/>
  <c r="E6" i="3"/>
  <c r="I5" i="3"/>
  <c r="I8" i="3" s="1"/>
  <c r="H5" i="3"/>
  <c r="H8" i="3" s="1"/>
  <c r="G5" i="3"/>
  <c r="F5" i="3"/>
  <c r="F8" i="3" s="1"/>
  <c r="E5" i="3"/>
  <c r="E8" i="3" s="1"/>
  <c r="E3" i="3"/>
  <c r="F3" i="3" s="1"/>
  <c r="G3" i="3" s="1"/>
  <c r="H3" i="3" s="1"/>
  <c r="I3" i="3" s="1"/>
  <c r="I30" i="2"/>
  <c r="H30" i="2"/>
  <c r="G30" i="2"/>
  <c r="F30" i="2"/>
  <c r="I29" i="2"/>
  <c r="H29" i="2"/>
  <c r="G29" i="2"/>
  <c r="F29" i="2"/>
  <c r="I28" i="2"/>
  <c r="H28" i="2"/>
  <c r="G28" i="2"/>
  <c r="F28" i="2"/>
  <c r="H27" i="2"/>
  <c r="I27" i="2" s="1"/>
  <c r="G27" i="2"/>
  <c r="F27" i="2"/>
  <c r="I24" i="2"/>
  <c r="H24" i="2"/>
  <c r="G24" i="2"/>
  <c r="F24" i="2"/>
  <c r="I23" i="2"/>
  <c r="H23" i="2"/>
  <c r="G23" i="2"/>
  <c r="F23" i="2"/>
  <c r="I22" i="2"/>
  <c r="H22" i="2"/>
  <c r="G22" i="2"/>
  <c r="F22" i="2"/>
  <c r="I17" i="2"/>
  <c r="H17" i="2"/>
  <c r="G17" i="2"/>
  <c r="F17" i="2"/>
  <c r="I16" i="2"/>
  <c r="H16" i="2"/>
  <c r="G16" i="2"/>
  <c r="F16" i="2"/>
  <c r="I13" i="2"/>
  <c r="H13" i="2"/>
  <c r="G13" i="2"/>
  <c r="F13" i="2"/>
  <c r="I12" i="2"/>
  <c r="H12" i="2"/>
  <c r="G12" i="2"/>
  <c r="F12" i="2"/>
  <c r="I9" i="2"/>
  <c r="H9" i="2"/>
  <c r="G9" i="2"/>
  <c r="F9" i="2"/>
  <c r="I8" i="2"/>
  <c r="H8" i="2"/>
  <c r="G8" i="2"/>
  <c r="F8" i="2"/>
  <c r="E3" i="2"/>
  <c r="F3" i="2" s="1"/>
  <c r="G3" i="2" s="1"/>
  <c r="H3" i="2" s="1"/>
  <c r="I3" i="2" s="1"/>
  <c r="F24" i="3" l="1"/>
  <c r="F14" i="3"/>
  <c r="F9" i="3"/>
  <c r="I9" i="3"/>
  <c r="I24" i="3"/>
  <c r="I14" i="3"/>
  <c r="E24" i="3"/>
  <c r="E14" i="3"/>
  <c r="H9" i="3"/>
  <c r="H24" i="3"/>
  <c r="H14" i="3"/>
  <c r="G9" i="3"/>
  <c r="G14" i="3"/>
  <c r="G24" i="3"/>
  <c r="E224" i="1" a="1"/>
  <c r="E224" i="1" s="1"/>
  <c r="C188" i="1"/>
  <c r="C180" i="1"/>
  <c r="H110" i="1"/>
  <c r="H109" i="1"/>
  <c r="H108" i="1"/>
  <c r="H107" i="1"/>
  <c r="H106" i="1"/>
  <c r="H105" i="1"/>
  <c r="H104" i="1"/>
  <c r="C89" i="1"/>
  <c r="C81" i="1"/>
  <c r="C80" i="1"/>
  <c r="C79" i="1"/>
  <c r="C78" i="1"/>
  <c r="C51" i="1" a="1"/>
  <c r="C51" i="1" s="1"/>
  <c r="L107" i="1"/>
  <c r="M107" i="1"/>
  <c r="K107" i="1"/>
  <c r="H21" i="3" l="1"/>
  <c r="H15" i="3"/>
  <c r="I15" i="3"/>
  <c r="I21" i="3"/>
  <c r="F21" i="3"/>
  <c r="F15" i="3"/>
  <c r="E15" i="3"/>
  <c r="E21" i="3"/>
  <c r="G21" i="3"/>
  <c r="G15" i="3"/>
  <c r="C66" i="1"/>
  <c r="C67" i="1" s="1"/>
  <c r="E61" i="1"/>
  <c r="F64" i="1" s="1"/>
  <c r="C69" i="1" s="1"/>
  <c r="E64" i="1"/>
  <c r="F25" i="3" l="1"/>
  <c r="F22" i="3"/>
  <c r="I25" i="3"/>
  <c r="I22" i="3"/>
  <c r="E25" i="3"/>
  <c r="E22" i="3"/>
  <c r="G25" i="3"/>
  <c r="G22" i="3"/>
  <c r="H25" i="3"/>
  <c r="H22" i="3"/>
  <c r="E29" i="3" l="1"/>
  <c r="E26" i="3"/>
  <c r="I26" i="3"/>
  <c r="I29" i="3"/>
  <c r="G29" i="3"/>
  <c r="G26" i="3"/>
  <c r="H26" i="3"/>
  <c r="H29" i="3"/>
  <c r="F29" i="3"/>
  <c r="F26" i="3"/>
  <c r="G33" i="3" l="1"/>
  <c r="G30" i="3"/>
  <c r="G32" i="3"/>
  <c r="I30" i="3"/>
  <c r="I32" i="3"/>
  <c r="I33" i="3"/>
  <c r="H30" i="3"/>
  <c r="H32" i="3"/>
  <c r="H33" i="3" s="1"/>
  <c r="F30" i="3"/>
  <c r="F32" i="3"/>
  <c r="F33" i="3" s="1"/>
  <c r="E32" i="3"/>
  <c r="E33" i="3"/>
  <c r="E30" i="3"/>
  <c r="H37" i="3" l="1"/>
  <c r="H34" i="3"/>
  <c r="F37" i="3"/>
  <c r="F34" i="3"/>
  <c r="E37" i="3"/>
  <c r="E34" i="3"/>
  <c r="I37" i="3"/>
  <c r="I34" i="3"/>
  <c r="G34" i="3"/>
  <c r="G37" i="3"/>
  <c r="E6" i="4" l="1"/>
  <c r="E7" i="4" l="1"/>
  <c r="E11" i="4" s="1"/>
  <c r="E12" i="4" l="1"/>
  <c r="E22" i="4" s="1"/>
  <c r="E23" i="4" s="1"/>
  <c r="F21" i="4" s="1"/>
  <c r="E13" i="4" l="1"/>
  <c r="E16" i="4" s="1"/>
  <c r="E17" i="4" s="1"/>
  <c r="F15" i="4" s="1"/>
  <c r="F9" i="4" l="1"/>
  <c r="F6" i="4" l="1"/>
  <c r="F7" i="4" l="1"/>
  <c r="F11" i="4" s="1"/>
  <c r="F12" i="4" l="1"/>
  <c r="F22" i="4" s="1"/>
  <c r="F23" i="4" s="1"/>
  <c r="G21" i="4" s="1"/>
  <c r="F13" i="4"/>
  <c r="F16" i="4" s="1"/>
  <c r="F17" i="4" s="1"/>
  <c r="G15" i="4" s="1"/>
  <c r="G9" i="4" l="1"/>
  <c r="G6" i="4" l="1"/>
  <c r="G7" i="4" l="1"/>
  <c r="G11" i="4"/>
  <c r="G12" i="4" l="1"/>
  <c r="G22" i="4" s="1"/>
  <c r="G23" i="4" s="1"/>
  <c r="H21" i="4" s="1"/>
  <c r="G13" i="4" l="1"/>
  <c r="G16" i="4" s="1"/>
  <c r="G17" i="4" s="1"/>
  <c r="H15" i="4" s="1"/>
  <c r="H9" i="4" s="1"/>
  <c r="H6" i="4" l="1"/>
  <c r="H7" i="4" l="1"/>
  <c r="H11" i="4"/>
  <c r="H12" i="4" l="1"/>
  <c r="H22" i="4" s="1"/>
  <c r="H23" i="4" s="1"/>
  <c r="I21" i="4" s="1"/>
  <c r="H13" i="4"/>
  <c r="H16" i="4" s="1"/>
  <c r="H17" i="4" s="1"/>
  <c r="I15" i="4" s="1"/>
  <c r="I9" i="4" l="1"/>
  <c r="I6" i="4" l="1"/>
  <c r="I7" i="4" l="1"/>
  <c r="I11" i="4"/>
  <c r="I12" i="4" l="1"/>
  <c r="I22" i="4" s="1"/>
  <c r="I23" i="4" s="1"/>
  <c r="I13" i="4"/>
  <c r="I16" i="4" s="1"/>
  <c r="I17"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Wardah Alvi</author>
  </authors>
  <commentList>
    <comment ref="C196" authorId="0" shapeId="0" xr:uid="{81511736-257B-42B7-9173-B05CEEE6590B}">
      <text>
        <r>
          <rPr>
            <b/>
            <sz val="9"/>
            <color indexed="81"/>
            <rFont val="Tahoma"/>
            <family val="2"/>
          </rPr>
          <t>Wardah Alvi:</t>
        </r>
        <r>
          <rPr>
            <sz val="9"/>
            <color indexed="81"/>
            <rFont val="Tahoma"/>
            <family val="2"/>
          </rPr>
          <t xml:space="preserve">
this is the total profit for the month of July.</t>
        </r>
      </text>
    </comment>
    <comment ref="C197" authorId="0" shapeId="0" xr:uid="{3E5BE3DD-A823-40A3-9BB3-5184B95FB3A3}">
      <text>
        <r>
          <rPr>
            <b/>
            <sz val="9"/>
            <color indexed="81"/>
            <rFont val="Tahoma"/>
            <family val="2"/>
          </rPr>
          <t>Wardah Alvi:</t>
        </r>
        <r>
          <rPr>
            <sz val="9"/>
            <color indexed="81"/>
            <rFont val="Tahoma"/>
            <family val="2"/>
          </rPr>
          <t xml:space="preserve">
Total profit for August</t>
        </r>
      </text>
    </comment>
    <comment ref="C198" authorId="0" shapeId="0" xr:uid="{D309E385-5574-43D5-84E4-1C07FB854899}">
      <text>
        <r>
          <rPr>
            <b/>
            <sz val="9"/>
            <color indexed="81"/>
            <rFont val="Tahoma"/>
            <family val="2"/>
          </rPr>
          <t>Wardah Alvi:</t>
        </r>
        <r>
          <rPr>
            <sz val="9"/>
            <color indexed="81"/>
            <rFont val="Tahoma"/>
            <family val="2"/>
          </rPr>
          <t xml:space="preserve">
Total profit for September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<sst xmlns="http://schemas.openxmlformats.org/spreadsheetml/2006/main" count="331" uniqueCount="232">
  <si>
    <t>Basic Excel Skills</t>
  </si>
  <si>
    <t>Cell Basics</t>
  </si>
  <si>
    <t>*</t>
  </si>
  <si>
    <t>Cell Alignment</t>
  </si>
  <si>
    <t>Number values automatically align to the right, whilst text automatically aligns to the left</t>
  </si>
  <si>
    <t>Both text and number values automatically align to the bottom of the cell</t>
  </si>
  <si>
    <r>
      <rPr>
        <b/>
        <u/>
        <sz val="8"/>
        <color theme="5"/>
        <rFont val="Arial"/>
        <family val="2"/>
      </rPr>
      <t>Align Bottom</t>
    </r>
    <r>
      <rPr>
        <b/>
        <sz val="8"/>
        <color theme="5"/>
        <rFont val="Arial"/>
        <family val="2"/>
      </rPr>
      <t>: Alt + H + A + B</t>
    </r>
  </si>
  <si>
    <r>
      <rPr>
        <b/>
        <u/>
        <sz val="8"/>
        <color theme="5"/>
        <rFont val="Arial"/>
        <family val="2"/>
      </rPr>
      <t>Align Middle</t>
    </r>
    <r>
      <rPr>
        <b/>
        <sz val="8"/>
        <color theme="5"/>
        <rFont val="Arial"/>
        <family val="2"/>
      </rPr>
      <t>: Alt + H + A + M</t>
    </r>
  </si>
  <si>
    <r>
      <rPr>
        <b/>
        <u/>
        <sz val="8"/>
        <color theme="5"/>
        <rFont val="Arial"/>
        <family val="2"/>
      </rPr>
      <t>Align Top</t>
    </r>
    <r>
      <rPr>
        <b/>
        <sz val="8"/>
        <color theme="5"/>
        <rFont val="Arial"/>
        <family val="2"/>
      </rPr>
      <t>: Alt + H + A + T</t>
    </r>
  </si>
  <si>
    <t>Text</t>
  </si>
  <si>
    <t>Numbers</t>
  </si>
  <si>
    <t>john</t>
  </si>
  <si>
    <t>--&gt; Text Box aligned to the right &amp; middle</t>
  </si>
  <si>
    <t>--&gt; Numbers Box aligned to the center &amp; middle</t>
  </si>
  <si>
    <t>Manipulating Cells</t>
  </si>
  <si>
    <t xml:space="preserve"> </t>
  </si>
  <si>
    <r>
      <rPr>
        <b/>
        <u/>
        <sz val="8"/>
        <color theme="5"/>
        <rFont val="Arial"/>
        <family val="2"/>
      </rPr>
      <t>Skip Word(s)</t>
    </r>
    <r>
      <rPr>
        <b/>
        <sz val="8"/>
        <color theme="5"/>
        <rFont val="Arial"/>
        <family val="2"/>
      </rPr>
      <t>: Ctrl + Arrow</t>
    </r>
  </si>
  <si>
    <r>
      <rPr>
        <b/>
        <u/>
        <sz val="8"/>
        <color theme="5"/>
        <rFont val="Arial"/>
        <family val="2"/>
      </rPr>
      <t>Highlight Word(s)</t>
    </r>
    <r>
      <rPr>
        <b/>
        <sz val="8"/>
        <color theme="5"/>
        <rFont val="Arial"/>
        <family val="2"/>
      </rPr>
      <t>: Ctrl + Shift + Arrow</t>
    </r>
  </si>
  <si>
    <t>Task: Fix the highlighted word using the shortcut.</t>
  </si>
  <si>
    <t>Task: Remove the duplicates using the shortcut.</t>
  </si>
  <si>
    <t>Task: Fix the typo using the shortcut.</t>
  </si>
  <si>
    <t>Task: Manipulate both the Text cell and the Numbers cell per the instructions below.</t>
  </si>
  <si>
    <t>Manipulating Columns &amp; Rows</t>
  </si>
  <si>
    <r>
      <rPr>
        <b/>
        <u/>
        <sz val="8"/>
        <color theme="5"/>
        <rFont val="Arial"/>
        <family val="2"/>
      </rPr>
      <t>Select Row</t>
    </r>
    <r>
      <rPr>
        <b/>
        <sz val="8"/>
        <color theme="5"/>
        <rFont val="Arial"/>
        <family val="2"/>
      </rPr>
      <t>: Shift + Spacebar</t>
    </r>
  </si>
  <si>
    <r>
      <rPr>
        <b/>
        <u/>
        <sz val="8"/>
        <color theme="5"/>
        <rFont val="Arial"/>
        <family val="2"/>
      </rPr>
      <t>Select Column</t>
    </r>
    <r>
      <rPr>
        <b/>
        <sz val="8"/>
        <color theme="5"/>
        <rFont val="Arial"/>
        <family val="2"/>
      </rPr>
      <t>: Ctrl + Spacebar</t>
    </r>
  </si>
  <si>
    <t>Entering Text Starting with "+", "-", or "="</t>
  </si>
  <si>
    <r>
      <rPr>
        <b/>
        <u/>
        <sz val="8"/>
        <color theme="5"/>
        <rFont val="Arial"/>
        <family val="2"/>
      </rPr>
      <t>Insert Operators in Text</t>
    </r>
    <r>
      <rPr>
        <b/>
        <sz val="8"/>
        <color theme="5"/>
        <rFont val="Arial"/>
        <family val="2"/>
      </rPr>
      <t>: ' + operator</t>
    </r>
  </si>
  <si>
    <t>Formatting &amp; Cell Characteristics</t>
  </si>
  <si>
    <r>
      <t xml:space="preserve">Task: Enter the text phrase </t>
    </r>
    <r>
      <rPr>
        <b/>
        <i/>
        <sz val="10"/>
        <color theme="5"/>
        <rFont val="Arial"/>
        <family val="2"/>
      </rPr>
      <t xml:space="preserve">+ve theory </t>
    </r>
    <r>
      <rPr>
        <b/>
        <i/>
        <sz val="10"/>
        <color theme="1"/>
        <rFont val="Arial"/>
        <family val="2"/>
      </rPr>
      <t>into the blue box above</t>
    </r>
  </si>
  <si>
    <t>Task: Format this amount into $40 (dollar sign, no decimal points) within the blue box above</t>
  </si>
  <si>
    <t>Dates</t>
  </si>
  <si>
    <t>Dates in excel are represented by serial numbers with the number "1" corresponding to "1-Jan-00"</t>
  </si>
  <si>
    <t>Therefore to MS Excel, today's date,</t>
  </si>
  <si>
    <t>=Today()</t>
  </si>
  <si>
    <t>What will be the date 5,000 days from today?</t>
  </si>
  <si>
    <t>Alternatively</t>
  </si>
  <si>
    <t>Task: Complete the tasks outlined above within the blue boxes.</t>
  </si>
  <si>
    <t>Basic Formulas</t>
  </si>
  <si>
    <t>Begin with =</t>
  </si>
  <si>
    <t>Addition +</t>
  </si>
  <si>
    <t>Subtraction -</t>
  </si>
  <si>
    <t>Multiplication *</t>
  </si>
  <si>
    <t>Division /</t>
  </si>
  <si>
    <t>Task: Use the formulas on each of the two numbers within the blue boxes above.</t>
  </si>
  <si>
    <t>Addition Shortcut (Lists)</t>
  </si>
  <si>
    <t>Alt + "="</t>
  </si>
  <si>
    <t>Task: Use the shortcut to quickly add a list of numbers together.</t>
  </si>
  <si>
    <t>Copying &amp; Pasting Data</t>
  </si>
  <si>
    <t>Copy this number</t>
  </si>
  <si>
    <t>Paste here</t>
  </si>
  <si>
    <t>Paste Format</t>
  </si>
  <si>
    <t>Date</t>
  </si>
  <si>
    <t>Price</t>
  </si>
  <si>
    <t>Quantity</t>
  </si>
  <si>
    <t>Total</t>
  </si>
  <si>
    <t>Task: Use the shortcut to make 
each column's formatting consistent.</t>
  </si>
  <si>
    <t>Task: Use the shortcuts to make 
each column's formatting consistent, as well as complete the Total Column.</t>
  </si>
  <si>
    <r>
      <rPr>
        <b/>
        <u/>
        <sz val="8"/>
        <color theme="5"/>
        <rFont val="Arial"/>
        <family val="2"/>
      </rPr>
      <t>Paste Special (Format) Shortcut</t>
    </r>
    <r>
      <rPr>
        <b/>
        <sz val="8"/>
        <color theme="5"/>
        <rFont val="Arial"/>
        <family val="2"/>
      </rPr>
      <t>:</t>
    </r>
  </si>
  <si>
    <r>
      <rPr>
        <b/>
        <u/>
        <sz val="8"/>
        <color theme="5"/>
        <rFont val="Arial"/>
        <family val="2"/>
      </rPr>
      <t>Paste Special (Formula) Shortcut</t>
    </r>
    <r>
      <rPr>
        <b/>
        <sz val="8"/>
        <color theme="5"/>
        <rFont val="Arial"/>
        <family val="2"/>
      </rPr>
      <t>:</t>
    </r>
  </si>
  <si>
    <r>
      <rPr>
        <b/>
        <u/>
        <sz val="8"/>
        <color theme="5"/>
        <rFont val="Arial"/>
        <family val="2"/>
      </rPr>
      <t>Paste Special (Value) Shortcut</t>
    </r>
    <r>
      <rPr>
        <b/>
        <sz val="8"/>
        <color theme="5"/>
        <rFont val="Arial"/>
        <family val="2"/>
      </rPr>
      <t>:</t>
    </r>
  </si>
  <si>
    <t>Item</t>
  </si>
  <si>
    <t>Qty</t>
  </si>
  <si>
    <t>Subtotal</t>
  </si>
  <si>
    <t>Sales</t>
  </si>
  <si>
    <t>Chicken</t>
  </si>
  <si>
    <t>Pork</t>
  </si>
  <si>
    <t>Beef</t>
  </si>
  <si>
    <t>Paste Value</t>
  </si>
  <si>
    <t>Paste Format + Formula Combined</t>
  </si>
  <si>
    <t>How much was made from Beef sales?</t>
  </si>
  <si>
    <t>Task: Use the shortcut to answer the question.</t>
  </si>
  <si>
    <t>Transpose</t>
  </si>
  <si>
    <t>Task: Use the shortcuts to complete the task.</t>
  </si>
  <si>
    <t>Formatting Shortcuts</t>
  </si>
  <si>
    <t>Number Shortcuts</t>
  </si>
  <si>
    <t>Number</t>
  </si>
  <si>
    <t>Time</t>
  </si>
  <si>
    <t>Currency</t>
  </si>
  <si>
    <t>Percentage</t>
  </si>
  <si>
    <t>Scientific</t>
  </si>
  <si>
    <t>Task: Use the shortcuts to format each blue cell appropriately.</t>
  </si>
  <si>
    <t>Border Shortcuts</t>
  </si>
  <si>
    <r>
      <rPr>
        <b/>
        <u/>
        <sz val="8"/>
        <color theme="5"/>
        <rFont val="Arial"/>
        <family val="2"/>
      </rPr>
      <t>All Borders</t>
    </r>
    <r>
      <rPr>
        <b/>
        <sz val="8"/>
        <color theme="5"/>
        <rFont val="Arial"/>
        <family val="2"/>
      </rPr>
      <t>: Alt + H + B + A</t>
    </r>
  </si>
  <si>
    <r>
      <rPr>
        <b/>
        <u/>
        <sz val="8"/>
        <color theme="5"/>
        <rFont val="Arial"/>
        <family val="2"/>
      </rPr>
      <t>Thick Outside Border</t>
    </r>
    <r>
      <rPr>
        <b/>
        <sz val="8"/>
        <color theme="5"/>
        <rFont val="Arial"/>
        <family val="2"/>
      </rPr>
      <t>: Alt + H + B + T</t>
    </r>
  </si>
  <si>
    <t>Task: Use the shortcuts to apply the appropriate border to each blue cell.</t>
  </si>
  <si>
    <t>Column Alignment</t>
  </si>
  <si>
    <r>
      <rPr>
        <b/>
        <u/>
        <sz val="8"/>
        <color theme="5"/>
        <rFont val="Arial"/>
        <family val="2"/>
      </rPr>
      <t>Autofit Column Shortcut</t>
    </r>
    <r>
      <rPr>
        <b/>
        <sz val="8"/>
        <color theme="5"/>
        <rFont val="Arial"/>
        <family val="2"/>
      </rPr>
      <t>: Alt + H + O + I</t>
    </r>
  </si>
  <si>
    <t>The dog jumped over the log</t>
  </si>
  <si>
    <t>The dog jumped</t>
  </si>
  <si>
    <t>Task: Use the shortcut to change the column width depending on the length of the text contained within for each of the two example sentences.</t>
  </si>
  <si>
    <t>Text to Column</t>
  </si>
  <si>
    <r>
      <rPr>
        <b/>
        <u/>
        <sz val="8"/>
        <color theme="5"/>
        <rFont val="Arial"/>
        <family val="2"/>
      </rPr>
      <t>Text To Column Shortcut</t>
    </r>
    <r>
      <rPr>
        <b/>
        <sz val="8"/>
        <color theme="5"/>
        <rFont val="Arial"/>
        <family val="2"/>
      </rPr>
      <t>: Alt + D + E</t>
    </r>
  </si>
  <si>
    <t>Task: Use the shortcut within the first cell on the left to separate the text into columns.</t>
  </si>
  <si>
    <t>Trim</t>
  </si>
  <si>
    <t>Proper</t>
  </si>
  <si>
    <t>12       Princes     Street,            Hong    Kong</t>
  </si>
  <si>
    <r>
      <rPr>
        <b/>
        <u/>
        <sz val="8"/>
        <color theme="5"/>
        <rFont val="Arial"/>
        <family val="2"/>
      </rPr>
      <t>Trim Function</t>
    </r>
    <r>
      <rPr>
        <b/>
        <sz val="8"/>
        <color theme="5"/>
        <rFont val="Arial"/>
        <family val="2"/>
      </rPr>
      <t>: Trim(text)</t>
    </r>
  </si>
  <si>
    <t>Task: Use the function to appropriate format the address above.</t>
  </si>
  <si>
    <t>12 PRINCES STREET, hOnG koNG</t>
  </si>
  <si>
    <r>
      <rPr>
        <b/>
        <u/>
        <sz val="8"/>
        <color theme="5"/>
        <rFont val="Arial"/>
        <family val="2"/>
      </rPr>
      <t>Proper Function</t>
    </r>
    <r>
      <rPr>
        <b/>
        <sz val="8"/>
        <color theme="5"/>
        <rFont val="Arial"/>
        <family val="2"/>
      </rPr>
      <t>: Proper(text)</t>
    </r>
  </si>
  <si>
    <t>Comments</t>
  </si>
  <si>
    <t>Adding Comments</t>
  </si>
  <si>
    <t>Removing Comments</t>
  </si>
  <si>
    <t>Task: Remove comments from each of the cells using the shortcut above.</t>
  </si>
  <si>
    <t>Task: Add a random comment about each figure in their respective cells using the shortcut above.</t>
  </si>
  <si>
    <t>Naming Cells</t>
  </si>
  <si>
    <t>Cost of Equity</t>
  </si>
  <si>
    <t>Re</t>
  </si>
  <si>
    <t>Cost of Debt</t>
  </si>
  <si>
    <t>Rd</t>
  </si>
  <si>
    <t>Tax Rate</t>
  </si>
  <si>
    <t>Tax_Rate</t>
  </si>
  <si>
    <t>Debt</t>
  </si>
  <si>
    <t>Equity</t>
  </si>
  <si>
    <t>WACC</t>
  </si>
  <si>
    <t>=(Equity*Re)+(Debt*Rd*(1-Tax_Rate))</t>
  </si>
  <si>
    <t>Using Name Manager</t>
  </si>
  <si>
    <t>Debt/Total Capital</t>
  </si>
  <si>
    <t>Equity/Total Capital</t>
  </si>
  <si>
    <t>Task: Assign each of the cells with data in them with their respective names (e.g. Assign 2% cell with Rf for the Risk-Free Rate). Once this is done for each of the data points, calculate the WACC using the assigned names and formula above.</t>
  </si>
  <si>
    <t>Task: Run through the exercises using the shortcuts above.</t>
  </si>
  <si>
    <t>Task: Use the shortcut to transpose the list of numbers from vertical to horizontal, within the blue boxes above.</t>
  </si>
  <si>
    <t>Insert row from the blue cell</t>
  </si>
  <si>
    <t>*Note: There are additional instructions near Column S</t>
  </si>
  <si>
    <t>Cells required to be edited / completed</t>
  </si>
  <si>
    <t>Orange shortcuts are Windows on the LHS; Apple Mac on the RHS (where available)</t>
  </si>
  <si>
    <r>
      <rPr>
        <b/>
        <u/>
        <sz val="8"/>
        <color theme="5"/>
        <rFont val="Arial"/>
        <family val="2"/>
      </rPr>
      <t>Align Left</t>
    </r>
    <r>
      <rPr>
        <b/>
        <sz val="8"/>
        <color theme="5"/>
        <rFont val="Arial"/>
        <family val="2"/>
      </rPr>
      <t>: Alt + H + A + L / ⌘ + L</t>
    </r>
  </si>
  <si>
    <r>
      <rPr>
        <b/>
        <u/>
        <sz val="8"/>
        <color theme="5"/>
        <rFont val="Arial"/>
        <family val="2"/>
      </rPr>
      <t>Align Centre</t>
    </r>
    <r>
      <rPr>
        <b/>
        <sz val="8"/>
        <color theme="5"/>
        <rFont val="Arial"/>
        <family val="2"/>
      </rPr>
      <t>: Alt + H + A + C / ⌘ + E</t>
    </r>
  </si>
  <si>
    <r>
      <rPr>
        <b/>
        <u/>
        <sz val="8"/>
        <color theme="5"/>
        <rFont val="Arial"/>
        <family val="2"/>
      </rPr>
      <t>Align Right</t>
    </r>
    <r>
      <rPr>
        <b/>
        <sz val="8"/>
        <color theme="5"/>
        <rFont val="Arial"/>
        <family val="2"/>
      </rPr>
      <t>: Alt + H + A + R / ⌘ + R</t>
    </r>
  </si>
  <si>
    <r>
      <rPr>
        <b/>
        <u/>
        <sz val="8"/>
        <color theme="5"/>
        <rFont val="Arial"/>
        <family val="2"/>
      </rPr>
      <t>Edit Cell Shortcut</t>
    </r>
    <r>
      <rPr>
        <b/>
        <sz val="8"/>
        <color theme="5"/>
        <rFont val="Arial"/>
        <family val="2"/>
      </rPr>
      <t>: F2 / Ctrl + U</t>
    </r>
  </si>
  <si>
    <r>
      <rPr>
        <b/>
        <u/>
        <sz val="8"/>
        <color theme="5"/>
        <rFont val="Arial"/>
        <family val="2"/>
      </rPr>
      <t>Insert Row</t>
    </r>
    <r>
      <rPr>
        <b/>
        <sz val="8"/>
        <color theme="5"/>
        <rFont val="Arial"/>
        <family val="2"/>
      </rPr>
      <t>: Alt + I + R / Ctrl + I</t>
    </r>
  </si>
  <si>
    <r>
      <rPr>
        <b/>
        <u/>
        <sz val="8"/>
        <color theme="5"/>
        <rFont val="Arial"/>
        <family val="2"/>
      </rPr>
      <t>Insert Column</t>
    </r>
    <r>
      <rPr>
        <b/>
        <sz val="8"/>
        <color theme="5"/>
        <rFont val="Arial"/>
        <family val="2"/>
      </rPr>
      <t>: Alt + I + C / Ctrl + I</t>
    </r>
  </si>
  <si>
    <r>
      <rPr>
        <b/>
        <u/>
        <sz val="8"/>
        <color theme="5"/>
        <rFont val="Arial"/>
        <family val="2"/>
      </rPr>
      <t>Delete Cells or Columns</t>
    </r>
    <r>
      <rPr>
        <b/>
        <sz val="8"/>
        <color theme="5"/>
        <rFont val="Arial"/>
        <family val="2"/>
      </rPr>
      <t>: Alt + E + D / Ctrl + -</t>
    </r>
  </si>
  <si>
    <r>
      <rPr>
        <b/>
        <u/>
        <sz val="8"/>
        <color theme="5"/>
        <rFont val="Arial"/>
        <family val="2"/>
      </rPr>
      <t>Format Cells</t>
    </r>
    <r>
      <rPr>
        <b/>
        <sz val="8"/>
        <color theme="5"/>
        <rFont val="Arial"/>
        <family val="2"/>
      </rPr>
      <t>: Ctrl + 1 (Arrow keys to navigate and TAB to toggle between fields) / ⌘ + 1</t>
    </r>
  </si>
  <si>
    <r>
      <rPr>
        <b/>
        <u/>
        <sz val="8"/>
        <color theme="5"/>
        <rFont val="Arial"/>
        <family val="2"/>
      </rPr>
      <t>Date Format Shortcut</t>
    </r>
    <r>
      <rPr>
        <b/>
        <sz val="8"/>
        <color theme="5"/>
        <rFont val="Arial"/>
        <family val="2"/>
      </rPr>
      <t>: Ctrl + Shift + 3 / Shift + Ctrl + #</t>
    </r>
  </si>
  <si>
    <r>
      <rPr>
        <b/>
        <u/>
        <sz val="8"/>
        <color theme="5"/>
        <rFont val="Arial"/>
        <family val="2"/>
      </rPr>
      <t>General Format Shortcut</t>
    </r>
    <r>
      <rPr>
        <b/>
        <sz val="8"/>
        <color theme="5"/>
        <rFont val="Arial"/>
        <family val="2"/>
      </rPr>
      <t>: Ctrl + Shift + ~ / Shift + Ctrl + ~</t>
    </r>
  </si>
  <si>
    <r>
      <rPr>
        <b/>
        <u/>
        <sz val="8"/>
        <color theme="5"/>
        <rFont val="Arial"/>
        <family val="2"/>
      </rPr>
      <t>Copy Shortcut</t>
    </r>
    <r>
      <rPr>
        <b/>
        <sz val="8"/>
        <color theme="5"/>
        <rFont val="Arial"/>
        <family val="2"/>
      </rPr>
      <t>: Ctrl + C / ⌘ + C</t>
    </r>
  </si>
  <si>
    <r>
      <rPr>
        <b/>
        <u/>
        <sz val="8"/>
        <color theme="5"/>
        <rFont val="Arial"/>
        <family val="2"/>
      </rPr>
      <t>Paste Shortcut</t>
    </r>
    <r>
      <rPr>
        <b/>
        <sz val="8"/>
        <color theme="5"/>
        <rFont val="Arial"/>
        <family val="2"/>
      </rPr>
      <t>: Ctrl + V / ⌘ + V</t>
    </r>
  </si>
  <si>
    <t>Alt + E + S + T / ⌘ + Ctrl + V, ⌘ + T</t>
  </si>
  <si>
    <t>Alt + E + S + F / ⌘ + Ctrl + V, ⌘ + F</t>
  </si>
  <si>
    <t>Alt + E + S + V / ⌘ + Ctrl + V, ⌘ + V</t>
  </si>
  <si>
    <r>
      <rPr>
        <b/>
        <u/>
        <sz val="8"/>
        <color theme="5"/>
        <rFont val="Arial"/>
        <family val="2"/>
      </rPr>
      <t>Transpose Shortcut</t>
    </r>
    <r>
      <rPr>
        <b/>
        <sz val="8"/>
        <color theme="5"/>
        <rFont val="Arial"/>
        <family val="2"/>
      </rPr>
      <t>: Alt + E + S + E / ⌘ + Ctrl + V, ⌘ + E</t>
    </r>
  </si>
  <si>
    <t>Ctrl + Shift + 1 / Shift + Ctrl + !</t>
  </si>
  <si>
    <t>Ctrl + Shift + 2 / Shift + Ctrl + @</t>
  </si>
  <si>
    <t>Ctrl + Shift + 3 / Shift + Ctrl + #</t>
  </si>
  <si>
    <t>Ctrl + Shift + 4 / Shift + Ctrl + $</t>
  </si>
  <si>
    <t>Ctrl + Shift + 5 / Shift + Ctrl + %</t>
  </si>
  <si>
    <t>Ctrl + Shift + 6 / Shift + Ctrl + ^</t>
  </si>
  <si>
    <r>
      <rPr>
        <b/>
        <u/>
        <sz val="8"/>
        <color theme="5"/>
        <rFont val="Arial"/>
        <family val="2"/>
      </rPr>
      <t>Bottom Border</t>
    </r>
    <r>
      <rPr>
        <b/>
        <sz val="8"/>
        <color theme="5"/>
        <rFont val="Arial"/>
        <family val="2"/>
      </rPr>
      <t>: Alt + H + B + O / ⌘ + ⌥ + ↓</t>
    </r>
  </si>
  <si>
    <r>
      <rPr>
        <b/>
        <u/>
        <sz val="8"/>
        <color theme="5"/>
        <rFont val="Arial"/>
        <family val="2"/>
      </rPr>
      <t>Top Border</t>
    </r>
    <r>
      <rPr>
        <b/>
        <sz val="8"/>
        <color theme="5"/>
        <rFont val="Arial"/>
        <family val="2"/>
      </rPr>
      <t>: Alt + H + B + P / ⌘ + ⌥ + ↑</t>
    </r>
  </si>
  <si>
    <r>
      <rPr>
        <b/>
        <u/>
        <sz val="8"/>
        <color theme="5"/>
        <rFont val="Arial"/>
        <family val="2"/>
      </rPr>
      <t>Left Border</t>
    </r>
    <r>
      <rPr>
        <b/>
        <sz val="8"/>
        <color theme="5"/>
        <rFont val="Arial"/>
        <family val="2"/>
      </rPr>
      <t>: Alt + H + B + L / ⌘ + ⌥ + ←</t>
    </r>
  </si>
  <si>
    <r>
      <rPr>
        <b/>
        <u/>
        <sz val="8"/>
        <color theme="5"/>
        <rFont val="Arial"/>
        <family val="2"/>
      </rPr>
      <t>Right Border</t>
    </r>
    <r>
      <rPr>
        <b/>
        <sz val="8"/>
        <color theme="5"/>
        <rFont val="Arial"/>
        <family val="2"/>
      </rPr>
      <t>: Alt + H + B + R / ⌘ + ⌥ + →</t>
    </r>
  </si>
  <si>
    <r>
      <rPr>
        <b/>
        <u/>
        <sz val="8"/>
        <color theme="5"/>
        <rFont val="Arial"/>
        <family val="2"/>
      </rPr>
      <t>No Border</t>
    </r>
    <r>
      <rPr>
        <b/>
        <sz val="8"/>
        <color theme="5"/>
        <rFont val="Arial"/>
        <family val="2"/>
      </rPr>
      <t>: Alt + H + B + N / ⌘ + Option + _</t>
    </r>
  </si>
  <si>
    <r>
      <rPr>
        <b/>
        <u/>
        <sz val="8"/>
        <color theme="5"/>
        <rFont val="Arial"/>
        <family val="2"/>
      </rPr>
      <t>Outside Borders</t>
    </r>
    <r>
      <rPr>
        <b/>
        <sz val="8"/>
        <color theme="5"/>
        <rFont val="Arial"/>
        <family val="2"/>
      </rPr>
      <t>: Alt + H + B + S / ⌘ + ⌥ + 0</t>
    </r>
  </si>
  <si>
    <r>
      <rPr>
        <b/>
        <u/>
        <sz val="8"/>
        <color theme="5"/>
        <rFont val="Arial"/>
        <family val="2"/>
      </rPr>
      <t>Add Comment Shortcut</t>
    </r>
    <r>
      <rPr>
        <b/>
        <sz val="8"/>
        <color theme="5"/>
        <rFont val="Arial"/>
        <family val="2"/>
      </rPr>
      <t>: Shift + F2 / Fn + ⇧ + F2</t>
    </r>
  </si>
  <si>
    <r>
      <rPr>
        <b/>
        <u/>
        <sz val="8"/>
        <color theme="5"/>
        <rFont val="Arial"/>
        <family val="2"/>
      </rPr>
      <t>Remove Comment Shortcut</t>
    </r>
    <r>
      <rPr>
        <b/>
        <sz val="8"/>
        <color theme="5"/>
        <rFont val="Arial"/>
        <family val="2"/>
      </rPr>
      <t>: Alt + R + D or Alt + H + E + M / Fn + Shift + F10</t>
    </r>
  </si>
  <si>
    <r>
      <rPr>
        <b/>
        <u/>
        <sz val="8"/>
        <color theme="5"/>
        <rFont val="Arial"/>
        <family val="2"/>
      </rPr>
      <t>Name Manager Shortcut</t>
    </r>
    <r>
      <rPr>
        <b/>
        <sz val="8"/>
        <color theme="5"/>
        <rFont val="Arial"/>
        <family val="2"/>
      </rPr>
      <t>: Ctrl + F3 / ⌘ + Fn + F3</t>
    </r>
  </si>
  <si>
    <r>
      <t>How would you fix this</t>
    </r>
    <r>
      <rPr>
        <b/>
        <sz val="10"/>
        <color theme="5"/>
        <rFont val="Arial"/>
        <family val="2"/>
      </rPr>
      <t xml:space="preserve"> </t>
    </r>
    <r>
      <rPr>
        <sz val="10"/>
        <color theme="1"/>
        <rFont val="Arial"/>
        <family val="2"/>
      </rPr>
      <t>typo without using your mouse, and without retyping this whole sentence again?</t>
    </r>
  </si>
  <si>
    <r>
      <t xml:space="preserve">This is an </t>
    </r>
    <r>
      <rPr>
        <b/>
        <sz val="10"/>
        <color theme="5"/>
        <rFont val="Arial"/>
        <family val="2"/>
      </rPr>
      <t xml:space="preserve">annoyingly </t>
    </r>
    <r>
      <rPr>
        <sz val="10"/>
        <color theme="1"/>
        <rFont val="Arial"/>
        <family val="2"/>
      </rPr>
      <t>long sentence.</t>
    </r>
  </si>
  <si>
    <t>Highlight and delete this word without using your mouse.</t>
  </si>
  <si>
    <t>Maddie</t>
  </si>
  <si>
    <t>Tract</t>
  </si>
  <si>
    <t>Forecast Assumptions</t>
  </si>
  <si>
    <t>Dec-YE</t>
  </si>
  <si>
    <t>Unit</t>
  </si>
  <si>
    <t>Revenue</t>
  </si>
  <si>
    <t>Cupcakes</t>
  </si>
  <si>
    <t>Number of Units Sold</t>
  </si>
  <si>
    <t>#</t>
  </si>
  <si>
    <t>Average Sale Price</t>
  </si>
  <si>
    <t>$</t>
  </si>
  <si>
    <t>Ice Cream</t>
  </si>
  <si>
    <t>Drinks</t>
  </si>
  <si>
    <t>Costs</t>
  </si>
  <si>
    <t>Cost of Goods Sold (COGS)</t>
  </si>
  <si>
    <t>COGS per Cupcake</t>
  </si>
  <si>
    <t>COGS per Ice Cream</t>
  </si>
  <si>
    <t>COGS per Drink</t>
  </si>
  <si>
    <t>Operating Expenses (OpEx)</t>
  </si>
  <si>
    <t>Staff Costs</t>
  </si>
  <si>
    <t>Occupancy costs</t>
  </si>
  <si>
    <t>Marketing Costs</t>
  </si>
  <si>
    <t>Other Costs</t>
  </si>
  <si>
    <t>Depreciation &amp; Amortization (D&amp;A)</t>
  </si>
  <si>
    <t>Annual D&amp;A</t>
  </si>
  <si>
    <t>% of revenue</t>
  </si>
  <si>
    <t>Cash Flow</t>
  </si>
  <si>
    <t>Capital Expenditure (Capex)</t>
  </si>
  <si>
    <t>Change in Net Working Capital (NWC)</t>
  </si>
  <si>
    <t>Dividend Payout Ratio</t>
  </si>
  <si>
    <t>%</t>
  </si>
  <si>
    <t>Other</t>
  </si>
  <si>
    <t>Debt Interest Rate</t>
  </si>
  <si>
    <t>Cash Interest Rate</t>
  </si>
  <si>
    <t>END</t>
  </si>
  <si>
    <t>P&amp;L Forecast</t>
  </si>
  <si>
    <t>Total Revenue</t>
  </si>
  <si>
    <t>Growth</t>
  </si>
  <si>
    <t>Cupcakes COGS</t>
  </si>
  <si>
    <t>Ice Cream COGS</t>
  </si>
  <si>
    <t>Drinks COGS</t>
  </si>
  <si>
    <t>Gross Profit</t>
  </si>
  <si>
    <t>Margin</t>
  </si>
  <si>
    <t>Occupancy Costs</t>
  </si>
  <si>
    <t>EBITDA</t>
  </si>
  <si>
    <t>D&amp;A</t>
  </si>
  <si>
    <t>EBIT (Operating Income)</t>
  </si>
  <si>
    <t>Net Interest</t>
  </si>
  <si>
    <t>Profit Before Tax (PBT)</t>
  </si>
  <si>
    <t>Tax Expense</t>
  </si>
  <si>
    <t>Net Profit After Tax (NPAT)</t>
  </si>
  <si>
    <t>Dividends</t>
  </si>
  <si>
    <t>Gross Dividends</t>
  </si>
  <si>
    <t>Closing Debt</t>
  </si>
  <si>
    <t>Debt Repayment</t>
  </si>
  <si>
    <t>Opening Debt</t>
  </si>
  <si>
    <t>Supporting Debt Schedule</t>
  </si>
  <si>
    <t>Closing Cash</t>
  </si>
  <si>
    <t>Cash to Balance Sheet</t>
  </si>
  <si>
    <t>Opening Cash</t>
  </si>
  <si>
    <t>Net Cash Flow</t>
  </si>
  <si>
    <t>Net Capex</t>
  </si>
  <si>
    <t>NWC</t>
  </si>
  <si>
    <t>Taxes</t>
  </si>
  <si>
    <t>Cash Flow Forecast</t>
  </si>
  <si>
    <t>Cupcakes Operating Metrics (2020-24) - Combination Column &amp; Line Chart</t>
  </si>
  <si>
    <t>Forecast Cash (2020-24) - Area Chart</t>
  </si>
  <si>
    <t>Forecast Debt (2020-24) - Line Chart</t>
  </si>
  <si>
    <t>Forecast Revenue (2020-24) - Column Chart</t>
  </si>
  <si>
    <t>Example Chart (Cupcake Volume - 2020-24)</t>
  </si>
  <si>
    <t>Outputs</t>
  </si>
  <si>
    <t>NOTE: instructions to make outputs were on Forage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</si>
</sst>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quot;$&quot;#,##0.00_);[Red]\(&quot;$&quot;#,##0.00\)"/>
    <numFmt numFmtId="164" formatCode="&quot;$&quot;#,##0;[Red]\-&quot;$&quot;#,##0"/>
    <numFmt numFmtId="165" formatCode="&quot;$&quot;#,##0.00;[Red]\-&quot;$&quot;#,##0.00"/>
    <numFmt numFmtId="166" formatCode="0.0%"/>
    <numFmt numFmtId="167" formatCode="&quot;$&quot;#,##0"/>
    <numFmt numFmtId="168" formatCode="&quot;FY&quot;yy&quot;A&quot;"/>
    <numFmt numFmtId="169" formatCode="&quot;FY&quot;yy&quot;E&quot;"/>
    <numFmt numFmtId="170" formatCode="#,##0;\(#,##0\);\-"/>
    <numFmt numFmtId="171" formatCode="#,##0.00;\(#,##0.00\);\-"/>
    <numFmt numFmtId="172" formatCode="0.0%;\(0.0%\);\-"/>
    <numFmt numFmtId="173" formatCode="0%;\(0%\);\-"/>
    <numFmt numFmtId="174" formatCode="#,##0;&quot;0&quot;"/>
  </numFmts>
  <fonts count="24" x14ac:knownFonts="1">
    <font>
      <sz val="11"/>
      <color theme="1"/>
      <name val="Calibri"/>
      <family val="2"/>
      <scheme val="minor"/>
    </font>
    <font>
      <sz val="12"/>
      <color theme="1"/>
      <name val="Arial"/>
      <family val="2"/>
    </font>
    <font>
      <sz val="10"/>
      <color theme="1"/>
      <name val="Arial"/>
      <family val="2"/>
    </font>
    <font>
      <sz val="12"/>
      <color theme="0"/>
      <name val="Arial"/>
      <family val="2"/>
    </font>
    <font>
      <b/>
      <sz val="12"/>
      <color theme="0"/>
      <name val="Arial"/>
      <family val="2"/>
    </font>
    <font>
      <b/>
      <sz val="10"/>
      <color theme="1"/>
      <name val="Arial"/>
      <family val="2"/>
    </font>
    <font>
      <sz val="10"/>
      <name val="Arial"/>
      <family val="2"/>
    </font>
    <font>
      <b/>
      <sz val="8"/>
      <color theme="5"/>
      <name val="Arial"/>
      <family val="2"/>
    </font>
    <font>
      <b/>
      <u/>
      <sz val="8"/>
      <color theme="5"/>
      <name val="Arial"/>
      <family val="2"/>
    </font>
    <font>
      <sz val="10"/>
      <color theme="5"/>
      <name val="Arial"/>
      <family val="2"/>
    </font>
    <font>
      <b/>
      <sz val="10"/>
      <name val="Arial"/>
      <family val="2"/>
    </font>
    <font>
      <b/>
      <sz val="10"/>
      <color theme="5"/>
      <name val="Arial"/>
      <family val="2"/>
    </font>
    <font>
      <i/>
      <sz val="10"/>
      <color theme="1"/>
      <name val="Arial"/>
      <family val="2"/>
    </font>
    <font>
      <b/>
      <i/>
      <sz val="10"/>
      <color theme="1"/>
      <name val="Arial"/>
      <family val="2"/>
    </font>
    <font>
      <b/>
      <i/>
      <sz val="10"/>
      <color theme="5"/>
      <name val="Arial"/>
      <family val="2"/>
    </font>
    <font>
      <u/>
      <sz val="10"/>
      <name val="Arial"/>
      <family val="2"/>
    </font>
    <font>
      <b/>
      <sz val="12"/>
      <color theme="1"/>
      <name val="Arial"/>
      <family val="2"/>
    </font>
    <font>
      <sz val="14"/>
      <color theme="1"/>
      <name val="Arial"/>
      <family val="2"/>
    </font>
    <font>
      <b/>
      <sz val="14"/>
      <color theme="0"/>
      <name val="Arial"/>
      <family val="2"/>
    </font>
    <font>
      <b/>
      <sz val="9"/>
      <color indexed="81"/>
      <name val="Tahoma"/>
      <family val="2"/>
    </font>
    <font>
      <b/>
      <u/>
      <sz val="10"/>
      <color theme="1"/>
      <name val="Arial"/>
      <family val="2"/>
    </font>
    <font>
      <sz val="9"/>
      <color indexed="81"/>
      <name val="Tahoma"/>
      <family val="2"/>
    </font>
    <font>
      <b/>
      <sz val="10"/>
      <color theme="0"/>
      <name val="Arial"/>
      <family val="2"/>
    </font>
    <font>
      <sz val="10"/>
      <color rgb="FF0000FF"/>
      <name val="Arial"/>
      <family val="2"/>
    </font>
  </fonts>
  <fills count="8">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indexed="9"/>
        <bgColor indexed="64"/>
      </patternFill>
    </fill>
    <fill>
      <patternFill patternType="solid">
        <fgColor theme="8" tint="0.59999389629810485"/>
        <bgColor indexed="64"/>
      </patternFill>
    </fill>
    <fill>
      <patternFill patternType="solid">
        <fgColor theme="0"/>
        <bgColor indexed="64"/>
      </patternFill>
    </fill>
    <fill>
      <patternFill patternType="solid">
        <fgColor rgb="FFBDD7EE"/>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6" fillId="0" borderId="0"/>
  </cellStyleXfs>
  <cellXfs count="116">
    <xf numFmtId="0" fontId="0" fillId="0" borderId="0" xfId="0"/>
    <xf numFmtId="0" fontId="2" fillId="0" borderId="0" xfId="0" applyFont="1"/>
    <xf numFmtId="0" fontId="5" fillId="0" borderId="0" xfId="0" applyFont="1"/>
    <xf numFmtId="0" fontId="5" fillId="0" borderId="0" xfId="0" applyFont="1" applyAlignment="1">
      <alignment horizontal="left"/>
    </xf>
    <xf numFmtId="0" fontId="6" fillId="4" borderId="0" xfId="1" applyFill="1" applyProtection="1">
      <protection locked="0"/>
    </xf>
    <xf numFmtId="0" fontId="7" fillId="4" borderId="0" xfId="1" applyFont="1" applyFill="1" applyAlignment="1" applyProtection="1">
      <alignment vertical="center"/>
      <protection locked="0"/>
    </xf>
    <xf numFmtId="0" fontId="9" fillId="4" borderId="0" xfId="1" applyFont="1" applyFill="1" applyAlignment="1" applyProtection="1">
      <alignment horizontal="left" vertical="center"/>
      <protection locked="0"/>
    </xf>
    <xf numFmtId="0" fontId="9" fillId="4" borderId="0" xfId="1" applyFont="1" applyFill="1" applyProtection="1">
      <protection locked="0"/>
    </xf>
    <xf numFmtId="0" fontId="2" fillId="5" borderId="0" xfId="0" applyFont="1" applyFill="1"/>
    <xf numFmtId="0" fontId="2" fillId="0" borderId="0" xfId="0" quotePrefix="1" applyFont="1"/>
    <xf numFmtId="0" fontId="12" fillId="0" borderId="0" xfId="0" applyFont="1"/>
    <xf numFmtId="0" fontId="2" fillId="5" borderId="0" xfId="0" quotePrefix="1" applyFont="1" applyFill="1"/>
    <xf numFmtId="0" fontId="9" fillId="0" borderId="0" xfId="0" applyFont="1"/>
    <xf numFmtId="0" fontId="13" fillId="0" borderId="0" xfId="0" applyFont="1"/>
    <xf numFmtId="14" fontId="6" fillId="4" borderId="0" xfId="1" applyNumberFormat="1" applyFill="1" applyAlignment="1" applyProtection="1">
      <alignment horizontal="left"/>
      <protection locked="0"/>
    </xf>
    <xf numFmtId="15" fontId="2" fillId="5" borderId="0" xfId="0" quotePrefix="1" applyNumberFormat="1" applyFont="1" applyFill="1"/>
    <xf numFmtId="0" fontId="6" fillId="4" borderId="0" xfId="1" quotePrefix="1" applyFill="1" applyProtection="1">
      <protection locked="0"/>
    </xf>
    <xf numFmtId="0" fontId="6" fillId="5" borderId="0" xfId="1" applyFill="1" applyProtection="1">
      <protection locked="0"/>
    </xf>
    <xf numFmtId="0" fontId="6" fillId="4" borderId="1" xfId="1" applyFill="1" applyBorder="1" applyProtection="1">
      <protection locked="0"/>
    </xf>
    <xf numFmtId="0" fontId="2" fillId="0" borderId="0" xfId="0" applyFont="1" applyAlignment="1">
      <alignment horizontal="left"/>
    </xf>
    <xf numFmtId="0" fontId="2" fillId="0" borderId="0" xfId="0" applyFont="1" applyAlignment="1">
      <alignment vertical="center"/>
    </xf>
    <xf numFmtId="0" fontId="9" fillId="6" borderId="0" xfId="1" applyFont="1" applyFill="1" applyProtection="1">
      <protection locked="0"/>
    </xf>
    <xf numFmtId="0" fontId="15" fillId="4" borderId="0" xfId="1" applyFont="1" applyFill="1" applyProtection="1">
      <protection locked="0"/>
    </xf>
    <xf numFmtId="0" fontId="6" fillId="4" borderId="0" xfId="1" applyFill="1" applyAlignment="1" applyProtection="1">
      <alignment horizontal="left"/>
      <protection locked="0"/>
    </xf>
    <xf numFmtId="0" fontId="6" fillId="4" borderId="1" xfId="1" applyFill="1" applyBorder="1" applyAlignment="1" applyProtection="1">
      <alignment horizontal="center"/>
      <protection locked="0"/>
    </xf>
    <xf numFmtId="0" fontId="6" fillId="4" borderId="0" xfId="1" applyFill="1" applyAlignment="1" applyProtection="1">
      <alignment horizontal="center"/>
      <protection locked="0"/>
    </xf>
    <xf numFmtId="0" fontId="6" fillId="0" borderId="0" xfId="1" applyAlignment="1" applyProtection="1">
      <alignment horizontal="center"/>
      <protection locked="0"/>
    </xf>
    <xf numFmtId="165" fontId="6" fillId="0" borderId="1" xfId="1" applyNumberFormat="1" applyBorder="1" applyAlignment="1" applyProtection="1">
      <alignment horizontal="center"/>
      <protection locked="0"/>
    </xf>
    <xf numFmtId="165" fontId="6" fillId="0" borderId="0" xfId="1" applyNumberFormat="1" applyAlignment="1" applyProtection="1">
      <alignment horizontal="center"/>
      <protection locked="0"/>
    </xf>
    <xf numFmtId="0" fontId="6" fillId="4" borderId="1" xfId="1" applyFill="1" applyBorder="1" applyAlignment="1" applyProtection="1">
      <alignment horizontal="left"/>
      <protection locked="0"/>
    </xf>
    <xf numFmtId="0" fontId="16" fillId="0" borderId="0" xfId="0" applyFont="1" applyAlignment="1">
      <alignment horizontal="left"/>
    </xf>
    <xf numFmtId="0" fontId="16" fillId="0" borderId="0" xfId="0" applyFont="1"/>
    <xf numFmtId="0" fontId="1" fillId="0" borderId="0" xfId="0" applyFont="1"/>
    <xf numFmtId="0" fontId="3" fillId="4" borderId="0" xfId="1" applyFont="1" applyFill="1" applyProtection="1">
      <protection locked="0"/>
    </xf>
    <xf numFmtId="0" fontId="4" fillId="3" borderId="0" xfId="0" applyFont="1" applyFill="1"/>
    <xf numFmtId="0" fontId="1" fillId="3" borderId="0" xfId="0" applyFont="1" applyFill="1"/>
    <xf numFmtId="0" fontId="17" fillId="2" borderId="0" xfId="0" applyFont="1" applyFill="1"/>
    <xf numFmtId="0" fontId="18" fillId="2" borderId="0" xfId="0" applyFont="1" applyFill="1"/>
    <xf numFmtId="0" fontId="13" fillId="0" borderId="0" xfId="0" applyFont="1" applyAlignment="1">
      <alignment horizontal="left" vertical="center" wrapText="1"/>
    </xf>
    <xf numFmtId="0" fontId="6" fillId="5" borderId="2" xfId="1" applyFill="1" applyBorder="1" applyProtection="1">
      <protection locked="0"/>
    </xf>
    <xf numFmtId="165" fontId="6" fillId="5" borderId="0" xfId="1" applyNumberFormat="1" applyFill="1" applyProtection="1">
      <protection locked="0"/>
    </xf>
    <xf numFmtId="0" fontId="6" fillId="5" borderId="1" xfId="1" applyFill="1" applyBorder="1" applyAlignment="1" applyProtection="1">
      <alignment horizontal="center"/>
      <protection locked="0"/>
    </xf>
    <xf numFmtId="165" fontId="6" fillId="5" borderId="0" xfId="1" applyNumberFormat="1" applyFill="1" applyAlignment="1" applyProtection="1">
      <alignment horizontal="center"/>
      <protection locked="0"/>
    </xf>
    <xf numFmtId="14" fontId="6" fillId="5" borderId="0" xfId="1" applyNumberFormat="1" applyFill="1" applyAlignment="1" applyProtection="1">
      <alignment horizontal="center"/>
      <protection locked="0"/>
    </xf>
    <xf numFmtId="166" fontId="6" fillId="0" borderId="0" xfId="1" applyNumberFormat="1" applyProtection="1">
      <protection locked="0"/>
    </xf>
    <xf numFmtId="166" fontId="6" fillId="4" borderId="0" xfId="1" applyNumberFormat="1" applyFill="1" applyProtection="1">
      <protection locked="0"/>
    </xf>
    <xf numFmtId="166" fontId="6" fillId="5" borderId="0" xfId="1" applyNumberFormat="1" applyFill="1" applyProtection="1">
      <protection locked="0"/>
    </xf>
    <xf numFmtId="0" fontId="6" fillId="5" borderId="0" xfId="1" applyFill="1" applyAlignment="1" applyProtection="1">
      <alignment horizontal="left"/>
      <protection locked="0"/>
    </xf>
    <xf numFmtId="164" fontId="6" fillId="5" borderId="0" xfId="1" applyNumberFormat="1" applyFill="1" applyAlignment="1" applyProtection="1">
      <alignment horizontal="left"/>
      <protection locked="0"/>
    </xf>
    <xf numFmtId="0" fontId="20" fillId="0" borderId="0" xfId="0" applyFont="1"/>
    <xf numFmtId="0" fontId="2" fillId="5" borderId="0" xfId="0" applyFont="1" applyFill="1" applyAlignment="1">
      <alignment horizontal="right" vertical="center"/>
    </xf>
    <xf numFmtId="0" fontId="2" fillId="5" borderId="0" xfId="0" applyFont="1" applyFill="1" applyAlignment="1">
      <alignment horizontal="center" vertical="center"/>
    </xf>
    <xf numFmtId="167" fontId="2" fillId="5" borderId="0" xfId="0" quotePrefix="1" applyNumberFormat="1" applyFont="1" applyFill="1"/>
    <xf numFmtId="4" fontId="6" fillId="5" borderId="0" xfId="1" applyNumberFormat="1" applyFill="1" applyProtection="1">
      <protection locked="0"/>
    </xf>
    <xf numFmtId="18" fontId="6" fillId="5" borderId="0" xfId="1" applyNumberFormat="1" applyFill="1" applyProtection="1">
      <protection locked="0"/>
    </xf>
    <xf numFmtId="15" fontId="6" fillId="5" borderId="0" xfId="1" applyNumberFormat="1" applyFill="1" applyProtection="1">
      <protection locked="0"/>
    </xf>
    <xf numFmtId="8" fontId="6" fillId="5" borderId="0" xfId="1" applyNumberFormat="1" applyFill="1" applyProtection="1">
      <protection locked="0"/>
    </xf>
    <xf numFmtId="9" fontId="6" fillId="5" borderId="0" xfId="1" applyNumberFormat="1" applyFill="1" applyProtection="1">
      <protection locked="0"/>
    </xf>
    <xf numFmtId="11" fontId="6" fillId="5" borderId="0" xfId="1" applyNumberFormat="1" applyFill="1" applyProtection="1">
      <protection locked="0"/>
    </xf>
    <xf numFmtId="0" fontId="6" fillId="5" borderId="1" xfId="1" applyFill="1" applyBorder="1" applyProtection="1">
      <protection locked="0"/>
    </xf>
    <xf numFmtId="0" fontId="6" fillId="5" borderId="3" xfId="1" applyFill="1" applyBorder="1" applyProtection="1">
      <protection locked="0"/>
    </xf>
    <xf numFmtId="0" fontId="6" fillId="5" borderId="4" xfId="1" applyFill="1" applyBorder="1" applyProtection="1">
      <protection locked="0"/>
    </xf>
    <xf numFmtId="0" fontId="6" fillId="5" borderId="5" xfId="1" applyFill="1" applyBorder="1" applyProtection="1">
      <protection locked="0"/>
    </xf>
    <xf numFmtId="0" fontId="6" fillId="5" borderId="7" xfId="1" applyFill="1" applyBorder="1" applyProtection="1">
      <protection locked="0"/>
    </xf>
    <xf numFmtId="0" fontId="6" fillId="5" borderId="6" xfId="1" applyFill="1" applyBorder="1" applyProtection="1">
      <protection locked="0"/>
    </xf>
    <xf numFmtId="0" fontId="6" fillId="5" borderId="0" xfId="1" applyFill="1" applyAlignment="1">
      <alignment horizontal="left"/>
    </xf>
    <xf numFmtId="0" fontId="10" fillId="4" borderId="0" xfId="1" applyFont="1" applyFill="1" applyAlignment="1" applyProtection="1">
      <alignment horizontal="center"/>
      <protection locked="0"/>
    </xf>
    <xf numFmtId="0" fontId="6" fillId="5" borderId="0" xfId="1" applyFill="1" applyAlignment="1" applyProtection="1">
      <alignment horizontal="left"/>
      <protection locked="0"/>
    </xf>
    <xf numFmtId="0" fontId="6" fillId="6" borderId="0" xfId="1" applyFill="1" applyAlignment="1" applyProtection="1">
      <alignment horizontal="left"/>
      <protection locked="0"/>
    </xf>
    <xf numFmtId="0" fontId="13" fillId="0" borderId="0" xfId="0" applyFont="1" applyAlignment="1">
      <alignment horizontal="left" vertical="center" wrapText="1"/>
    </xf>
    <xf numFmtId="0" fontId="2" fillId="5" borderId="0" xfId="0" applyFont="1" applyFill="1" applyAlignment="1">
      <alignment horizontal="left"/>
    </xf>
    <xf numFmtId="0" fontId="1" fillId="2" borderId="0" xfId="0" applyFont="1" applyFill="1"/>
    <xf numFmtId="0" fontId="22" fillId="2" borderId="0" xfId="0" applyFont="1" applyFill="1"/>
    <xf numFmtId="0" fontId="5" fillId="0" borderId="1" xfId="0" applyFont="1" applyBorder="1"/>
    <xf numFmtId="0" fontId="5" fillId="0" borderId="1" xfId="0" applyFont="1" applyBorder="1" applyAlignment="1">
      <alignment horizontal="center"/>
    </xf>
    <xf numFmtId="168" fontId="5" fillId="0" borderId="1" xfId="0" applyNumberFormat="1" applyFont="1" applyBorder="1" applyAlignment="1">
      <alignment horizontal="right"/>
    </xf>
    <xf numFmtId="169" fontId="5" fillId="0" borderId="1" xfId="0" applyNumberFormat="1" applyFont="1" applyBorder="1" applyAlignment="1">
      <alignment horizontal="right"/>
    </xf>
    <xf numFmtId="0" fontId="2" fillId="0" borderId="0" xfId="0" applyFont="1" applyAlignment="1">
      <alignment horizontal="right"/>
    </xf>
    <xf numFmtId="0" fontId="22" fillId="3" borderId="0" xfId="0" applyFont="1" applyFill="1"/>
    <xf numFmtId="0" fontId="2" fillId="3" borderId="0" xfId="0" applyFont="1" applyFill="1"/>
    <xf numFmtId="0" fontId="2" fillId="3" borderId="0" xfId="0" applyFont="1" applyFill="1" applyAlignment="1">
      <alignment horizontal="right"/>
    </xf>
    <xf numFmtId="0" fontId="2" fillId="0" borderId="0" xfId="0" applyFont="1" applyAlignment="1">
      <alignment horizontal="center"/>
    </xf>
    <xf numFmtId="0" fontId="5" fillId="0" borderId="0" xfId="0" applyFont="1" applyAlignment="1">
      <alignment horizontal="right"/>
    </xf>
    <xf numFmtId="170" fontId="23" fillId="5" borderId="2" xfId="0" applyNumberFormat="1" applyFont="1" applyFill="1" applyBorder="1" applyAlignment="1">
      <alignment horizontal="right"/>
    </xf>
    <xf numFmtId="171" fontId="23" fillId="5" borderId="2" xfId="0" applyNumberFormat="1" applyFont="1" applyFill="1" applyBorder="1" applyAlignment="1">
      <alignment horizontal="right"/>
    </xf>
    <xf numFmtId="171" fontId="23" fillId="5" borderId="0" xfId="0" applyNumberFormat="1" applyFont="1" applyFill="1" applyAlignment="1">
      <alignment horizontal="right"/>
    </xf>
    <xf numFmtId="4" fontId="23" fillId="5" borderId="2" xfId="0" applyNumberFormat="1" applyFont="1" applyFill="1" applyBorder="1" applyAlignment="1">
      <alignment horizontal="right"/>
    </xf>
    <xf numFmtId="171" fontId="23" fillId="0" borderId="0" xfId="0" applyNumberFormat="1" applyFont="1" applyAlignment="1">
      <alignment horizontal="right"/>
    </xf>
    <xf numFmtId="172" fontId="23" fillId="5" borderId="2" xfId="0" applyNumberFormat="1" applyFont="1" applyFill="1" applyBorder="1" applyAlignment="1">
      <alignment horizontal="right"/>
    </xf>
    <xf numFmtId="0" fontId="2" fillId="2" borderId="0" xfId="0" applyFont="1" applyFill="1"/>
    <xf numFmtId="0" fontId="2" fillId="5" borderId="0" xfId="0" applyFont="1" applyFill="1" applyAlignment="1">
      <alignment horizontal="center"/>
    </xf>
    <xf numFmtId="170" fontId="2" fillId="5" borderId="0" xfId="0" applyNumberFormat="1" applyFont="1" applyFill="1" applyAlignment="1">
      <alignment horizontal="right"/>
    </xf>
    <xf numFmtId="0" fontId="5" fillId="0" borderId="3" xfId="0" applyFont="1" applyBorder="1"/>
    <xf numFmtId="0" fontId="5" fillId="0" borderId="3" xfId="0" applyFont="1" applyBorder="1" applyAlignment="1">
      <alignment horizontal="center"/>
    </xf>
    <xf numFmtId="170" fontId="5" fillId="0" borderId="3" xfId="0" applyNumberFormat="1" applyFont="1" applyBorder="1" applyAlignment="1">
      <alignment horizontal="right"/>
    </xf>
    <xf numFmtId="170" fontId="5" fillId="5" borderId="3" xfId="0" applyNumberFormat="1" applyFont="1" applyFill="1" applyBorder="1" applyAlignment="1">
      <alignment horizontal="right"/>
    </xf>
    <xf numFmtId="0" fontId="12" fillId="0" borderId="0" xfId="0" applyFont="1" applyAlignment="1">
      <alignment horizontal="left" indent="1"/>
    </xf>
    <xf numFmtId="173" fontId="12" fillId="0" borderId="0" xfId="0" applyNumberFormat="1" applyFont="1" applyAlignment="1">
      <alignment horizontal="right"/>
    </xf>
    <xf numFmtId="173" fontId="12" fillId="5" borderId="0" xfId="0" applyNumberFormat="1" applyFont="1" applyFill="1" applyAlignment="1">
      <alignment horizontal="right"/>
    </xf>
    <xf numFmtId="170" fontId="2" fillId="0" borderId="0" xfId="0" applyNumberFormat="1" applyFont="1" applyAlignment="1">
      <alignment horizontal="right"/>
    </xf>
    <xf numFmtId="173" fontId="2" fillId="5" borderId="0" xfId="0" applyNumberFormat="1" applyFont="1" applyFill="1" applyAlignment="1">
      <alignment horizontal="right"/>
    </xf>
    <xf numFmtId="170" fontId="5" fillId="5" borderId="3" xfId="0" applyNumberFormat="1" applyFont="1" applyFill="1" applyBorder="1"/>
    <xf numFmtId="170" fontId="10" fillId="0" borderId="3" xfId="0" applyNumberFormat="1" applyFont="1" applyBorder="1"/>
    <xf numFmtId="170" fontId="2" fillId="5" borderId="0" xfId="0" applyNumberFormat="1" applyFont="1" applyFill="1"/>
    <xf numFmtId="174" fontId="5" fillId="5" borderId="3" xfId="0" applyNumberFormat="1" applyFont="1" applyFill="1" applyBorder="1"/>
    <xf numFmtId="174" fontId="2" fillId="5" borderId="3" xfId="0" applyNumberFormat="1" applyFont="1" applyFill="1" applyBorder="1"/>
    <xf numFmtId="170" fontId="5" fillId="0" borderId="3" xfId="0" applyNumberFormat="1" applyFont="1" applyBorder="1"/>
    <xf numFmtId="170" fontId="2" fillId="7" borderId="0" xfId="0" applyNumberFormat="1" applyFont="1" applyFill="1" applyAlignment="1">
      <alignment horizontal="right"/>
    </xf>
    <xf numFmtId="0" fontId="2" fillId="0" borderId="8" xfId="0" applyFont="1" applyBorder="1"/>
    <xf numFmtId="0" fontId="2" fillId="0" borderId="1" xfId="0" applyFont="1" applyBorder="1"/>
    <xf numFmtId="0" fontId="2" fillId="0" borderId="9" xfId="0" applyFont="1" applyBorder="1"/>
    <xf numFmtId="0" fontId="2" fillId="0" borderId="5" xfId="0" applyFont="1" applyBorder="1"/>
    <xf numFmtId="0" fontId="2" fillId="0" borderId="4" xfId="0" applyFont="1" applyBorder="1"/>
    <xf numFmtId="0" fontId="2" fillId="0" borderId="10" xfId="0" applyFont="1" applyBorder="1"/>
    <xf numFmtId="0" fontId="2" fillId="0" borderId="3" xfId="0" applyFont="1" applyBorder="1"/>
    <xf numFmtId="0" fontId="5" fillId="0" borderId="11" xfId="0" applyFont="1" applyBorder="1"/>
  </cellXfs>
  <cellStyles count="2">
    <cellStyle name="Normal" xfId="0" builtinId="0"/>
    <cellStyle name="Normal 2" xfId="1" xr:uid="{DB27567B-B746-4B68-A348-CA6AB2C6A1D7}"/>
  </cellStyles>
  <dxfs count="0"/>
  <tableStyles count="0" defaultTableStyle="TableStyleMedium2" defaultPivotStyle="PivotStyleLight16"/>
  <colors>
    <mruColors>
      <color rgb="FF00BD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'[3]Forecast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'[3]Forecast Assumptions'!$E$3:$I$3</c:f>
              <c:numCache>
                <c:formatCode>"FY"yy"E"</c:formatCode>
                <c:ptCount val="5"/>
                <c:pt idx="0">
                  <c:v>44196</c:v>
                </c:pt>
                <c:pt idx="1">
                  <c:v>44561</c:v>
                </c:pt>
                <c:pt idx="2">
                  <c:v>44926</c:v>
                </c:pt>
                <c:pt idx="3">
                  <c:v>45291</c:v>
                </c:pt>
                <c:pt idx="4">
                  <c:v>45657</c:v>
                </c:pt>
              </c:numCache>
            </c:numRef>
          </c:cat>
          <c:val>
            <c:numRef>
              <c:f>'[3]Forecast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C53A-45CF-9E0B-071605483BB5}"/>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40360861794287"/>
          <c:y val="7.4834289189155745E-2"/>
          <c:w val="0.7900149421359437"/>
          <c:h val="0.84275646309972263"/>
        </c:manualLayout>
      </c:layout>
      <c:lineChart>
        <c:grouping val="standard"/>
        <c:varyColors val="0"/>
        <c:ser>
          <c:idx val="0"/>
          <c:order val="0"/>
          <c:tx>
            <c:v>Closing Debt</c:v>
          </c:tx>
          <c:spPr>
            <a:ln w="22225" cap="rnd">
              <a:solidFill>
                <a:srgbClr val="002D72"/>
              </a:solidFill>
              <a:round/>
            </a:ln>
            <a:effectLst/>
          </c:spPr>
          <c:marker>
            <c:symbol val="diamond"/>
            <c:size val="6"/>
            <c:spPr>
              <a:solidFill>
                <a:schemeClr val="accent1"/>
              </a:solidFill>
              <a:ln w="9525">
                <a:solidFill>
                  <a:schemeClr val="accent1"/>
                </a:solidFill>
                <a:round/>
              </a:ln>
              <a:effectLst/>
            </c:spPr>
          </c:marker>
          <c:dPt>
            <c:idx val="3"/>
            <c:marker>
              <c:symbol val="diamond"/>
              <c:size val="6"/>
              <c:spPr>
                <a:solidFill>
                  <a:schemeClr val="accent1"/>
                </a:solidFill>
                <a:ln w="9525">
                  <a:solidFill>
                    <a:schemeClr val="accent1"/>
                  </a:solidFill>
                  <a:round/>
                </a:ln>
                <a:effectLst/>
              </c:spPr>
            </c:marker>
            <c:bubble3D val="0"/>
            <c:spPr>
              <a:ln w="22225" cap="rnd">
                <a:solidFill>
                  <a:srgbClr val="002D72"/>
                </a:solidFill>
                <a:round/>
              </a:ln>
              <a:effectLst/>
            </c:spPr>
            <c:extLst>
              <c:ext xmlns:c16="http://schemas.microsoft.com/office/drawing/2014/chart" uri="{C3380CC4-5D6E-409C-BE32-E72D297353CC}">
                <c16:uniqueId val="{00000001-3248-4435-87CC-61764FB0C5FB}"/>
              </c:ext>
            </c:extLst>
          </c:dPt>
          <c:dLbls>
            <c:numFmt formatCode="#,##0" sourceLinked="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extLst>
                <c:ext xmlns:c15="http://schemas.microsoft.com/office/drawing/2012/chart" uri="{02D57815-91ED-43cb-92C2-25804820EDAC}">
                  <c15:fullRef>
                    <c15:sqref>'[3]Cash Flow Forecast'!$D$3:$I$3</c15:sqref>
                  </c15:fullRef>
                </c:ext>
              </c:extLst>
              <c:f>'[3]Cash Flow Forecast'!$E$3:$I$3</c:f>
              <c:numCache>
                <c:formatCode>"FY"yy"E"</c:formatCode>
                <c:ptCount val="5"/>
                <c:pt idx="0">
                  <c:v>44196</c:v>
                </c:pt>
                <c:pt idx="1">
                  <c:v>44561</c:v>
                </c:pt>
                <c:pt idx="2">
                  <c:v>44926</c:v>
                </c:pt>
                <c:pt idx="3">
                  <c:v>45291</c:v>
                </c:pt>
                <c:pt idx="4">
                  <c:v>45657</c:v>
                </c:pt>
              </c:numCache>
            </c:numRef>
          </c:cat>
          <c:val>
            <c:numRef>
              <c:extLst>
                <c:ext xmlns:c15="http://schemas.microsoft.com/office/drawing/2012/chart" uri="{02D57815-91ED-43cb-92C2-25804820EDAC}">
                  <c15:fullRef>
                    <c15:sqref>'[3]Cash Flow Forecast'!$D$23:$I$23</c15:sqref>
                  </c15:fullRef>
                </c:ext>
              </c:extLst>
              <c:f>'[3]Cash Flow Forecast'!$E$23:$I$23</c:f>
              <c:numCache>
                <c:formatCode>#,##0;\(#,##0\);\-</c:formatCode>
                <c:ptCount val="5"/>
                <c:pt idx="0">
                  <c:v>351465.6</c:v>
                </c:pt>
                <c:pt idx="1">
                  <c:v>285148.92638399999</c:v>
                </c:pt>
                <c:pt idx="2">
                  <c:v>199269.11056613372</c:v>
                </c:pt>
                <c:pt idx="3">
                  <c:v>92237.198721037974</c:v>
                </c:pt>
                <c:pt idx="4">
                  <c:v>0</c:v>
                </c:pt>
              </c:numCache>
            </c:numRef>
          </c:val>
          <c:smooth val="0"/>
          <c:extLst>
            <c:ext xmlns:c16="http://schemas.microsoft.com/office/drawing/2014/chart" uri="{C3380CC4-5D6E-409C-BE32-E72D297353CC}">
              <c16:uniqueId val="{00000002-3248-4435-87CC-61764FB0C5FB}"/>
            </c:ext>
          </c:extLst>
        </c:ser>
        <c:dLbls>
          <c:dLblPos val="t"/>
          <c:showLegendKey val="0"/>
          <c:showVal val="1"/>
          <c:showCatName val="0"/>
          <c:showSerName val="0"/>
          <c:showPercent val="0"/>
          <c:showBubbleSize val="0"/>
        </c:dLbls>
        <c:marker val="1"/>
        <c:smooth val="0"/>
        <c:axId val="2137399967"/>
        <c:axId val="2137409535"/>
        <c:extLst>
          <c:ext xmlns:c15="http://schemas.microsoft.com/office/drawing/2012/chart" uri="{02D57815-91ED-43cb-92C2-25804820EDAC}">
            <c15:filteredLineSeries>
              <c15:ser>
                <c:idx val="1"/>
                <c:order val="1"/>
                <c:tx>
                  <c:strRef>
                    <c:extLst>
                      <c:ext uri="{02D57815-91ED-43cb-92C2-25804820EDAC}">
                        <c15:formulaRef>
                          <c15:sqref>'[3]Cash Flow Forecast'!$D$3:$I$3</c15:sqref>
                        </c15:formulaRef>
                      </c:ext>
                    </c:extLst>
                    <c:strCache>
                      <c:ptCount val="6"/>
                      <c:pt idx="0">
                        <c:v>FY19A</c:v>
                      </c:pt>
                      <c:pt idx="1">
                        <c:v>FY20E</c:v>
                      </c:pt>
                      <c:pt idx="2">
                        <c:v>FY21E</c:v>
                      </c:pt>
                      <c:pt idx="3">
                        <c:v>FY22E</c:v>
                      </c:pt>
                      <c:pt idx="4">
                        <c:v>FY23E</c:v>
                      </c:pt>
                      <c:pt idx="5">
                        <c:v>FY24E</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a:solidFill>
                              <a:schemeClr val="tx1">
                                <a:lumMod val="35000"/>
                                <a:lumOff val="65000"/>
                              </a:schemeClr>
                            </a:solidFill>
                          </a:ln>
                          <a:effectLst/>
                        </c:spPr>
                      </c15:leaderLines>
                    </c:ext>
                  </c:extLst>
                </c:dLbls>
                <c:cat>
                  <c:numRef>
                    <c:extLst>
                      <c:ext uri="{02D57815-91ED-43cb-92C2-25804820EDAC}">
                        <c15:fullRef>
                          <c15:sqref>'[3]Cash Flow Forecast'!$D$3:$I$3</c15:sqref>
                        </c15:fullRef>
                        <c15:formulaRef>
                          <c15:sqref>'[3]Cash Flow Forecast'!$E$3:$I$3</c15:sqref>
                        </c15:formulaRef>
                      </c:ext>
                    </c:extLst>
                    <c:numCache>
                      <c:formatCode>"FY"yy"E"</c:formatCode>
                      <c:ptCount val="5"/>
                      <c:pt idx="0">
                        <c:v>44196</c:v>
                      </c:pt>
                      <c:pt idx="1">
                        <c:v>44561</c:v>
                      </c:pt>
                      <c:pt idx="2">
                        <c:v>44926</c:v>
                      </c:pt>
                      <c:pt idx="3">
                        <c:v>45291</c:v>
                      </c:pt>
                      <c:pt idx="4">
                        <c:v>45657</c:v>
                      </c:pt>
                    </c:numCache>
                  </c:numRef>
                </c:cat>
                <c:val>
                  <c:numRef>
                    <c:extLst>
                      <c:ext xmlns:c16="http://schemas.microsoft.com/office/drawing/2014/chart" uri="{F5D05F6E-A05E-4728-AFD3-386EB277150F}">
                        <c16:filteredLitCache>
                          <c:numCache>
                            <c:formatCode>General</c:formatCode>
                            <c:ptCount val="1"/>
                            <c:pt idx="0">
                              <c:v>1</c:v>
                            </c:pt>
                          </c:numCache>
                        </c16:filteredLitCache>
                      </c:ext>
                    </c:extLst>
                    <c:f/>
                    <c:numCache>
                      <c:formatCode>General</c:formatCode>
                      <c:ptCount val="0"/>
                    </c:numCache>
                  </c:numRef>
                </c:val>
                <c:smooth val="0"/>
                <c:extLst>
                  <c:ext xmlns:c16="http://schemas.microsoft.com/office/drawing/2014/chart" uri="{C3380CC4-5D6E-409C-BE32-E72D297353CC}">
                    <c16:uniqueId val="{00000003-3248-4435-87CC-61764FB0C5FB}"/>
                  </c:ext>
                </c:extLst>
              </c15:ser>
            </c15:filteredLineSeries>
          </c:ext>
        </c:extLst>
      </c:lineChart>
      <c:dateAx>
        <c:axId val="2137399967"/>
        <c:scaling>
          <c:orientation val="minMax"/>
          <c:min val="43831"/>
        </c:scaling>
        <c:delete val="0"/>
        <c:axPos val="b"/>
        <c:numFmt formatCode="&quot;FY&quot;yy&quot;E&quot;"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0" i="0" u="none" strike="noStrike" kern="1200" cap="all" spc="120" normalizeH="0" baseline="0">
                <a:solidFill>
                  <a:srgbClr val="53565A"/>
                </a:solidFill>
                <a:latin typeface="Arial" panose="020B0604020202020204" pitchFamily="34" charset="0"/>
                <a:ea typeface="+mn-ea"/>
                <a:cs typeface="Arial" panose="020B0604020202020204" pitchFamily="34" charset="0"/>
              </a:defRPr>
            </a:pPr>
            <a:endParaRPr lang="en-US"/>
          </a:p>
        </c:txPr>
        <c:crossAx val="2137409535"/>
        <c:crosses val="autoZero"/>
        <c:auto val="1"/>
        <c:lblOffset val="100"/>
        <c:baseTimeUnit val="years"/>
      </c:dateAx>
      <c:valAx>
        <c:axId val="2137409535"/>
        <c:scaling>
          <c:orientation val="minMax"/>
        </c:scaling>
        <c:delete val="0"/>
        <c:axPos val="l"/>
        <c:numFmt formatCode="#,##0;\(#,##0\);&quot;0&quot;"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lgn="ct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213739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24799554085747"/>
          <c:y val="0.1344143450564019"/>
          <c:w val="0.79899644379729007"/>
          <c:h val="0.74682378001048189"/>
        </c:manualLayout>
      </c:layout>
      <c:barChart>
        <c:barDir val="col"/>
        <c:grouping val="clustered"/>
        <c:varyColors val="0"/>
        <c:ser>
          <c:idx val="0"/>
          <c:order val="0"/>
          <c:spPr>
            <a:solidFill>
              <a:srgbClr val="002D72"/>
            </a:solidFill>
            <a:ln>
              <a:noFill/>
            </a:ln>
            <a:effectLst/>
          </c:spPr>
          <c:invertIfNegative val="0"/>
          <c:dPt>
            <c:idx val="4"/>
            <c:invertIfNegative val="0"/>
            <c:bubble3D val="0"/>
            <c:spPr>
              <a:solidFill>
                <a:srgbClr val="002D72"/>
              </a:solidFill>
              <a:ln>
                <a:solidFill>
                  <a:schemeClr val="accent1"/>
                </a:solidFill>
              </a:ln>
              <a:effectLst/>
            </c:spPr>
            <c:extLst>
              <c:ext xmlns:c16="http://schemas.microsoft.com/office/drawing/2014/chart" uri="{C3380CC4-5D6E-409C-BE32-E72D297353CC}">
                <c16:uniqueId val="{00000001-E001-41CE-A98A-49C0E412ECC0}"/>
              </c:ext>
            </c:extLst>
          </c:dPt>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'[3]P&amp;L Forecast'!$E$3:$I$3</c:f>
              <c:numCache>
                <c:formatCode>"FY"yy"E"</c:formatCode>
                <c:ptCount val="5"/>
                <c:pt idx="0">
                  <c:v>44196</c:v>
                </c:pt>
                <c:pt idx="1">
                  <c:v>44561</c:v>
                </c:pt>
                <c:pt idx="2">
                  <c:v>44926</c:v>
                </c:pt>
                <c:pt idx="3">
                  <c:v>45291</c:v>
                </c:pt>
                <c:pt idx="4">
                  <c:v>45657</c:v>
                </c:pt>
              </c:numCache>
            </c:numRef>
          </c:cat>
          <c:val>
            <c:numRef>
              <c:f>'[3]P&amp;L Forecast'!$E$8:$I$8</c:f>
              <c:numCache>
                <c:formatCode>#,##0;\(#,##0\);\-</c:formatCode>
                <c:ptCount val="5"/>
                <c:pt idx="0">
                  <c:v>705000</c:v>
                </c:pt>
                <c:pt idx="1">
                  <c:v>806520</c:v>
                </c:pt>
                <c:pt idx="2">
                  <c:v>914271.07200000016</c:v>
                </c:pt>
                <c:pt idx="3">
                  <c:v>1026909.2680704003</c:v>
                </c:pt>
                <c:pt idx="4">
                  <c:v>1142744.6335087419</c:v>
                </c:pt>
              </c:numCache>
            </c:numRef>
          </c:val>
          <c:extLst>
            <c:ext xmlns:c16="http://schemas.microsoft.com/office/drawing/2014/chart" uri="{C3380CC4-5D6E-409C-BE32-E72D297353CC}">
              <c16:uniqueId val="{00000002-E001-41CE-A98A-49C0E412ECC0}"/>
            </c:ext>
          </c:extLst>
        </c:ser>
        <c:dLbls>
          <c:dLblPos val="outEnd"/>
          <c:showLegendKey val="0"/>
          <c:showVal val="1"/>
          <c:showCatName val="0"/>
          <c:showSerName val="0"/>
          <c:showPercent val="0"/>
          <c:showBubbleSize val="0"/>
        </c:dLbls>
        <c:gapWidth val="100"/>
        <c:overlap val="-24"/>
        <c:axId val="352093567"/>
        <c:axId val="352092735"/>
      </c:barChart>
      <c:dateAx>
        <c:axId val="352093567"/>
        <c:scaling>
          <c:orientation val="minMax"/>
        </c:scaling>
        <c:delete val="0"/>
        <c:axPos val="b"/>
        <c:numFmt formatCode="&quot;FY&quot;yy&quot;E&quot;"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lgn="ct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352092735"/>
        <c:crosses val="autoZero"/>
        <c:auto val="1"/>
        <c:lblOffset val="100"/>
        <c:baseTimeUnit val="years"/>
      </c:dateAx>
      <c:valAx>
        <c:axId val="352092735"/>
        <c:scaling>
          <c:orientation val="minMax"/>
        </c:scaling>
        <c:delete val="0"/>
        <c:axPos val="l"/>
        <c:majorGridlines>
          <c:spPr>
            <a:ln w="9525" cap="flat" cmpd="sng" algn="ctr">
              <a:noFill/>
              <a:round/>
            </a:ln>
            <a:effectLst/>
          </c:spPr>
        </c:majorGridlines>
        <c:numFmt formatCode="#,##0;\(#,##0\);&quot;0&quot;" sourceLinked="0"/>
        <c:majorTickMark val="none"/>
        <c:minorTickMark val="none"/>
        <c:tickLblPos val="nextTo"/>
        <c:spPr>
          <a:noFill/>
          <a:ln>
            <a:noFill/>
          </a:ln>
          <a:effectLst/>
        </c:spPr>
        <c:txPr>
          <a:bodyPr rot="-60000000" spcFirstLastPara="1" vertOverflow="ellipsis" vert="horz" wrap="square" anchor="ctr" anchorCtr="1"/>
          <a:lstStyle/>
          <a:p>
            <a:pPr algn="ct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352093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272190852846491E-2"/>
          <c:y val="3.0628475712627286E-2"/>
          <c:w val="0.90712429566901054"/>
          <c:h val="0.90244359109559835"/>
        </c:manualLayout>
      </c:layout>
      <c:areaChart>
        <c:grouping val="standard"/>
        <c:varyColors val="0"/>
        <c:ser>
          <c:idx val="0"/>
          <c:order val="0"/>
          <c:spPr>
            <a:solidFill>
              <a:srgbClr val="002D72"/>
            </a:solidFill>
            <a:ln>
              <a:noFill/>
            </a:ln>
            <a:effectLst/>
          </c:spPr>
          <c:dLbls>
            <c:dLbl>
              <c:idx val="0"/>
              <c:delete val="1"/>
              <c:extLst>
                <c:ext xmlns:c15="http://schemas.microsoft.com/office/drawing/2012/chart" uri="{CE6537A1-D6FC-4f65-9D91-7224C49458BB}"/>
                <c:ext xmlns:c16="http://schemas.microsoft.com/office/drawing/2014/chart" uri="{C3380CC4-5D6E-409C-BE32-E72D297353CC}">
                  <c16:uniqueId val="{00000000-1E29-4E9E-AD3F-A38728BF415D}"/>
                </c:ext>
              </c:extLst>
            </c:dLbl>
            <c:dLbl>
              <c:idx val="1"/>
              <c:delete val="1"/>
              <c:extLst>
                <c:ext xmlns:c15="http://schemas.microsoft.com/office/drawing/2012/chart" uri="{CE6537A1-D6FC-4f65-9D91-7224C49458BB}"/>
                <c:ext xmlns:c16="http://schemas.microsoft.com/office/drawing/2014/chart" uri="{C3380CC4-5D6E-409C-BE32-E72D297353CC}">
                  <c16:uniqueId val="{00000001-1E29-4E9E-AD3F-A38728BF415D}"/>
                </c:ext>
              </c:extLst>
            </c:dLbl>
            <c:dLbl>
              <c:idx val="2"/>
              <c:delete val="1"/>
              <c:extLst>
                <c:ext xmlns:c15="http://schemas.microsoft.com/office/drawing/2012/chart" uri="{CE6537A1-D6FC-4f65-9D91-7224C49458BB}"/>
                <c:ext xmlns:c16="http://schemas.microsoft.com/office/drawing/2014/chart" uri="{C3380CC4-5D6E-409C-BE32-E72D297353CC}">
                  <c16:uniqueId val="{00000002-1E29-4E9E-AD3F-A38728BF415D}"/>
                </c:ext>
              </c:extLst>
            </c:dLbl>
            <c:dLbl>
              <c:idx val="3"/>
              <c:delete val="1"/>
              <c:extLst>
                <c:ext xmlns:c15="http://schemas.microsoft.com/office/drawing/2012/chart" uri="{CE6537A1-D6FC-4f65-9D91-7224C49458BB}"/>
                <c:ext xmlns:c16="http://schemas.microsoft.com/office/drawing/2014/chart" uri="{C3380CC4-5D6E-409C-BE32-E72D297353CC}">
                  <c16:uniqueId val="{00000003-1E29-4E9E-AD3F-A38728BF415D}"/>
                </c:ext>
              </c:extLst>
            </c:dLbl>
            <c:dLbl>
              <c:idx val="4"/>
              <c:layout>
                <c:manualLayout>
                  <c:x val="-5.8056864816103296E-2"/>
                  <c:y val="-0.406523404913053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E29-4E9E-AD3F-A38728BF415D}"/>
                </c:ext>
              </c:extLst>
            </c:dLbl>
            <c:spPr>
              <a:noFill/>
              <a:ln>
                <a:noFill/>
              </a:ln>
              <a:effectLst/>
            </c:spPr>
            <c:txPr>
              <a:bodyPr rot="0" spcFirstLastPara="1" vertOverflow="ellipsis" vert="horz" wrap="square" anchor="ctr" anchorCtr="0"/>
              <a:lstStyle/>
              <a:p>
                <a:pPr algn="ctr">
                  <a:defRPr lang="en-US"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'[3]Cash Flow Forecast'!$E$3:$I$3</c:f>
              <c:numCache>
                <c:formatCode>"FY"yy"E"</c:formatCode>
                <c:ptCount val="5"/>
                <c:pt idx="0">
                  <c:v>44196</c:v>
                </c:pt>
                <c:pt idx="1">
                  <c:v>44561</c:v>
                </c:pt>
                <c:pt idx="2">
                  <c:v>44926</c:v>
                </c:pt>
                <c:pt idx="3">
                  <c:v>45291</c:v>
                </c:pt>
                <c:pt idx="4">
                  <c:v>45657</c:v>
                </c:pt>
              </c:numCache>
            </c:numRef>
          </c:cat>
          <c:val>
            <c:numRef>
              <c:f>'[3]Cash Flow Forecast'!$E$17:$I$17</c:f>
              <c:numCache>
                <c:formatCode>#,##0;\(#,##0\);\-</c:formatCode>
                <c:ptCount val="5"/>
                <c:pt idx="0">
                  <c:v>15000</c:v>
                </c:pt>
                <c:pt idx="1">
                  <c:v>15000</c:v>
                </c:pt>
                <c:pt idx="2">
                  <c:v>15000</c:v>
                </c:pt>
                <c:pt idx="3">
                  <c:v>15000</c:v>
                </c:pt>
                <c:pt idx="4">
                  <c:v>52259.377088012465</c:v>
                </c:pt>
              </c:numCache>
            </c:numRef>
          </c:val>
          <c:extLst>
            <c:ext xmlns:c16="http://schemas.microsoft.com/office/drawing/2014/chart" uri="{C3380CC4-5D6E-409C-BE32-E72D297353CC}">
              <c16:uniqueId val="{00000005-1E29-4E9E-AD3F-A38728BF415D}"/>
            </c:ext>
          </c:extLst>
        </c:ser>
        <c:dLbls>
          <c:showLegendKey val="0"/>
          <c:showVal val="0"/>
          <c:showCatName val="0"/>
          <c:showSerName val="0"/>
          <c:showPercent val="0"/>
          <c:showBubbleSize val="0"/>
        </c:dLbls>
        <c:axId val="334266655"/>
        <c:axId val="334268735"/>
      </c:areaChart>
      <c:dateAx>
        <c:axId val="334266655"/>
        <c:scaling>
          <c:orientation val="minMax"/>
        </c:scaling>
        <c:delete val="0"/>
        <c:axPos val="b"/>
        <c:numFmt formatCode="&quot;FY&quot;yy&quot;E&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334268735"/>
        <c:crosses val="autoZero"/>
        <c:auto val="1"/>
        <c:lblOffset val="100"/>
        <c:baseTimeUnit val="years"/>
      </c:dateAx>
      <c:valAx>
        <c:axId val="334268735"/>
        <c:scaling>
          <c:orientation val="minMax"/>
        </c:scaling>
        <c:delete val="0"/>
        <c:axPos val="l"/>
        <c:numFmt formatCode="#,##0;\(#,##0\);&quot;0&quot;" sourceLinked="0"/>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3342666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073185916473873E-2"/>
          <c:y val="0.11922501393989972"/>
          <c:w val="0.83038612139634849"/>
          <c:h val="0.76459279161967075"/>
        </c:manualLayout>
      </c:layout>
      <c:barChart>
        <c:barDir val="col"/>
        <c:grouping val="clustered"/>
        <c:varyColors val="0"/>
        <c:ser>
          <c:idx val="0"/>
          <c:order val="0"/>
          <c:tx>
            <c:strRef>
              <c:f>'[3]Forecast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anchor="ctr" anchorCtr="0"/>
              <a:lstStyle/>
              <a:p>
                <a:pPr algn="ctr">
                  <a:defRPr lang="en-US"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'[3]Forecast Assumptions'!$E$3:$I$3</c:f>
              <c:numCache>
                <c:formatCode>"FY"yy"E"</c:formatCode>
                <c:ptCount val="5"/>
                <c:pt idx="0">
                  <c:v>44196</c:v>
                </c:pt>
                <c:pt idx="1">
                  <c:v>44561</c:v>
                </c:pt>
                <c:pt idx="2">
                  <c:v>44926</c:v>
                </c:pt>
                <c:pt idx="3">
                  <c:v>45291</c:v>
                </c:pt>
                <c:pt idx="4">
                  <c:v>45657</c:v>
                </c:pt>
              </c:numCache>
            </c:numRef>
          </c:cat>
          <c:val>
            <c:numRef>
              <c:f>'[3]Forecast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0145-4A6D-B4B2-931F26F5D7E4}"/>
            </c:ext>
          </c:extLst>
        </c:ser>
        <c:dLbls>
          <c:dLblPos val="outEnd"/>
          <c:showLegendKey val="0"/>
          <c:showVal val="1"/>
          <c:showCatName val="0"/>
          <c:showSerName val="0"/>
          <c:showPercent val="0"/>
          <c:showBubbleSize val="0"/>
        </c:dLbls>
        <c:gapWidth val="219"/>
        <c:axId val="346832431"/>
        <c:axId val="346834511"/>
      </c:barChart>
      <c:lineChart>
        <c:grouping val="standard"/>
        <c:varyColors val="0"/>
        <c:ser>
          <c:idx val="1"/>
          <c:order val="1"/>
          <c:tx>
            <c:strRef>
              <c:f>'[3]Forecast Assumptions'!$B$9</c:f>
              <c:strCache>
                <c:ptCount val="1"/>
                <c:pt idx="0">
                  <c:v>Average Sale Price</c:v>
                </c:pt>
              </c:strCache>
            </c:strRef>
          </c:tx>
          <c:spPr>
            <a:ln w="28575" cap="rnd">
              <a:solidFill>
                <a:schemeClr val="accent2"/>
              </a:solidFill>
              <a:round/>
            </a:ln>
            <a:effectLst/>
          </c:spPr>
          <c:marker>
            <c:symbol val="none"/>
          </c:marker>
          <c:dLbls>
            <c:delete val="1"/>
          </c:dLbls>
          <c:cat>
            <c:numRef>
              <c:f>'[3]Forecast Assumptions'!$E$3:$I$3</c:f>
              <c:numCache>
                <c:formatCode>"FY"yy"E"</c:formatCode>
                <c:ptCount val="5"/>
                <c:pt idx="0">
                  <c:v>44196</c:v>
                </c:pt>
                <c:pt idx="1">
                  <c:v>44561</c:v>
                </c:pt>
                <c:pt idx="2">
                  <c:v>44926</c:v>
                </c:pt>
                <c:pt idx="3">
                  <c:v>45291</c:v>
                </c:pt>
                <c:pt idx="4">
                  <c:v>45657</c:v>
                </c:pt>
              </c:numCache>
            </c:numRef>
          </c:cat>
          <c:val>
            <c:numRef>
              <c:f>'[3]Forecast Assumptions'!$E$9:$I$9</c:f>
              <c:numCache>
                <c:formatCode>#,##0.00;\(#,##0.00\);\-</c:formatCode>
                <c:ptCount val="5"/>
                <c:pt idx="0">
                  <c:v>4</c:v>
                </c:pt>
                <c:pt idx="1">
                  <c:v>4.16</c:v>
                </c:pt>
                <c:pt idx="2">
                  <c:v>4.3264000000000005</c:v>
                </c:pt>
                <c:pt idx="3">
                  <c:v>4.4994560000000003</c:v>
                </c:pt>
                <c:pt idx="4">
                  <c:v>4.6794342400000009</c:v>
                </c:pt>
              </c:numCache>
            </c:numRef>
          </c:val>
          <c:smooth val="0"/>
          <c:extLst>
            <c:ext xmlns:c16="http://schemas.microsoft.com/office/drawing/2014/chart" uri="{C3380CC4-5D6E-409C-BE32-E72D297353CC}">
              <c16:uniqueId val="{00000001-0145-4A6D-B4B2-931F26F5D7E4}"/>
            </c:ext>
          </c:extLst>
        </c:ser>
        <c:dLbls>
          <c:showLegendKey val="0"/>
          <c:showVal val="1"/>
          <c:showCatName val="0"/>
          <c:showSerName val="0"/>
          <c:showPercent val="0"/>
          <c:showBubbleSize val="0"/>
        </c:dLbls>
        <c:marker val="1"/>
        <c:smooth val="0"/>
        <c:axId val="346831183"/>
        <c:axId val="346830767"/>
      </c:lineChart>
      <c:dateAx>
        <c:axId val="346832431"/>
        <c:scaling>
          <c:orientation val="minMax"/>
        </c:scaling>
        <c:delete val="0"/>
        <c:axPos val="b"/>
        <c:numFmt formatCode="&quot;FY&quot;yy&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346834511"/>
        <c:crosses val="autoZero"/>
        <c:auto val="1"/>
        <c:lblOffset val="100"/>
        <c:baseTimeUnit val="years"/>
      </c:dateAx>
      <c:valAx>
        <c:axId val="346834511"/>
        <c:scaling>
          <c:orientation val="minMax"/>
        </c:scaling>
        <c:delete val="0"/>
        <c:axPos val="l"/>
        <c:title>
          <c:tx>
            <c:rich>
              <a:bodyPr rot="-5400000" spcFirstLastPara="1" vertOverflow="ellipsis" vert="horz" wrap="square" anchor="ctr" anchorCtr="1"/>
              <a:lstStyle/>
              <a:p>
                <a:pPr algn="ct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r>
                  <a:rPr lang="en-US" sz="1000" b="0" i="0" u="none" strike="noStrike" kern="1200" baseline="0">
                    <a:solidFill>
                      <a:srgbClr val="53565A"/>
                    </a:solidFill>
                    <a:latin typeface="Arial" panose="020B0604020202020204" pitchFamily="34" charset="0"/>
                    <a:ea typeface="+mn-ea"/>
                    <a:cs typeface="Arial" panose="020B0604020202020204" pitchFamily="34" charset="0"/>
                  </a:rPr>
                  <a:t>Units Sold</a:t>
                </a:r>
              </a:p>
            </c:rich>
          </c:tx>
          <c:overlay val="0"/>
          <c:spPr>
            <a:noFill/>
            <a:ln>
              <a:noFill/>
            </a:ln>
            <a:effectLst/>
          </c:spPr>
          <c:txPr>
            <a:bodyPr rot="-5400000" spcFirstLastPara="1" vertOverflow="ellipsis" vert="horz" wrap="square" anchor="ctr" anchorCtr="1"/>
            <a:lstStyle/>
            <a:p>
              <a:pPr algn="ct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346832431"/>
        <c:crosses val="autoZero"/>
        <c:crossBetween val="between"/>
      </c:valAx>
      <c:valAx>
        <c:axId val="346830767"/>
        <c:scaling>
          <c:orientation val="minMax"/>
        </c:scaling>
        <c:delete val="0"/>
        <c:axPos val="r"/>
        <c:title>
          <c:tx>
            <c:rich>
              <a:bodyPr rot="-5400000" spcFirstLastPara="1" vertOverflow="ellipsis" vert="horz" wrap="square" anchor="ctr" anchorCtr="1"/>
              <a:lstStyle/>
              <a:p>
                <a:pP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r>
                  <a:rPr lang="en-US"/>
                  <a:t>Avg. Sale Price</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title>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346831183"/>
        <c:crosses val="max"/>
        <c:crossBetween val="between"/>
      </c:valAx>
      <c:dateAx>
        <c:axId val="346831183"/>
        <c:scaling>
          <c:orientation val="minMax"/>
        </c:scaling>
        <c:delete val="1"/>
        <c:axPos val="b"/>
        <c:numFmt formatCode="&quot;FY&quot;yy&quot;E&quot;" sourceLinked="1"/>
        <c:majorTickMark val="out"/>
        <c:minorTickMark val="none"/>
        <c:tickLblPos val="nextTo"/>
        <c:crossAx val="346830767"/>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291353</xdr:colOff>
      <xdr:row>6</xdr:row>
      <xdr:rowOff>105657</xdr:rowOff>
    </xdr:from>
    <xdr:to>
      <xdr:col>17</xdr:col>
      <xdr:colOff>1358155</xdr:colOff>
      <xdr:row>10</xdr:row>
      <xdr:rowOff>22411</xdr:rowOff>
    </xdr:to>
    <xdr:sp macro="" textlink="">
      <xdr:nvSpPr>
        <xdr:cNvPr id="2" name="Rectangle: Rounded Corners 1">
          <a:extLst>
            <a:ext uri="{FF2B5EF4-FFF2-40B4-BE49-F238E27FC236}">
              <a16:creationId xmlns:a16="http://schemas.microsoft.com/office/drawing/2014/main" id="{314BE78F-EC40-4E67-BD83-9F733D3FFCCB}"/>
            </a:ext>
          </a:extLst>
        </xdr:cNvPr>
        <xdr:cNvSpPr/>
      </xdr:nvSpPr>
      <xdr:spPr>
        <a:xfrm>
          <a:off x="11755643" y="1494402"/>
          <a:ext cx="11001377" cy="6768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Cupcakes: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they expect volumes of 100,000 and an average sale price of $4.00 per unit. For FY21E, they expect to grow volumes at 10% per year; for each year thereafter, the growth rate should be 1% lower than the previous year's growth rate. For price per unit, they expect this to grow at 4%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11</xdr:row>
      <xdr:rowOff>132871</xdr:rowOff>
    </xdr:from>
    <xdr:to>
      <xdr:col>17</xdr:col>
      <xdr:colOff>1358155</xdr:colOff>
      <xdr:row>17</xdr:row>
      <xdr:rowOff>0</xdr:rowOff>
    </xdr:to>
    <xdr:sp macro="" textlink="">
      <xdr:nvSpPr>
        <xdr:cNvPr id="3" name="Rectangle: Rounded Corners 2">
          <a:extLst>
            <a:ext uri="{FF2B5EF4-FFF2-40B4-BE49-F238E27FC236}">
              <a16:creationId xmlns:a16="http://schemas.microsoft.com/office/drawing/2014/main" id="{1D97B4B3-F475-491C-B7B5-EE1FFCD6CB13}"/>
            </a:ext>
          </a:extLst>
        </xdr:cNvPr>
        <xdr:cNvSpPr/>
      </xdr:nvSpPr>
      <xdr:spPr>
        <a:xfrm>
          <a:off x="11755643" y="2479831"/>
          <a:ext cx="11001377" cy="10063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Ice Cream &amp; Drinks: </a:t>
          </a:r>
          <a:r>
            <a:rPr lang="en-GB" sz="1100" b="0" u="none">
              <a:latin typeface="Arial" panose="020B0604020202020204" pitchFamily="34" charset="0"/>
              <a:cs typeface="Arial" panose="020B0604020202020204" pitchFamily="34" charset="0"/>
            </a:rPr>
            <a:t>Recreate</a:t>
          </a:r>
          <a:r>
            <a:rPr lang="en-GB" sz="1100" b="0" u="none" baseline="0">
              <a:latin typeface="Arial" panose="020B0604020202020204" pitchFamily="34" charset="0"/>
              <a:cs typeface="Arial" panose="020B0604020202020204" pitchFamily="34" charset="0"/>
            </a:rPr>
            <a:t> the revenue schedule for Ice Cream &amp; Drinks. For Ice Cream, management believes for FY20E, they expect volumes of 60,000 and an average sale price of $3.00 per unit. For FY21E, they expect to grow volumes at 10% per year; for each year thereafter, the growth rate should be 1% lower than the previous year's growth rate. For price per unit, they expect this to grow at 4% per year. For Drinks, management believes for FY20E, they expect volumes of 50,000 and an average sale price of $2.50 per unit. For FY21E, they expect to grow volumes at 10% per year; for each year thereafter, the growth rate should be 1% lower than the previous year's growth rate. For price per unit, they expect this to grow at 4% per year. </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312400</xdr:colOff>
      <xdr:row>20</xdr:row>
      <xdr:rowOff>167705</xdr:rowOff>
    </xdr:from>
    <xdr:to>
      <xdr:col>17</xdr:col>
      <xdr:colOff>1379202</xdr:colOff>
      <xdr:row>25</xdr:row>
      <xdr:rowOff>40821</xdr:rowOff>
    </xdr:to>
    <xdr:sp macro="" textlink="">
      <xdr:nvSpPr>
        <xdr:cNvPr id="4" name="Rectangle: Rounded Corners 3">
          <a:extLst>
            <a:ext uri="{FF2B5EF4-FFF2-40B4-BE49-F238E27FC236}">
              <a16:creationId xmlns:a16="http://schemas.microsoft.com/office/drawing/2014/main" id="{6F5A5F05-F29A-473D-AA8B-A33E24A288FE}"/>
            </a:ext>
          </a:extLst>
        </xdr:cNvPr>
        <xdr:cNvSpPr/>
      </xdr:nvSpPr>
      <xdr:spPr>
        <a:xfrm>
          <a:off x="11782405" y="4229165"/>
          <a:ext cx="11001377" cy="82180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 </a:t>
          </a:r>
          <a:r>
            <a:rPr lang="en-GB" sz="1100" b="0" u="none">
              <a:latin typeface="Arial" panose="020B0604020202020204" pitchFamily="34" charset="0"/>
              <a:cs typeface="Arial" panose="020B0604020202020204" pitchFamily="34" charset="0"/>
            </a:rPr>
            <a:t>For</a:t>
          </a:r>
          <a:r>
            <a:rPr lang="en-GB" sz="1100" b="0" u="none" baseline="0">
              <a:latin typeface="Arial" panose="020B0604020202020204" pitchFamily="34" charset="0"/>
              <a:cs typeface="Arial" panose="020B0604020202020204" pitchFamily="34" charset="0"/>
            </a:rPr>
            <a:t> Cupcakes, m</a:t>
          </a:r>
          <a:r>
            <a:rPr lang="en-GB" sz="1100" b="0" u="none">
              <a:latin typeface="Arial" panose="020B0604020202020204" pitchFamily="34" charset="0"/>
              <a:cs typeface="Arial" panose="020B0604020202020204" pitchFamily="34" charset="0"/>
            </a:rPr>
            <a:t>anagement believes for FY20E, COGS per unit will be $1.50.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Please input these assumptions into the light blue boxes.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Recreate the COGS schedule for Ice Cream &amp; Drinks. For Ice Cream, management believes for FY20E, COGS per unit will be $0.80;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For Drinks, management believes for FY20E, COGS per unit will be $1.10; for the following years, assume COGS per</a:t>
          </a:r>
          <a:r>
            <a:rPr lang="en-GB" sz="1100" b="0" u="none" baseline="0">
              <a:latin typeface="Arial" panose="020B0604020202020204" pitchFamily="34" charset="0"/>
              <a:cs typeface="Arial" panose="020B0604020202020204" pitchFamily="34" charset="0"/>
            </a:rPr>
            <a:t> unit </a:t>
          </a:r>
          <a:r>
            <a:rPr lang="en-GB" sz="1100" b="0" u="none">
              <a:latin typeface="Arial" panose="020B0604020202020204" pitchFamily="34" charset="0"/>
              <a:cs typeface="Arial" panose="020B0604020202020204" pitchFamily="34" charset="0"/>
            </a:rPr>
            <a:t>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a:t>
          </a:r>
        </a:p>
      </xdr:txBody>
    </xdr:sp>
    <xdr:clientData/>
  </xdr:twoCellAnchor>
  <xdr:twoCellAnchor>
    <xdr:from>
      <xdr:col>10</xdr:col>
      <xdr:colOff>291353</xdr:colOff>
      <xdr:row>32</xdr:row>
      <xdr:rowOff>27214</xdr:rowOff>
    </xdr:from>
    <xdr:to>
      <xdr:col>17</xdr:col>
      <xdr:colOff>1290920</xdr:colOff>
      <xdr:row>34</xdr:row>
      <xdr:rowOff>163285</xdr:rowOff>
    </xdr:to>
    <xdr:sp macro="" textlink="">
      <xdr:nvSpPr>
        <xdr:cNvPr id="5" name="Rectangle: Rounded Corners 4">
          <a:extLst>
            <a:ext uri="{FF2B5EF4-FFF2-40B4-BE49-F238E27FC236}">
              <a16:creationId xmlns:a16="http://schemas.microsoft.com/office/drawing/2014/main" id="{1321643A-EDD3-4E81-A4B6-973098233D62}"/>
            </a:ext>
          </a:extLst>
        </xdr:cNvPr>
        <xdr:cNvSpPr/>
      </xdr:nvSpPr>
      <xdr:spPr>
        <a:xfrm>
          <a:off x="11755643" y="6368959"/>
          <a:ext cx="10936047" cy="52088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D&amp;A will be -5% of revenue. For the following years, assume this figure falls by 0.25% per annum (e.g. FY21E is -4.75%).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25</xdr:row>
      <xdr:rowOff>160085</xdr:rowOff>
    </xdr:from>
    <xdr:to>
      <xdr:col>17</xdr:col>
      <xdr:colOff>1358155</xdr:colOff>
      <xdr:row>28</xdr:row>
      <xdr:rowOff>122464</xdr:rowOff>
    </xdr:to>
    <xdr:sp macro="" textlink="">
      <xdr:nvSpPr>
        <xdr:cNvPr id="6" name="Rectangle: Rounded Corners 5">
          <a:extLst>
            <a:ext uri="{FF2B5EF4-FFF2-40B4-BE49-F238E27FC236}">
              <a16:creationId xmlns:a16="http://schemas.microsoft.com/office/drawing/2014/main" id="{80748D1C-FFC8-4F98-9AFD-B60D520F6056}"/>
            </a:ext>
          </a:extLst>
        </xdr:cNvPr>
        <xdr:cNvSpPr/>
      </xdr:nvSpPr>
      <xdr:spPr>
        <a:xfrm>
          <a:off x="11755643" y="5172140"/>
          <a:ext cx="11001377" cy="5338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t>
          </a:r>
          <a:r>
            <a:rPr lang="en-GB" sz="1100" b="0" u="none">
              <a:latin typeface="Arial" panose="020B0604020202020204" pitchFamily="34" charset="0"/>
              <a:cs typeface="Arial" panose="020B0604020202020204" pitchFamily="34" charset="0"/>
            </a:rPr>
            <a:t>For FY20E, management expects Staff Costs</a:t>
          </a:r>
          <a:r>
            <a:rPr lang="en-GB" sz="1100" b="0" u="none" baseline="0">
              <a:latin typeface="Arial" panose="020B0604020202020204" pitchFamily="34" charset="0"/>
              <a:cs typeface="Arial" panose="020B0604020202020204" pitchFamily="34" charset="0"/>
            </a:rPr>
            <a:t> of $150,000; Occupancy Costs of $60,000; Marketing Costs of $10,000; and Other Costs of $5,000. All costs are expected to grow at 5% per year, except for Occupancy Costs at 3% per year.</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36</xdr:row>
      <xdr:rowOff>108857</xdr:rowOff>
    </xdr:from>
    <xdr:to>
      <xdr:col>17</xdr:col>
      <xdr:colOff>1290920</xdr:colOff>
      <xdr:row>39</xdr:row>
      <xdr:rowOff>54428</xdr:rowOff>
    </xdr:to>
    <xdr:sp macro="" textlink="">
      <xdr:nvSpPr>
        <xdr:cNvPr id="7" name="Rectangle: Rounded Corners 6">
          <a:extLst>
            <a:ext uri="{FF2B5EF4-FFF2-40B4-BE49-F238E27FC236}">
              <a16:creationId xmlns:a16="http://schemas.microsoft.com/office/drawing/2014/main" id="{905AADF3-069B-4C33-B2CA-DD1A753CDEBF}"/>
            </a:ext>
          </a:extLst>
        </xdr:cNvPr>
        <xdr:cNvSpPr/>
      </xdr:nvSpPr>
      <xdr:spPr>
        <a:xfrm>
          <a:off x="11755643" y="7212602"/>
          <a:ext cx="10936047" cy="52278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Flow:</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Capex, assume % of revenue equal to the D&amp;A percentages</a:t>
          </a:r>
          <a:r>
            <a:rPr lang="en-GB" sz="1100" b="0" u="none" baseline="0">
              <a:latin typeface="Arial" panose="020B0604020202020204" pitchFamily="34" charset="0"/>
              <a:cs typeface="Arial" panose="020B0604020202020204" pitchFamily="34" charset="0"/>
            </a:rPr>
            <a:t> of revenue for each year. For Change in NWC, assume -1% of revenue for each year. For Dividend Payout Ratio, assume 60%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42</xdr:row>
      <xdr:rowOff>176893</xdr:rowOff>
    </xdr:from>
    <xdr:to>
      <xdr:col>17</xdr:col>
      <xdr:colOff>1290920</xdr:colOff>
      <xdr:row>45</xdr:row>
      <xdr:rowOff>122464</xdr:rowOff>
    </xdr:to>
    <xdr:sp macro="" textlink="">
      <xdr:nvSpPr>
        <xdr:cNvPr id="8" name="Rectangle: Rounded Corners 7">
          <a:extLst>
            <a:ext uri="{FF2B5EF4-FFF2-40B4-BE49-F238E27FC236}">
              <a16:creationId xmlns:a16="http://schemas.microsoft.com/office/drawing/2014/main" id="{CB519E4C-C908-4227-9CC0-C82741156AD0}"/>
            </a:ext>
          </a:extLst>
        </xdr:cNvPr>
        <xdr:cNvSpPr/>
      </xdr:nvSpPr>
      <xdr:spPr>
        <a:xfrm>
          <a:off x="11755643" y="8421733"/>
          <a:ext cx="10936047" cy="52278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Other:</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Tax Rate, assume 21% for all years. For Interest</a:t>
          </a:r>
          <a:r>
            <a:rPr lang="en-GB" sz="1100" b="0" u="none" baseline="0">
              <a:latin typeface="Arial" panose="020B0604020202020204" pitchFamily="34" charset="0"/>
              <a:cs typeface="Arial" panose="020B0604020202020204" pitchFamily="34" charset="0"/>
            </a:rPr>
            <a:t> Rates, assume a 4% rate on debt and a 1% rate on cash.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4E2E56DD-5683-41EC-979D-CDD0377FBB2D}"/>
            </a:ext>
          </a:extLst>
        </xdr:cNvPr>
        <xdr:cNvSpPr/>
      </xdr:nvSpPr>
      <xdr:spPr>
        <a:xfrm>
          <a:off x="12612189" y="1027067"/>
          <a:ext cx="1098804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9D4B6355-A5E8-413E-9478-C5D4FB73CB45}"/>
            </a:ext>
          </a:extLst>
        </xdr:cNvPr>
        <xdr:cNvSpPr/>
      </xdr:nvSpPr>
      <xdr:spPr>
        <a:xfrm>
          <a:off x="12612189" y="2033996"/>
          <a:ext cx="1098804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949A35C0-6030-479A-9C16-5BC9469C03F8}"/>
            </a:ext>
          </a:extLst>
        </xdr:cNvPr>
        <xdr:cNvSpPr/>
      </xdr:nvSpPr>
      <xdr:spPr>
        <a:xfrm>
          <a:off x="12612189" y="3326675"/>
          <a:ext cx="1098804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8C9EBB7C-B094-4D54-80D2-5F778F8930BF}"/>
            </a:ext>
          </a:extLst>
        </xdr:cNvPr>
        <xdr:cNvSpPr/>
      </xdr:nvSpPr>
      <xdr:spPr>
        <a:xfrm>
          <a:off x="12612189" y="4646568"/>
          <a:ext cx="1098804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500B11FF-79C7-4517-BDBB-E7947F35750F}"/>
            </a:ext>
          </a:extLst>
        </xdr:cNvPr>
        <xdr:cNvSpPr/>
      </xdr:nvSpPr>
      <xdr:spPr>
        <a:xfrm>
          <a:off x="12612189" y="5394962"/>
          <a:ext cx="1098804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9FC0904B-7912-4D8E-ABED-4369C3E98833}"/>
            </a:ext>
          </a:extLst>
        </xdr:cNvPr>
        <xdr:cNvSpPr/>
      </xdr:nvSpPr>
      <xdr:spPr>
        <a:xfrm>
          <a:off x="12612189" y="6129747"/>
          <a:ext cx="1098804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C77474CC-D20F-4D49-BB9A-1E4D6FBD9BDB}"/>
            </a:ext>
          </a:extLst>
        </xdr:cNvPr>
        <xdr:cNvSpPr/>
      </xdr:nvSpPr>
      <xdr:spPr>
        <a:xfrm>
          <a:off x="12612189" y="6905354"/>
          <a:ext cx="1098804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95250</xdr:colOff>
      <xdr:row>3</xdr:row>
      <xdr:rowOff>122464</xdr:rowOff>
    </xdr:from>
    <xdr:to>
      <xdr:col>17</xdr:col>
      <xdr:colOff>1162052</xdr:colOff>
      <xdr:row>9</xdr:row>
      <xdr:rowOff>176892</xdr:rowOff>
    </xdr:to>
    <xdr:sp macro="" textlink="">
      <xdr:nvSpPr>
        <xdr:cNvPr id="2" name="Rectangle: Rounded Corners 1">
          <a:extLst>
            <a:ext uri="{FF2B5EF4-FFF2-40B4-BE49-F238E27FC236}">
              <a16:creationId xmlns:a16="http://schemas.microsoft.com/office/drawing/2014/main" id="{A1FE0939-2163-43FC-B9B0-B8CA72622ED0}"/>
            </a:ext>
          </a:extLst>
        </xdr:cNvPr>
        <xdr:cNvSpPr/>
      </xdr:nvSpPr>
      <xdr:spPr>
        <a:xfrm>
          <a:off x="14283690" y="667294"/>
          <a:ext cx="11001377" cy="11345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Cash Flow: </a:t>
          </a:r>
          <a:r>
            <a:rPr lang="en-GB" sz="1100" b="0" u="none">
              <a:latin typeface="Arial" panose="020B0604020202020204" pitchFamily="34" charset="0"/>
              <a:cs typeface="Arial" panose="020B0604020202020204" pitchFamily="34" charset="0"/>
            </a:rPr>
            <a:t>Link up EBITDA</a:t>
          </a:r>
          <a:r>
            <a:rPr lang="en-GB" sz="1100" b="0" u="none" baseline="0">
              <a:latin typeface="Arial" panose="020B0604020202020204" pitchFamily="34" charset="0"/>
              <a:cs typeface="Arial" panose="020B0604020202020204" pitchFamily="34" charset="0"/>
            </a:rPr>
            <a:t>, Taxes and Dividends from the P&amp;L (ensure the right sign for dividends given it takes cash away from the business). For Change in NWC, use the % of revenue assumption to calculate the figure for each year. For Net Interest, calculate Interest Expense (opening debt x debt interest rate --&gt; should be negative) and Interest Income (opening cash x cash interest rate), and sum them together. For Net Capex, use the % of revenue assumption to calculate the figure for each year.</a:t>
          </a:r>
          <a:br>
            <a:rPr lang="en-GB" sz="1100" b="0" u="none" baseline="0">
              <a:latin typeface="Arial" panose="020B0604020202020204" pitchFamily="34" charset="0"/>
              <a:cs typeface="Arial" panose="020B0604020202020204" pitchFamily="34" charset="0"/>
            </a:rPr>
          </a:br>
          <a:br>
            <a:rPr lang="en-GB" sz="1100" b="0" u="none" baseline="0">
              <a:latin typeface="Arial" panose="020B0604020202020204" pitchFamily="34" charset="0"/>
              <a:cs typeface="Arial" panose="020B0604020202020204" pitchFamily="34" charset="0"/>
            </a:rPr>
          </a:br>
          <a:r>
            <a:rPr lang="en-GB" sz="1100" b="0" u="none" baseline="0">
              <a:latin typeface="Arial" panose="020B0604020202020204" pitchFamily="34" charset="0"/>
              <a:cs typeface="Arial" panose="020B0604020202020204" pitchFamily="34" charset="0"/>
            </a:rPr>
            <a:t>Thereafter, sum all of the aforementioned line items to calculate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91440</xdr:colOff>
      <xdr:row>10</xdr:row>
      <xdr:rowOff>66131</xdr:rowOff>
    </xdr:from>
    <xdr:to>
      <xdr:col>17</xdr:col>
      <xdr:colOff>1158242</xdr:colOff>
      <xdr:row>13</xdr:row>
      <xdr:rowOff>95250</xdr:rowOff>
    </xdr:to>
    <xdr:sp macro="" textlink="">
      <xdr:nvSpPr>
        <xdr:cNvPr id="3" name="Rectangle: Rounded Corners 2">
          <a:extLst>
            <a:ext uri="{FF2B5EF4-FFF2-40B4-BE49-F238E27FC236}">
              <a16:creationId xmlns:a16="http://schemas.microsoft.com/office/drawing/2014/main" id="{D7F61B44-EF91-48C9-A670-3A581B8A33C4}"/>
            </a:ext>
          </a:extLst>
        </xdr:cNvPr>
        <xdr:cNvSpPr/>
      </xdr:nvSpPr>
      <xdr:spPr>
        <a:xfrm>
          <a:off x="14287500" y="1873976"/>
          <a:ext cx="11001377" cy="5701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a:t>
          </a:r>
          <a:r>
            <a:rPr lang="en-GB" sz="1100" b="1" u="none" baseline="0">
              <a:latin typeface="Arial" panose="020B0604020202020204" pitchFamily="34" charset="0"/>
              <a:cs typeface="Arial" panose="020B0604020202020204" pitchFamily="34" charset="0"/>
            </a:rPr>
            <a:t> Paydown</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Come up with a formula that takes into account</a:t>
          </a:r>
          <a:r>
            <a:rPr lang="en-GB" sz="1100" b="0" u="none" baseline="0">
              <a:latin typeface="Arial" panose="020B0604020202020204" pitchFamily="34" charset="0"/>
              <a:cs typeface="Arial" panose="020B0604020202020204" pitchFamily="34" charset="0"/>
            </a:rPr>
            <a:t> the client's wishes to use all excess net cash flow to pay down debt. HINT: Use a formula that ensures that the company pays down the entirety of its debt if it has the excess net cash flow to do so, or in the alternative, pays down whatever it can with that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91440</xdr:colOff>
      <xdr:row>14</xdr:row>
      <xdr:rowOff>1</xdr:rowOff>
    </xdr:from>
    <xdr:to>
      <xdr:col>17</xdr:col>
      <xdr:colOff>1158242</xdr:colOff>
      <xdr:row>16</xdr:row>
      <xdr:rowOff>83548</xdr:rowOff>
    </xdr:to>
    <xdr:sp macro="" textlink="">
      <xdr:nvSpPr>
        <xdr:cNvPr id="4" name="Rectangle: Rounded Corners 3">
          <a:extLst>
            <a:ext uri="{FF2B5EF4-FFF2-40B4-BE49-F238E27FC236}">
              <a16:creationId xmlns:a16="http://schemas.microsoft.com/office/drawing/2014/main" id="{F19BBB44-3CA3-41FB-8EA4-AE780A25AFA8}"/>
            </a:ext>
          </a:extLst>
        </xdr:cNvPr>
        <xdr:cNvSpPr/>
      </xdr:nvSpPr>
      <xdr:spPr>
        <a:xfrm>
          <a:off x="14287500" y="2533651"/>
          <a:ext cx="11001377" cy="44740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a:t>
          </a:r>
          <a:r>
            <a:rPr lang="en-GB" sz="1100" b="0" u="none">
              <a:latin typeface="Arial" panose="020B0604020202020204" pitchFamily="34" charset="0"/>
              <a:cs typeface="Arial" panose="020B0604020202020204" pitchFamily="34" charset="0"/>
            </a:rPr>
            <a:t>Ensure closing cash in one period is the opening balance in the next period. Additionally, link up cash to balance sheet</a:t>
          </a:r>
          <a:r>
            <a:rPr lang="en-GB" sz="1100" b="0" u="none" baseline="0">
              <a:latin typeface="Arial" panose="020B0604020202020204" pitchFamily="34" charset="0"/>
              <a:cs typeface="Arial" panose="020B0604020202020204" pitchFamily="34" charset="0"/>
            </a:rPr>
            <a:t> from the schedule above. Lastly, calculate closing cash for each period.</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20</xdr:row>
      <xdr:rowOff>27215</xdr:rowOff>
    </xdr:from>
    <xdr:to>
      <xdr:col>17</xdr:col>
      <xdr:colOff>1162052</xdr:colOff>
      <xdr:row>22</xdr:row>
      <xdr:rowOff>108857</xdr:rowOff>
    </xdr:to>
    <xdr:sp macro="" textlink="">
      <xdr:nvSpPr>
        <xdr:cNvPr id="5" name="Rectangle: Rounded Corners 4">
          <a:extLst>
            <a:ext uri="{FF2B5EF4-FFF2-40B4-BE49-F238E27FC236}">
              <a16:creationId xmlns:a16="http://schemas.microsoft.com/office/drawing/2014/main" id="{3A7BF330-9651-4FC4-A9D8-BE45D3D30899}"/>
            </a:ext>
          </a:extLst>
        </xdr:cNvPr>
        <xdr:cNvSpPr/>
      </xdr:nvSpPr>
      <xdr:spPr>
        <a:xfrm>
          <a:off x="14283690" y="3644810"/>
          <a:ext cx="11001377" cy="44359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 </a:t>
          </a:r>
          <a:r>
            <a:rPr lang="en-GB" sz="1100" b="0" u="none">
              <a:latin typeface="Arial" panose="020B0604020202020204" pitchFamily="34" charset="0"/>
              <a:cs typeface="Arial" panose="020B0604020202020204" pitchFamily="34" charset="0"/>
            </a:rPr>
            <a:t>Ensure closing debt in one period is the opening balance in the next period. Additionally, link up debt repayment </a:t>
          </a:r>
          <a:r>
            <a:rPr lang="en-GB" sz="1100" b="0" u="none" baseline="0">
              <a:latin typeface="Arial" panose="020B0604020202020204" pitchFamily="34" charset="0"/>
              <a:cs typeface="Arial" panose="020B0604020202020204" pitchFamily="34" charset="0"/>
            </a:rPr>
            <a:t>from the schedule above. Lastly, calculate closing debt for each period.</a:t>
          </a:r>
          <a:endParaRPr lang="en-GB" sz="1100" b="0" u="none">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659944</xdr:colOff>
      <xdr:row>4</xdr:row>
      <xdr:rowOff>97971</xdr:rowOff>
    </xdr:from>
    <xdr:to>
      <xdr:col>7</xdr:col>
      <xdr:colOff>639535</xdr:colOff>
      <xdr:row>27</xdr:row>
      <xdr:rowOff>108857</xdr:rowOff>
    </xdr:to>
    <xdr:graphicFrame macro="">
      <xdr:nvGraphicFramePr>
        <xdr:cNvPr id="2" name="Chart 1">
          <a:extLst>
            <a:ext uri="{FF2B5EF4-FFF2-40B4-BE49-F238E27FC236}">
              <a16:creationId xmlns:a16="http://schemas.microsoft.com/office/drawing/2014/main" id="{7482E766-F938-4369-B35C-007045D47E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59</xdr:row>
      <xdr:rowOff>0</xdr:rowOff>
    </xdr:from>
    <xdr:to>
      <xdr:col>7</xdr:col>
      <xdr:colOff>1578429</xdr:colOff>
      <xdr:row>84</xdr:row>
      <xdr:rowOff>192678</xdr:rowOff>
    </xdr:to>
    <xdr:graphicFrame macro="">
      <xdr:nvGraphicFramePr>
        <xdr:cNvPr id="3" name="Chart 2">
          <a:extLst>
            <a:ext uri="{FF2B5EF4-FFF2-40B4-BE49-F238E27FC236}">
              <a16:creationId xmlns:a16="http://schemas.microsoft.com/office/drawing/2014/main" id="{25B7BC40-9FB4-4E1E-B16B-FAED2F6A2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31</xdr:row>
      <xdr:rowOff>0</xdr:rowOff>
    </xdr:from>
    <xdr:to>
      <xdr:col>7</xdr:col>
      <xdr:colOff>1569720</xdr:colOff>
      <xdr:row>57</xdr:row>
      <xdr:rowOff>7620</xdr:rowOff>
    </xdr:to>
    <xdr:graphicFrame macro="">
      <xdr:nvGraphicFramePr>
        <xdr:cNvPr id="4" name="Chart 3">
          <a:extLst>
            <a:ext uri="{FF2B5EF4-FFF2-40B4-BE49-F238E27FC236}">
              <a16:creationId xmlns:a16="http://schemas.microsoft.com/office/drawing/2014/main" id="{808C7CA8-7165-47A7-B8BE-102CCBAE4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685800</xdr:colOff>
      <xdr:row>87</xdr:row>
      <xdr:rowOff>163285</xdr:rowOff>
    </xdr:from>
    <xdr:to>
      <xdr:col>7</xdr:col>
      <xdr:colOff>1110343</xdr:colOff>
      <xdr:row>112</xdr:row>
      <xdr:rowOff>87086</xdr:rowOff>
    </xdr:to>
    <xdr:graphicFrame macro="">
      <xdr:nvGraphicFramePr>
        <xdr:cNvPr id="5" name="Chart 4">
          <a:extLst>
            <a:ext uri="{FF2B5EF4-FFF2-40B4-BE49-F238E27FC236}">
              <a16:creationId xmlns:a16="http://schemas.microsoft.com/office/drawing/2014/main" id="{9C35AAB3-710F-4BE4-9AD2-C5C87FF51F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185056</xdr:colOff>
      <xdr:row>114</xdr:row>
      <xdr:rowOff>188322</xdr:rowOff>
    </xdr:from>
    <xdr:to>
      <xdr:col>8</xdr:col>
      <xdr:colOff>43543</xdr:colOff>
      <xdr:row>141</xdr:row>
      <xdr:rowOff>10886</xdr:rowOff>
    </xdr:to>
    <xdr:graphicFrame macro="">
      <xdr:nvGraphicFramePr>
        <xdr:cNvPr id="6" name="Chart 5">
          <a:extLst>
            <a:ext uri="{FF2B5EF4-FFF2-40B4-BE49-F238E27FC236}">
              <a16:creationId xmlns:a16="http://schemas.microsoft.com/office/drawing/2014/main" id="{5C630325-40FF-4327-AEDF-0EE9EFBCE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Alvi\Documents\Job%20Study\Forage\Goldman\P&amp;L%20WA%20redo.xlsx" TargetMode="External"/><Relationship Id="rId1" Type="http://schemas.openxmlformats.org/officeDocument/2006/relationships/externalLinkPath" Target="P&amp;L%20WA%20red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Alvi\Documents\Job%20Study\Forage\Goldman\Cash%20Flows%20attempt%201.xlsx" TargetMode="External"/><Relationship Id="rId1" Type="http://schemas.openxmlformats.org/officeDocument/2006/relationships/externalLinkPath" Target="Cash%20Flows%20attempt%20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WAlvi\Documents\Job%20Study\Forage\Goldman\Outputs%20(1).xlsx" TargetMode="External"/><Relationship Id="rId1" Type="http://schemas.openxmlformats.org/officeDocument/2006/relationships/externalLinkPath" Target="Output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lossary"/>
      <sheetName val="Forecast Assumptions"/>
      <sheetName val="P&amp;L Forecast"/>
    </sheetNames>
    <sheetDataSet>
      <sheetData sheetId="0" refreshError="1"/>
      <sheetData sheetId="1">
        <row r="8">
          <cell r="E8">
            <v>100000</v>
          </cell>
          <cell r="F8">
            <v>110000.00000000001</v>
          </cell>
          <cell r="G8">
            <v>119900.00000000003</v>
          </cell>
          <cell r="H8">
            <v>129492.00000000004</v>
          </cell>
          <cell r="I8">
            <v>138556.44000000006</v>
          </cell>
        </row>
        <row r="9">
          <cell r="E9">
            <v>4</v>
          </cell>
          <cell r="F9">
            <v>4.16</v>
          </cell>
          <cell r="G9">
            <v>4.3264000000000005</v>
          </cell>
          <cell r="H9">
            <v>4.4994560000000003</v>
          </cell>
          <cell r="I9">
            <v>4.6794342400000009</v>
          </cell>
        </row>
        <row r="12">
          <cell r="E12">
            <v>60000</v>
          </cell>
          <cell r="F12">
            <v>66000</v>
          </cell>
          <cell r="G12">
            <v>71940</v>
          </cell>
          <cell r="H12">
            <v>77695.200000000012</v>
          </cell>
          <cell r="I12">
            <v>83133.864000000016</v>
          </cell>
        </row>
        <row r="13">
          <cell r="E13">
            <v>3</v>
          </cell>
          <cell r="F13">
            <v>3.12</v>
          </cell>
          <cell r="G13">
            <v>3.2448000000000001</v>
          </cell>
          <cell r="H13">
            <v>3.3745920000000003</v>
          </cell>
          <cell r="I13">
            <v>3.5095756800000002</v>
          </cell>
        </row>
        <row r="16">
          <cell r="E16">
            <v>50000</v>
          </cell>
          <cell r="F16">
            <v>55000.000000000007</v>
          </cell>
          <cell r="G16">
            <v>59950.000000000015</v>
          </cell>
          <cell r="H16">
            <v>64746.000000000022</v>
          </cell>
          <cell r="I16">
            <v>69278.22000000003</v>
          </cell>
        </row>
        <row r="17">
          <cell r="E17">
            <v>2.5</v>
          </cell>
          <cell r="F17">
            <v>2.6</v>
          </cell>
          <cell r="G17">
            <v>2.7040000000000002</v>
          </cell>
          <cell r="H17">
            <v>2.8121600000000004</v>
          </cell>
          <cell r="I17">
            <v>2.9246464000000008</v>
          </cell>
        </row>
        <row r="22">
          <cell r="E22">
            <v>1.5</v>
          </cell>
          <cell r="F22">
            <v>1.53</v>
          </cell>
          <cell r="G22">
            <v>1.5606</v>
          </cell>
          <cell r="H22">
            <v>1.591812</v>
          </cell>
          <cell r="I22">
            <v>1.6236482400000001</v>
          </cell>
        </row>
        <row r="23">
          <cell r="E23">
            <v>0.8</v>
          </cell>
          <cell r="F23">
            <v>0.81600000000000006</v>
          </cell>
          <cell r="G23">
            <v>0.83232000000000006</v>
          </cell>
          <cell r="H23">
            <v>0.84896640000000012</v>
          </cell>
          <cell r="I23">
            <v>0.86594572800000014</v>
          </cell>
        </row>
        <row r="24">
          <cell r="E24">
            <v>1.1000000000000001</v>
          </cell>
          <cell r="F24">
            <v>1.1220000000000001</v>
          </cell>
          <cell r="G24">
            <v>1.1444400000000001</v>
          </cell>
          <cell r="H24">
            <v>1.1673288000000002</v>
          </cell>
          <cell r="I24">
            <v>1.1906753760000002</v>
          </cell>
        </row>
        <row r="27">
          <cell r="E27">
            <v>150000</v>
          </cell>
          <cell r="F27">
            <v>157500</v>
          </cell>
          <cell r="G27">
            <v>165375</v>
          </cell>
          <cell r="H27">
            <v>173643.75</v>
          </cell>
          <cell r="I27">
            <v>182325.9375</v>
          </cell>
        </row>
        <row r="28">
          <cell r="E28">
            <v>60000</v>
          </cell>
          <cell r="F28">
            <v>61800</v>
          </cell>
          <cell r="G28">
            <v>63654</v>
          </cell>
          <cell r="H28">
            <v>65563.62</v>
          </cell>
          <cell r="I28">
            <v>67530.528599999991</v>
          </cell>
        </row>
        <row r="29">
          <cell r="E29">
            <v>10000</v>
          </cell>
          <cell r="F29">
            <v>10500</v>
          </cell>
          <cell r="G29">
            <v>11025</v>
          </cell>
          <cell r="H29">
            <v>11576.25</v>
          </cell>
          <cell r="I29">
            <v>12155.0625</v>
          </cell>
        </row>
        <row r="30">
          <cell r="E30">
            <v>5000</v>
          </cell>
          <cell r="F30">
            <v>5250</v>
          </cell>
          <cell r="G30">
            <v>5512.5</v>
          </cell>
          <cell r="H30">
            <v>5788.125</v>
          </cell>
          <cell r="I30">
            <v>6077.53125</v>
          </cell>
        </row>
        <row r="33">
          <cell r="E33">
            <v>-0.05</v>
          </cell>
          <cell r="F33">
            <v>-4.7500000000000001E-2</v>
          </cell>
          <cell r="G33">
            <v>-4.4999999999999998E-2</v>
          </cell>
          <cell r="H33">
            <v>-4.2499999999999996E-2</v>
          </cell>
          <cell r="I33">
            <v>-3.9999999999999994E-2</v>
          </cell>
        </row>
        <row r="39">
          <cell r="E39">
            <v>0.6</v>
          </cell>
          <cell r="F39">
            <v>0.6</v>
          </cell>
          <cell r="G39">
            <v>0.6</v>
          </cell>
          <cell r="H39">
            <v>0.6</v>
          </cell>
          <cell r="I39">
            <v>0.6</v>
          </cell>
        </row>
        <row r="43">
          <cell r="E43">
            <v>0.21</v>
          </cell>
          <cell r="F43">
            <v>0.21</v>
          </cell>
          <cell r="G43">
            <v>0.21</v>
          </cell>
          <cell r="H43">
            <v>0.21</v>
          </cell>
          <cell r="I43">
            <v>0.21</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lossary"/>
      <sheetName val="Forecast Assumptions"/>
      <sheetName val="P&amp;L Forecast"/>
      <sheetName val="Cash Flow Forecast"/>
    </sheetNames>
    <sheetDataSet>
      <sheetData sheetId="0"/>
      <sheetData sheetId="1">
        <row r="37">
          <cell r="E37">
            <v>-0.05</v>
          </cell>
          <cell r="F37">
            <v>-4.7500000000000001E-2</v>
          </cell>
          <cell r="G37">
            <v>-4.4999999999999998E-2</v>
          </cell>
          <cell r="H37">
            <v>-4.2499999999999996E-2</v>
          </cell>
          <cell r="I37">
            <v>-3.9999999999999994E-2</v>
          </cell>
        </row>
        <row r="38">
          <cell r="E38">
            <v>-0.01</v>
          </cell>
          <cell r="F38">
            <v>-0.01</v>
          </cell>
          <cell r="G38">
            <v>-0.01</v>
          </cell>
          <cell r="H38">
            <v>-0.01</v>
          </cell>
          <cell r="I38">
            <v>-0.01</v>
          </cell>
        </row>
        <row r="44">
          <cell r="E44">
            <v>0.04</v>
          </cell>
          <cell r="F44">
            <v>0.04</v>
          </cell>
          <cell r="G44">
            <v>0.04</v>
          </cell>
          <cell r="H44">
            <v>0.04</v>
          </cell>
          <cell r="I44">
            <v>0.04</v>
          </cell>
        </row>
        <row r="45">
          <cell r="E45">
            <v>0.01</v>
          </cell>
          <cell r="F45">
            <v>0.01</v>
          </cell>
          <cell r="G45">
            <v>0.01</v>
          </cell>
          <cell r="H45">
            <v>0.01</v>
          </cell>
          <cell r="I45">
            <v>0.01</v>
          </cell>
        </row>
      </sheetData>
      <sheetData sheetId="2">
        <row r="8">
          <cell r="E8">
            <v>705000</v>
          </cell>
          <cell r="F8">
            <v>806520</v>
          </cell>
          <cell r="G8">
            <v>914271.07200000016</v>
          </cell>
          <cell r="H8">
            <v>1026909.2680704003</v>
          </cell>
          <cell r="I8">
            <v>1142744.6335087419</v>
          </cell>
        </row>
        <row r="21">
          <cell r="E21">
            <v>227000</v>
          </cell>
          <cell r="F21">
            <v>287604</v>
          </cell>
          <cell r="G21">
            <v>353102.35320000001</v>
          </cell>
          <cell r="H21">
            <v>422670.11884032015</v>
          </cell>
          <cell r="I21">
            <v>495211.36868203245</v>
          </cell>
        </row>
        <row r="32">
          <cell r="E32">
            <v>-36939</v>
          </cell>
          <cell r="F32">
            <v>-49430.991959999992</v>
          </cell>
          <cell r="G32">
            <v>-63147.881559974398</v>
          </cell>
          <cell r="H32">
            <v>-77953.199210183389</v>
          </cell>
          <cell r="I32">
            <v>-93652.040032496661</v>
          </cell>
        </row>
        <row r="37">
          <cell r="E37">
            <v>83376.599999999991</v>
          </cell>
          <cell r="F37">
            <v>111572.810424</v>
          </cell>
          <cell r="G37">
            <v>142533.78980679935</v>
          </cell>
          <cell r="H37">
            <v>175951.50678869965</v>
          </cell>
          <cell r="I37">
            <v>211386.03321620674</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lossary"/>
      <sheetName val="Forecast Assumptions"/>
      <sheetName val="P&amp;L Forecast"/>
      <sheetName val="Cash Flow Forecast"/>
    </sheetNames>
    <sheetDataSet>
      <sheetData sheetId="0"/>
      <sheetData sheetId="1">
        <row r="3">
          <cell r="E3">
            <v>44196</v>
          </cell>
          <cell r="F3">
            <v>44561</v>
          </cell>
          <cell r="G3">
            <v>44926</v>
          </cell>
          <cell r="H3">
            <v>45291</v>
          </cell>
          <cell r="I3">
            <v>45657</v>
          </cell>
        </row>
        <row r="8">
          <cell r="B8" t="str">
            <v>Number of Units Sold</v>
          </cell>
          <cell r="E8">
            <v>100000</v>
          </cell>
          <cell r="F8">
            <v>110000.00000000001</v>
          </cell>
          <cell r="G8">
            <v>119900.00000000003</v>
          </cell>
          <cell r="H8">
            <v>129492.00000000004</v>
          </cell>
          <cell r="I8">
            <v>138556.44000000006</v>
          </cell>
        </row>
        <row r="9">
          <cell r="B9" t="str">
            <v>Average Sale Price</v>
          </cell>
          <cell r="E9">
            <v>4</v>
          </cell>
          <cell r="F9">
            <v>4.16</v>
          </cell>
          <cell r="G9">
            <v>4.3264000000000005</v>
          </cell>
          <cell r="H9">
            <v>4.4994560000000003</v>
          </cell>
          <cell r="I9">
            <v>4.6794342400000009</v>
          </cell>
        </row>
      </sheetData>
      <sheetData sheetId="2">
        <row r="3">
          <cell r="E3">
            <v>44196</v>
          </cell>
          <cell r="F3">
            <v>44561</v>
          </cell>
          <cell r="G3">
            <v>44926</v>
          </cell>
          <cell r="H3">
            <v>45291</v>
          </cell>
          <cell r="I3">
            <v>45657</v>
          </cell>
        </row>
        <row r="8">
          <cell r="E8">
            <v>705000</v>
          </cell>
          <cell r="F8">
            <v>806520</v>
          </cell>
          <cell r="G8">
            <v>914271.07200000016</v>
          </cell>
          <cell r="H8">
            <v>1026909.2680704003</v>
          </cell>
          <cell r="I8">
            <v>1142744.6335087419</v>
          </cell>
        </row>
      </sheetData>
      <sheetData sheetId="3">
        <row r="3">
          <cell r="D3">
            <v>43830</v>
          </cell>
          <cell r="E3">
            <v>44196</v>
          </cell>
          <cell r="F3">
            <v>44561</v>
          </cell>
          <cell r="G3">
            <v>44926</v>
          </cell>
          <cell r="H3">
            <v>45291</v>
          </cell>
          <cell r="I3">
            <v>45657</v>
          </cell>
        </row>
        <row r="17">
          <cell r="E17">
            <v>15000</v>
          </cell>
          <cell r="F17">
            <v>15000</v>
          </cell>
          <cell r="G17">
            <v>15000</v>
          </cell>
          <cell r="H17">
            <v>15000</v>
          </cell>
          <cell r="I17">
            <v>52259.377088012465</v>
          </cell>
        </row>
        <row r="23">
          <cell r="D23">
            <v>400000</v>
          </cell>
          <cell r="E23">
            <v>351465.6</v>
          </cell>
          <cell r="F23">
            <v>285148.92638399999</v>
          </cell>
          <cell r="G23">
            <v>199269.11056613372</v>
          </cell>
          <cell r="H23">
            <v>92237.198721037974</v>
          </cell>
          <cell r="I23">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EAAB-B64D-47D2-B8DA-7B07BEF457E5}">
  <dimension ref="A1:U226"/>
  <sheetViews>
    <sheetView showGridLines="0" view="pageBreakPreview" zoomScale="85" zoomScaleNormal="85" zoomScaleSheetLayoutView="85" workbookViewId="0">
      <selection activeCell="C69" sqref="C69"/>
    </sheetView>
  </sheetViews>
  <sheetFormatPr defaultColWidth="15.6640625" defaultRowHeight="15" customHeight="1" x14ac:dyDescent="0.25"/>
  <cols>
    <col min="1" max="1" width="2.6640625" style="1" customWidth="1"/>
    <col min="2" max="2" width="3.6640625" style="1" customWidth="1"/>
    <col min="3" max="3" width="14.109375" style="1" bestFit="1" customWidth="1"/>
    <col min="4" max="13" width="15.6640625" style="1" customWidth="1"/>
    <col min="14" max="14" width="2.6640625" style="1" customWidth="1"/>
    <col min="15" max="21" width="15.6640625" style="1" customWidth="1"/>
    <col min="22" max="16384" width="15.6640625" style="1"/>
  </cols>
  <sheetData>
    <row r="1" spans="1:7" s="36" customFormat="1" ht="35.1" customHeight="1" x14ac:dyDescent="0.3">
      <c r="B1" s="37" t="s">
        <v>0</v>
      </c>
    </row>
    <row r="3" spans="1:7" ht="15" customHeight="1" x14ac:dyDescent="0.25">
      <c r="C3" s="8"/>
      <c r="D3" s="1" t="s">
        <v>124</v>
      </c>
    </row>
    <row r="4" spans="1:7" ht="15" customHeight="1" x14ac:dyDescent="0.25">
      <c r="D4" s="10" t="s">
        <v>125</v>
      </c>
    </row>
    <row r="5" spans="1:7" s="35" customFormat="1" ht="20.100000000000001" customHeight="1" x14ac:dyDescent="0.3">
      <c r="A5" s="34" t="s">
        <v>2</v>
      </c>
      <c r="B5" s="34" t="s">
        <v>1</v>
      </c>
    </row>
    <row r="7" spans="1:7" s="32" customFormat="1" ht="15" customHeight="1" x14ac:dyDescent="0.3">
      <c r="B7" s="30">
        <v>1</v>
      </c>
      <c r="C7" s="31" t="s">
        <v>3</v>
      </c>
    </row>
    <row r="8" spans="1:7" ht="15" customHeight="1" x14ac:dyDescent="0.25">
      <c r="B8" s="3"/>
      <c r="C8" s="2"/>
    </row>
    <row r="9" spans="1:7" ht="15" customHeight="1" x14ac:dyDescent="0.25">
      <c r="C9" s="1" t="s">
        <v>4</v>
      </c>
    </row>
    <row r="10" spans="1:7" ht="15" customHeight="1" x14ac:dyDescent="0.25">
      <c r="C10" s="1" t="s">
        <v>5</v>
      </c>
    </row>
    <row r="11" spans="1:7" ht="15" customHeight="1" x14ac:dyDescent="0.25">
      <c r="C11" s="5" t="s">
        <v>126</v>
      </c>
      <c r="D11" s="6"/>
      <c r="E11" s="7"/>
      <c r="F11" s="5" t="s">
        <v>6</v>
      </c>
      <c r="G11" s="4"/>
    </row>
    <row r="12" spans="1:7" ht="15" customHeight="1" x14ac:dyDescent="0.25">
      <c r="C12" s="5" t="s">
        <v>127</v>
      </c>
      <c r="D12" s="6"/>
      <c r="E12" s="7"/>
      <c r="F12" s="5" t="s">
        <v>7</v>
      </c>
      <c r="G12" s="4"/>
    </row>
    <row r="13" spans="1:7" ht="15" customHeight="1" x14ac:dyDescent="0.25">
      <c r="C13" s="5" t="s">
        <v>128</v>
      </c>
      <c r="D13" s="6"/>
      <c r="E13" s="7"/>
      <c r="F13" s="5" t="s">
        <v>8</v>
      </c>
      <c r="G13" s="4"/>
    </row>
    <row r="15" spans="1:7" ht="15" customHeight="1" x14ac:dyDescent="0.25">
      <c r="C15" s="1" t="s">
        <v>9</v>
      </c>
      <c r="D15" s="50" t="s">
        <v>11</v>
      </c>
    </row>
    <row r="16" spans="1:7" ht="15" customHeight="1" x14ac:dyDescent="0.25">
      <c r="C16" s="1" t="s">
        <v>10</v>
      </c>
      <c r="D16" s="51">
        <v>1000</v>
      </c>
    </row>
    <row r="17" spans="2:12" ht="15" customHeight="1" x14ac:dyDescent="0.25">
      <c r="C17" s="13" t="s">
        <v>21</v>
      </c>
    </row>
    <row r="18" spans="2:12" ht="15" customHeight="1" x14ac:dyDescent="0.25">
      <c r="C18" s="9" t="s">
        <v>12</v>
      </c>
    </row>
    <row r="19" spans="2:12" ht="15" customHeight="1" x14ac:dyDescent="0.25">
      <c r="C19" s="9" t="s">
        <v>13</v>
      </c>
    </row>
    <row r="22" spans="2:12" s="32" customFormat="1" ht="15" customHeight="1" x14ac:dyDescent="0.3">
      <c r="B22" s="30">
        <v>2</v>
      </c>
      <c r="C22" s="31" t="s">
        <v>14</v>
      </c>
    </row>
    <row r="23" spans="2:12" s="32" customFormat="1" ht="15" customHeight="1" x14ac:dyDescent="0.3">
      <c r="B23" s="30"/>
      <c r="C23" s="31"/>
    </row>
    <row r="24" spans="2:12" ht="15" customHeight="1" x14ac:dyDescent="0.25">
      <c r="C24" s="5" t="s">
        <v>129</v>
      </c>
    </row>
    <row r="25" spans="2:12" ht="15" customHeight="1" x14ac:dyDescent="0.25">
      <c r="C25" s="70" t="s">
        <v>157</v>
      </c>
      <c r="D25" s="70"/>
      <c r="E25" s="70"/>
      <c r="F25" s="70"/>
      <c r="G25" s="70"/>
      <c r="H25" s="70"/>
    </row>
    <row r="26" spans="2:12" ht="15" customHeight="1" x14ac:dyDescent="0.25">
      <c r="C26" s="13" t="s">
        <v>20</v>
      </c>
    </row>
    <row r="28" spans="2:12" ht="15" customHeight="1" x14ac:dyDescent="0.25">
      <c r="C28" s="5" t="s">
        <v>16</v>
      </c>
    </row>
    <row r="29" spans="2:12" ht="15" customHeight="1" x14ac:dyDescent="0.25">
      <c r="C29" s="70" t="s">
        <v>158</v>
      </c>
      <c r="D29" s="70"/>
      <c r="E29" s="70"/>
      <c r="F29" s="70"/>
      <c r="G29" s="70"/>
      <c r="H29" s="70"/>
      <c r="I29" s="70"/>
      <c r="J29" s="70"/>
      <c r="K29" s="70"/>
      <c r="L29" s="19"/>
    </row>
    <row r="30" spans="2:12" ht="15" customHeight="1" x14ac:dyDescent="0.25">
      <c r="C30" s="13" t="s">
        <v>19</v>
      </c>
    </row>
    <row r="31" spans="2:12" ht="15" customHeight="1" x14ac:dyDescent="0.25">
      <c r="C31" s="1" t="s">
        <v>15</v>
      </c>
    </row>
    <row r="32" spans="2:12" ht="15" customHeight="1" x14ac:dyDescent="0.25">
      <c r="C32" s="5" t="s">
        <v>17</v>
      </c>
    </row>
    <row r="33" spans="2:21" ht="15" customHeight="1" x14ac:dyDescent="0.25">
      <c r="C33" s="70" t="s">
        <v>159</v>
      </c>
      <c r="D33" s="70"/>
      <c r="E33" s="70"/>
      <c r="F33" s="70"/>
      <c r="G33" s="70"/>
      <c r="H33" s="70"/>
      <c r="I33" s="70"/>
      <c r="J33" s="70"/>
    </row>
    <row r="34" spans="2:21" ht="15" customHeight="1" x14ac:dyDescent="0.25">
      <c r="C34" s="13" t="s">
        <v>18</v>
      </c>
    </row>
    <row r="35" spans="2:21" ht="15" customHeight="1" x14ac:dyDescent="0.25">
      <c r="C35" s="13"/>
    </row>
    <row r="37" spans="2:21" s="32" customFormat="1" ht="15" customHeight="1" x14ac:dyDescent="0.3">
      <c r="B37" s="30">
        <v>3</v>
      </c>
      <c r="C37" s="31" t="s">
        <v>22</v>
      </c>
    </row>
    <row r="40" spans="2:21" ht="15" customHeight="1" x14ac:dyDescent="0.25">
      <c r="C40" s="5" t="s">
        <v>130</v>
      </c>
      <c r="G40" s="8"/>
      <c r="H40" s="10" t="s">
        <v>122</v>
      </c>
    </row>
    <row r="41" spans="2:21" ht="15" customHeight="1" x14ac:dyDescent="0.25">
      <c r="C41" s="5" t="s">
        <v>131</v>
      </c>
      <c r="O41" s="1">
        <v>1</v>
      </c>
      <c r="P41" s="1">
        <v>2</v>
      </c>
      <c r="Q41" s="1">
        <v>3</v>
      </c>
      <c r="R41" s="1">
        <v>4</v>
      </c>
      <c r="T41" s="1">
        <v>6</v>
      </c>
      <c r="U41" s="1">
        <v>7</v>
      </c>
    </row>
    <row r="42" spans="2:21" ht="15" customHeight="1" x14ac:dyDescent="0.25">
      <c r="C42" s="5" t="s">
        <v>132</v>
      </c>
    </row>
    <row r="43" spans="2:21" ht="15" customHeight="1" x14ac:dyDescent="0.25">
      <c r="C43" s="5" t="s">
        <v>23</v>
      </c>
    </row>
    <row r="44" spans="2:21" ht="15" customHeight="1" x14ac:dyDescent="0.25">
      <c r="C44" s="5" t="s">
        <v>24</v>
      </c>
    </row>
    <row r="46" spans="2:21" ht="15" customHeight="1" x14ac:dyDescent="0.25">
      <c r="C46" s="13" t="s">
        <v>120</v>
      </c>
      <c r="G46" s="49" t="s">
        <v>123</v>
      </c>
    </row>
    <row r="47" spans="2:21" ht="15" customHeight="1" x14ac:dyDescent="0.25">
      <c r="C47" s="13"/>
    </row>
    <row r="49" spans="2:7" s="32" customFormat="1" ht="15" customHeight="1" x14ac:dyDescent="0.3">
      <c r="B49" s="30">
        <v>4</v>
      </c>
      <c r="C49" s="31" t="s">
        <v>25</v>
      </c>
    </row>
    <row r="51" spans="2:7" ht="15" customHeight="1" x14ac:dyDescent="0.25">
      <c r="C51" s="11" t="e" cm="1">
        <f t="array" ref="C51">+ve theory</f>
        <v>#NAME?</v>
      </c>
      <c r="D51" s="5" t="s">
        <v>26</v>
      </c>
    </row>
    <row r="52" spans="2:7" ht="15" customHeight="1" x14ac:dyDescent="0.25">
      <c r="C52" s="13" t="s">
        <v>28</v>
      </c>
    </row>
    <row r="53" spans="2:7" ht="15" customHeight="1" x14ac:dyDescent="0.25">
      <c r="C53" s="13"/>
    </row>
    <row r="55" spans="2:7" s="32" customFormat="1" ht="15" customHeight="1" x14ac:dyDescent="0.3">
      <c r="B55" s="30">
        <v>5</v>
      </c>
      <c r="C55" s="31" t="s">
        <v>27</v>
      </c>
    </row>
    <row r="57" spans="2:7" ht="15" customHeight="1" x14ac:dyDescent="0.25">
      <c r="C57" s="52">
        <v>40.15</v>
      </c>
      <c r="D57" s="5" t="s">
        <v>133</v>
      </c>
    </row>
    <row r="58" spans="2:7" ht="15" customHeight="1" x14ac:dyDescent="0.25">
      <c r="C58" s="13" t="s">
        <v>29</v>
      </c>
    </row>
    <row r="59" spans="2:7" ht="15" customHeight="1" x14ac:dyDescent="0.25">
      <c r="C59" s="13"/>
    </row>
    <row r="61" spans="2:7" s="32" customFormat="1" ht="15" customHeight="1" x14ac:dyDescent="0.3">
      <c r="B61" s="30">
        <v>6</v>
      </c>
      <c r="C61" s="31" t="s">
        <v>30</v>
      </c>
      <c r="E61" s="33">
        <f ca="1">TODAY()</f>
        <v>44996</v>
      </c>
    </row>
    <row r="62" spans="2:7" s="32" customFormat="1" ht="15" customHeight="1" x14ac:dyDescent="0.3">
      <c r="B62" s="30"/>
      <c r="C62" s="31"/>
      <c r="E62" s="33"/>
    </row>
    <row r="63" spans="2:7" ht="15" customHeight="1" x14ac:dyDescent="0.25">
      <c r="C63" s="1" t="s">
        <v>31</v>
      </c>
    </row>
    <row r="64" spans="2:7" ht="15" customHeight="1" x14ac:dyDescent="0.25">
      <c r="C64" s="1" t="s">
        <v>32</v>
      </c>
      <c r="E64" s="14">
        <f ca="1">TODAY()</f>
        <v>44996</v>
      </c>
      <c r="F64" s="4" t="str">
        <f ca="1">"is actually "&amp;E61</f>
        <v>is actually 44996</v>
      </c>
      <c r="G64" s="4"/>
    </row>
    <row r="66" spans="2:5" ht="15" customHeight="1" x14ac:dyDescent="0.25">
      <c r="C66" s="15">
        <f ca="1">TODAY()</f>
        <v>44996</v>
      </c>
      <c r="D66" s="16" t="s">
        <v>33</v>
      </c>
      <c r="E66" s="4"/>
    </row>
    <row r="67" spans="2:5" ht="15" customHeight="1" x14ac:dyDescent="0.25">
      <c r="C67" s="11">
        <f ca="1">C66</f>
        <v>44996</v>
      </c>
      <c r="D67" s="5" t="s">
        <v>134</v>
      </c>
      <c r="E67" s="4"/>
    </row>
    <row r="68" spans="2:5" ht="15" customHeight="1" x14ac:dyDescent="0.25">
      <c r="C68" s="15">
        <v>49859</v>
      </c>
      <c r="D68" s="4" t="s">
        <v>34</v>
      </c>
      <c r="E68" s="4"/>
    </row>
    <row r="69" spans="2:5" ht="15" customHeight="1" x14ac:dyDescent="0.25">
      <c r="C69" s="11">
        <f>C68</f>
        <v>49859</v>
      </c>
      <c r="D69" s="4" t="s">
        <v>35</v>
      </c>
      <c r="E69" s="5" t="s">
        <v>135</v>
      </c>
    </row>
    <row r="70" spans="2:5" ht="15" customHeight="1" x14ac:dyDescent="0.25">
      <c r="C70" s="13" t="s">
        <v>36</v>
      </c>
    </row>
    <row r="71" spans="2:5" ht="15" customHeight="1" x14ac:dyDescent="0.25">
      <c r="C71" s="13"/>
    </row>
    <row r="73" spans="2:5" s="32" customFormat="1" ht="15" customHeight="1" x14ac:dyDescent="0.3">
      <c r="B73" s="30">
        <v>7</v>
      </c>
      <c r="C73" s="31" t="s">
        <v>37</v>
      </c>
    </row>
    <row r="75" spans="2:5" ht="15" customHeight="1" x14ac:dyDescent="0.25">
      <c r="C75" s="4" t="s">
        <v>38</v>
      </c>
      <c r="D75" s="4"/>
      <c r="E75" s="4"/>
    </row>
    <row r="76" spans="2:5" ht="15" customHeight="1" x14ac:dyDescent="0.25">
      <c r="C76" s="4">
        <v>60</v>
      </c>
      <c r="D76" s="4"/>
    </row>
    <row r="77" spans="2:5" ht="15" customHeight="1" x14ac:dyDescent="0.25">
      <c r="C77" s="4">
        <v>30</v>
      </c>
      <c r="D77" s="4"/>
    </row>
    <row r="78" spans="2:5" ht="15" customHeight="1" x14ac:dyDescent="0.25">
      <c r="C78" s="17">
        <f>C76+C77</f>
        <v>90</v>
      </c>
      <c r="D78" s="4" t="s">
        <v>39</v>
      </c>
    </row>
    <row r="79" spans="2:5" ht="15" customHeight="1" x14ac:dyDescent="0.25">
      <c r="C79" s="17">
        <f>C76-C77</f>
        <v>30</v>
      </c>
      <c r="D79" s="4" t="s">
        <v>40</v>
      </c>
    </row>
    <row r="80" spans="2:5" ht="15" customHeight="1" x14ac:dyDescent="0.25">
      <c r="C80" s="17">
        <f>C76*C77</f>
        <v>1800</v>
      </c>
      <c r="D80" s="4" t="s">
        <v>41</v>
      </c>
    </row>
    <row r="81" spans="2:5" ht="15" customHeight="1" x14ac:dyDescent="0.25">
      <c r="C81" s="17">
        <f>C76/C77</f>
        <v>2</v>
      </c>
      <c r="D81" s="4" t="s">
        <v>42</v>
      </c>
    </row>
    <row r="82" spans="2:5" ht="15" customHeight="1" x14ac:dyDescent="0.25">
      <c r="C82" s="13" t="s">
        <v>43</v>
      </c>
    </row>
    <row r="84" spans="2:5" ht="15" customHeight="1" x14ac:dyDescent="0.25">
      <c r="C84" s="4" t="s">
        <v>44</v>
      </c>
      <c r="D84" s="4"/>
      <c r="E84" s="4"/>
    </row>
    <row r="85" spans="2:5" ht="15" customHeight="1" x14ac:dyDescent="0.25">
      <c r="C85" s="4"/>
      <c r="D85" s="4"/>
      <c r="E85" s="4"/>
    </row>
    <row r="86" spans="2:5" ht="15" customHeight="1" x14ac:dyDescent="0.25">
      <c r="C86" s="4">
        <v>20</v>
      </c>
      <c r="D86" s="4"/>
    </row>
    <row r="87" spans="2:5" ht="15" customHeight="1" x14ac:dyDescent="0.25">
      <c r="C87" s="4">
        <v>30</v>
      </c>
      <c r="D87" s="4"/>
    </row>
    <row r="88" spans="2:5" ht="15" customHeight="1" x14ac:dyDescent="0.25">
      <c r="C88" s="18">
        <v>40</v>
      </c>
      <c r="D88" s="4"/>
    </row>
    <row r="89" spans="2:5" ht="15" customHeight="1" x14ac:dyDescent="0.25">
      <c r="C89" s="17">
        <f>SUM(C86:C88)</f>
        <v>90</v>
      </c>
      <c r="D89" s="4" t="s">
        <v>45</v>
      </c>
    </row>
    <row r="90" spans="2:5" ht="15" customHeight="1" x14ac:dyDescent="0.25">
      <c r="C90" s="13" t="s">
        <v>46</v>
      </c>
    </row>
    <row r="91" spans="2:5" ht="15" customHeight="1" x14ac:dyDescent="0.25">
      <c r="C91" s="13"/>
    </row>
    <row r="93" spans="2:5" s="32" customFormat="1" ht="15" customHeight="1" x14ac:dyDescent="0.3">
      <c r="B93" s="30">
        <v>8</v>
      </c>
      <c r="C93" s="31" t="s">
        <v>47</v>
      </c>
    </row>
    <row r="94" spans="2:5" s="32" customFormat="1" ht="15" customHeight="1" x14ac:dyDescent="0.3">
      <c r="B94" s="30"/>
      <c r="C94" s="31"/>
    </row>
    <row r="95" spans="2:5" ht="15" customHeight="1" x14ac:dyDescent="0.25">
      <c r="C95" s="5" t="s">
        <v>136</v>
      </c>
    </row>
    <row r="96" spans="2:5" ht="15" customHeight="1" x14ac:dyDescent="0.25">
      <c r="C96" s="5" t="s">
        <v>137</v>
      </c>
    </row>
    <row r="98" spans="3:16" ht="15" customHeight="1" x14ac:dyDescent="0.25">
      <c r="C98" s="17">
        <v>23</v>
      </c>
      <c r="D98" s="4" t="s">
        <v>48</v>
      </c>
    </row>
    <row r="99" spans="3:16" ht="15" customHeight="1" x14ac:dyDescent="0.25">
      <c r="C99" s="17">
        <v>23</v>
      </c>
      <c r="D99" s="4" t="s">
        <v>49</v>
      </c>
    </row>
    <row r="100" spans="3:16" ht="15" customHeight="1" x14ac:dyDescent="0.25">
      <c r="C100" s="13" t="s">
        <v>72</v>
      </c>
      <c r="D100" s="4"/>
    </row>
    <row r="102" spans="3:16" ht="15" customHeight="1" x14ac:dyDescent="0.25">
      <c r="C102" s="2" t="s">
        <v>50</v>
      </c>
      <c r="F102" s="2" t="s">
        <v>68</v>
      </c>
      <c r="J102" s="2" t="s">
        <v>67</v>
      </c>
    </row>
    <row r="103" spans="3:16" ht="15" customHeight="1" x14ac:dyDescent="0.25">
      <c r="C103" s="41" t="s">
        <v>51</v>
      </c>
      <c r="D103" s="41" t="s">
        <v>52</v>
      </c>
      <c r="F103" s="24" t="s">
        <v>53</v>
      </c>
      <c r="G103" s="41" t="s">
        <v>52</v>
      </c>
      <c r="H103" s="41" t="s">
        <v>54</v>
      </c>
      <c r="J103" s="22" t="s">
        <v>63</v>
      </c>
      <c r="K103" s="4"/>
      <c r="L103" s="4"/>
      <c r="M103" s="4"/>
      <c r="N103" s="4"/>
      <c r="O103" s="4"/>
      <c r="P103" s="4"/>
    </row>
    <row r="104" spans="3:16" ht="15" customHeight="1" x14ac:dyDescent="0.25">
      <c r="C104" s="43">
        <v>40758</v>
      </c>
      <c r="D104" s="42">
        <v>2.35</v>
      </c>
      <c r="F104" s="25">
        <v>300</v>
      </c>
      <c r="G104" s="42">
        <v>2.35</v>
      </c>
      <c r="H104" s="42">
        <f>F104*G104</f>
        <v>705</v>
      </c>
      <c r="J104" s="23" t="s">
        <v>60</v>
      </c>
      <c r="K104" s="26" t="s">
        <v>66</v>
      </c>
      <c r="L104" s="26" t="s">
        <v>64</v>
      </c>
      <c r="M104" s="26" t="s">
        <v>65</v>
      </c>
    </row>
    <row r="105" spans="3:16" ht="15" customHeight="1" x14ac:dyDescent="0.25">
      <c r="C105" s="43">
        <v>40759</v>
      </c>
      <c r="D105" s="42">
        <v>2.37</v>
      </c>
      <c r="F105" s="25">
        <v>200</v>
      </c>
      <c r="G105" s="42">
        <v>2.37</v>
      </c>
      <c r="H105" s="42">
        <f t="shared" ref="H105:H110" si="0">F105*G105</f>
        <v>474</v>
      </c>
      <c r="J105" s="23" t="s">
        <v>61</v>
      </c>
      <c r="K105" s="26">
        <v>10</v>
      </c>
      <c r="L105" s="26">
        <v>20</v>
      </c>
      <c r="M105" s="26">
        <v>30</v>
      </c>
    </row>
    <row r="106" spans="3:16" ht="15" customHeight="1" x14ac:dyDescent="0.25">
      <c r="C106" s="43">
        <v>40760</v>
      </c>
      <c r="D106" s="42">
        <v>2.4300000000000002</v>
      </c>
      <c r="F106" s="25">
        <v>500</v>
      </c>
      <c r="G106" s="42">
        <v>2.4300000000000002</v>
      </c>
      <c r="H106" s="42">
        <f t="shared" si="0"/>
        <v>1215</v>
      </c>
      <c r="J106" s="29" t="s">
        <v>52</v>
      </c>
      <c r="K106" s="27">
        <v>2.4300000000000002</v>
      </c>
      <c r="L106" s="27">
        <v>8.9700000000000006</v>
      </c>
      <c r="M106" s="27">
        <v>4.3499999999999996</v>
      </c>
    </row>
    <row r="107" spans="3:16" ht="15" customHeight="1" x14ac:dyDescent="0.25">
      <c r="C107" s="43">
        <v>40761</v>
      </c>
      <c r="D107" s="42">
        <v>2.4300000000000002</v>
      </c>
      <c r="F107" s="25">
        <v>300</v>
      </c>
      <c r="G107" s="42">
        <v>2.4300000000000002</v>
      </c>
      <c r="H107" s="42">
        <f t="shared" si="0"/>
        <v>729</v>
      </c>
      <c r="J107" s="23" t="s">
        <v>62</v>
      </c>
      <c r="K107" s="28">
        <f>K105*K106</f>
        <v>24.3</v>
      </c>
      <c r="L107" s="28">
        <f t="shared" ref="L107:M107" si="1">L105*L106</f>
        <v>179.4</v>
      </c>
      <c r="M107" s="28">
        <f t="shared" si="1"/>
        <v>130.5</v>
      </c>
    </row>
    <row r="108" spans="3:16" ht="15" customHeight="1" x14ac:dyDescent="0.25">
      <c r="C108" s="43">
        <v>40762</v>
      </c>
      <c r="D108" s="42">
        <v>2.38</v>
      </c>
      <c r="F108" s="25">
        <v>400</v>
      </c>
      <c r="G108" s="42">
        <v>2.38</v>
      </c>
      <c r="H108" s="42">
        <f t="shared" si="0"/>
        <v>952</v>
      </c>
    </row>
    <row r="109" spans="3:16" ht="15" customHeight="1" x14ac:dyDescent="0.25">
      <c r="C109" s="43">
        <v>40763</v>
      </c>
      <c r="D109" s="42">
        <v>2.4500000000000002</v>
      </c>
      <c r="F109" s="25">
        <v>200</v>
      </c>
      <c r="G109" s="42">
        <v>2.4500000000000002</v>
      </c>
      <c r="H109" s="42">
        <f t="shared" si="0"/>
        <v>490.00000000000006</v>
      </c>
      <c r="J109" s="40">
        <v>24.3</v>
      </c>
      <c r="K109" s="1" t="s">
        <v>69</v>
      </c>
    </row>
    <row r="110" spans="3:16" ht="15" customHeight="1" x14ac:dyDescent="0.25">
      <c r="C110" s="43">
        <v>40764</v>
      </c>
      <c r="D110" s="42">
        <v>2.77</v>
      </c>
      <c r="F110" s="25">
        <v>100</v>
      </c>
      <c r="G110" s="42">
        <v>2.77</v>
      </c>
      <c r="H110" s="42">
        <f t="shared" si="0"/>
        <v>277</v>
      </c>
    </row>
    <row r="112" spans="3:16" ht="15" customHeight="1" x14ac:dyDescent="0.25">
      <c r="C112" s="5" t="s">
        <v>57</v>
      </c>
      <c r="D112" s="21"/>
      <c r="E112" s="7"/>
      <c r="F112" s="5" t="s">
        <v>58</v>
      </c>
      <c r="G112" s="12"/>
      <c r="H112" s="7"/>
      <c r="I112" s="7"/>
      <c r="J112" s="5" t="s">
        <v>59</v>
      </c>
      <c r="L112" s="4"/>
      <c r="M112" s="4"/>
      <c r="N112" s="4"/>
    </row>
    <row r="113" spans="2:14" ht="15" customHeight="1" x14ac:dyDescent="0.25">
      <c r="C113" s="5" t="s">
        <v>138</v>
      </c>
      <c r="D113" s="21"/>
      <c r="E113" s="7"/>
      <c r="F113" s="5" t="s">
        <v>139</v>
      </c>
      <c r="G113" s="12"/>
      <c r="H113" s="7"/>
      <c r="I113" s="7"/>
      <c r="J113" s="5" t="s">
        <v>140</v>
      </c>
      <c r="L113" s="4"/>
      <c r="M113" s="4"/>
      <c r="N113" s="4"/>
    </row>
    <row r="115" spans="2:14" ht="43.5" customHeight="1" x14ac:dyDescent="0.25">
      <c r="C115" s="69" t="s">
        <v>55</v>
      </c>
      <c r="D115" s="69"/>
      <c r="E115" s="20"/>
      <c r="F115" s="69" t="s">
        <v>56</v>
      </c>
      <c r="G115" s="69"/>
      <c r="H115" s="69"/>
      <c r="J115" s="69" t="s">
        <v>70</v>
      </c>
      <c r="K115" s="69"/>
      <c r="L115" s="69"/>
    </row>
    <row r="116" spans="2:14" ht="15" customHeight="1" x14ac:dyDescent="0.25">
      <c r="C116" s="38"/>
      <c r="D116" s="38"/>
      <c r="E116" s="20"/>
      <c r="F116" s="38"/>
      <c r="G116" s="38"/>
      <c r="H116" s="38"/>
      <c r="J116" s="38"/>
      <c r="K116" s="38"/>
      <c r="L116" s="38"/>
    </row>
    <row r="118" spans="2:14" s="32" customFormat="1" ht="15" customHeight="1" x14ac:dyDescent="0.3">
      <c r="B118" s="30">
        <v>9</v>
      </c>
      <c r="C118" s="31" t="s">
        <v>71</v>
      </c>
    </row>
    <row r="120" spans="2:14" ht="15" customHeight="1" x14ac:dyDescent="0.25">
      <c r="C120" s="1">
        <v>1</v>
      </c>
      <c r="E120" s="1">
        <v>1</v>
      </c>
      <c r="F120" s="1">
        <v>2</v>
      </c>
      <c r="G120" s="1">
        <v>3</v>
      </c>
      <c r="H120" s="1">
        <v>4</v>
      </c>
    </row>
    <row r="121" spans="2:14" ht="15" customHeight="1" x14ac:dyDescent="0.25">
      <c r="C121" s="1">
        <v>2</v>
      </c>
    </row>
    <row r="122" spans="2:14" ht="15" customHeight="1" x14ac:dyDescent="0.25">
      <c r="C122" s="1">
        <v>3</v>
      </c>
    </row>
    <row r="123" spans="2:14" ht="15" customHeight="1" x14ac:dyDescent="0.25">
      <c r="C123" s="1">
        <v>4</v>
      </c>
    </row>
    <row r="125" spans="2:14" ht="15" customHeight="1" x14ac:dyDescent="0.25">
      <c r="C125" s="5" t="s">
        <v>141</v>
      </c>
    </row>
    <row r="127" spans="2:14" ht="15" customHeight="1" x14ac:dyDescent="0.25">
      <c r="C127" s="13" t="s">
        <v>121</v>
      </c>
    </row>
    <row r="128" spans="2:14" ht="15" customHeight="1" x14ac:dyDescent="0.25">
      <c r="C128" s="13"/>
    </row>
    <row r="130" spans="1:5" s="35" customFormat="1" ht="20.100000000000001" customHeight="1" x14ac:dyDescent="0.3">
      <c r="A130" s="34" t="s">
        <v>2</v>
      </c>
      <c r="B130" s="34" t="s">
        <v>73</v>
      </c>
    </row>
    <row r="132" spans="1:5" ht="15" customHeight="1" x14ac:dyDescent="0.3">
      <c r="B132" s="30">
        <v>10</v>
      </c>
      <c r="C132" s="31" t="s">
        <v>74</v>
      </c>
    </row>
    <row r="134" spans="1:5" ht="15" customHeight="1" x14ac:dyDescent="0.25">
      <c r="C134" s="5" t="s">
        <v>75</v>
      </c>
      <c r="D134" s="53">
        <v>15</v>
      </c>
      <c r="E134" s="5" t="s">
        <v>142</v>
      </c>
    </row>
    <row r="135" spans="1:5" ht="15" customHeight="1" x14ac:dyDescent="0.25">
      <c r="C135" s="5" t="s">
        <v>76</v>
      </c>
      <c r="D135" s="54">
        <v>15</v>
      </c>
      <c r="E135" s="5" t="s">
        <v>143</v>
      </c>
    </row>
    <row r="136" spans="1:5" ht="15" customHeight="1" x14ac:dyDescent="0.25">
      <c r="C136" s="5" t="s">
        <v>51</v>
      </c>
      <c r="D136" s="55">
        <v>15</v>
      </c>
      <c r="E136" s="5" t="s">
        <v>144</v>
      </c>
    </row>
    <row r="137" spans="1:5" ht="15" customHeight="1" x14ac:dyDescent="0.25">
      <c r="C137" s="5" t="s">
        <v>77</v>
      </c>
      <c r="D137" s="56">
        <v>15</v>
      </c>
      <c r="E137" s="5" t="s">
        <v>145</v>
      </c>
    </row>
    <row r="138" spans="1:5" ht="15" customHeight="1" x14ac:dyDescent="0.25">
      <c r="C138" s="5" t="s">
        <v>78</v>
      </c>
      <c r="D138" s="57">
        <v>15</v>
      </c>
      <c r="E138" s="5" t="s">
        <v>146</v>
      </c>
    </row>
    <row r="139" spans="1:5" ht="15" customHeight="1" x14ac:dyDescent="0.25">
      <c r="C139" s="5" t="s">
        <v>79</v>
      </c>
      <c r="D139" s="58">
        <v>15</v>
      </c>
      <c r="E139" s="5" t="s">
        <v>147</v>
      </c>
    </row>
    <row r="141" spans="1:5" ht="15" customHeight="1" x14ac:dyDescent="0.25">
      <c r="C141" s="13" t="s">
        <v>80</v>
      </c>
    </row>
    <row r="142" spans="1:5" ht="15" customHeight="1" x14ac:dyDescent="0.25">
      <c r="C142" s="13"/>
    </row>
    <row r="144" spans="1:5" ht="15" customHeight="1" x14ac:dyDescent="0.3">
      <c r="B144" s="30">
        <v>11</v>
      </c>
      <c r="C144" s="31" t="s">
        <v>81</v>
      </c>
    </row>
    <row r="146" spans="2:5" ht="15" customHeight="1" x14ac:dyDescent="0.25">
      <c r="D146" s="59">
        <v>15</v>
      </c>
      <c r="E146" s="5" t="s">
        <v>148</v>
      </c>
    </row>
    <row r="147" spans="2:5" ht="15" customHeight="1" x14ac:dyDescent="0.25">
      <c r="D147" s="60">
        <v>15</v>
      </c>
      <c r="E147" s="5" t="s">
        <v>149</v>
      </c>
    </row>
    <row r="148" spans="2:5" ht="15" customHeight="1" x14ac:dyDescent="0.25">
      <c r="D148" s="61">
        <v>15</v>
      </c>
      <c r="E148" s="5" t="s">
        <v>150</v>
      </c>
    </row>
    <row r="149" spans="2:5" ht="15" customHeight="1" x14ac:dyDescent="0.25">
      <c r="D149" s="62">
        <v>15</v>
      </c>
      <c r="E149" s="5" t="s">
        <v>151</v>
      </c>
    </row>
    <row r="150" spans="2:5" ht="15" customHeight="1" x14ac:dyDescent="0.25">
      <c r="D150" s="17">
        <v>15</v>
      </c>
      <c r="E150" s="5" t="s">
        <v>152</v>
      </c>
    </row>
    <row r="151" spans="2:5" ht="15" customHeight="1" x14ac:dyDescent="0.25">
      <c r="D151" s="39">
        <v>15</v>
      </c>
      <c r="E151" s="5" t="s">
        <v>82</v>
      </c>
    </row>
    <row r="152" spans="2:5" ht="15" customHeight="1" thickBot="1" x14ac:dyDescent="0.3">
      <c r="D152" s="63">
        <v>15</v>
      </c>
      <c r="E152" s="5" t="s">
        <v>153</v>
      </c>
    </row>
    <row r="153" spans="2:5" ht="15" customHeight="1" thickBot="1" x14ac:dyDescent="0.3">
      <c r="D153" s="64">
        <v>15</v>
      </c>
      <c r="E153" s="5" t="s">
        <v>83</v>
      </c>
    </row>
    <row r="155" spans="2:5" ht="15" customHeight="1" x14ac:dyDescent="0.25">
      <c r="C155" s="13" t="s">
        <v>84</v>
      </c>
    </row>
    <row r="156" spans="2:5" ht="15" customHeight="1" x14ac:dyDescent="0.25">
      <c r="C156" s="13"/>
    </row>
    <row r="158" spans="2:5" ht="15" customHeight="1" x14ac:dyDescent="0.3">
      <c r="B158" s="30">
        <v>12</v>
      </c>
      <c r="C158" s="31" t="s">
        <v>85</v>
      </c>
    </row>
    <row r="159" spans="2:5" ht="15" customHeight="1" x14ac:dyDescent="0.25">
      <c r="C159" s="5" t="s">
        <v>86</v>
      </c>
    </row>
    <row r="161" spans="2:7" ht="15" customHeight="1" x14ac:dyDescent="0.25">
      <c r="C161" s="47" t="s">
        <v>87</v>
      </c>
    </row>
    <row r="163" spans="2:7" ht="15" customHeight="1" x14ac:dyDescent="0.25">
      <c r="C163" s="65" t="s">
        <v>88</v>
      </c>
    </row>
    <row r="165" spans="2:7" ht="15" customHeight="1" x14ac:dyDescent="0.25">
      <c r="C165" s="13" t="s">
        <v>89</v>
      </c>
    </row>
    <row r="168" spans="2:7" ht="15" customHeight="1" x14ac:dyDescent="0.3">
      <c r="B168" s="30">
        <v>13</v>
      </c>
      <c r="C168" s="31" t="s">
        <v>90</v>
      </c>
    </row>
    <row r="169" spans="2:7" ht="15" customHeight="1" x14ac:dyDescent="0.25">
      <c r="C169" s="5" t="s">
        <v>91</v>
      </c>
    </row>
    <row r="171" spans="2:7" ht="15" customHeight="1" x14ac:dyDescent="0.25">
      <c r="C171" s="39">
        <v>3</v>
      </c>
      <c r="D171" s="39">
        <v>10</v>
      </c>
      <c r="E171" s="39" t="s">
        <v>160</v>
      </c>
      <c r="F171" s="39" t="s">
        <v>161</v>
      </c>
      <c r="G171" s="39">
        <v>20.5</v>
      </c>
    </row>
    <row r="173" spans="2:7" ht="15" customHeight="1" x14ac:dyDescent="0.25">
      <c r="C173" s="13" t="s">
        <v>92</v>
      </c>
    </row>
    <row r="176" spans="2:7" ht="15" customHeight="1" x14ac:dyDescent="0.3">
      <c r="B176" s="30">
        <v>14</v>
      </c>
      <c r="C176" s="31" t="s">
        <v>93</v>
      </c>
    </row>
    <row r="177" spans="1:7" ht="15" customHeight="1" x14ac:dyDescent="0.3">
      <c r="B177" s="30"/>
      <c r="C177" s="5" t="s">
        <v>96</v>
      </c>
    </row>
    <row r="179" spans="1:7" ht="15" customHeight="1" x14ac:dyDescent="0.25">
      <c r="C179" s="68" t="s">
        <v>95</v>
      </c>
      <c r="D179" s="68"/>
      <c r="E179" s="68"/>
      <c r="F179" s="68"/>
      <c r="G179" s="68"/>
    </row>
    <row r="180" spans="1:7" ht="15" customHeight="1" x14ac:dyDescent="0.25">
      <c r="C180" s="67" t="str">
        <f>TRIM(C179)</f>
        <v>12 Princes Street, Hong Kong</v>
      </c>
      <c r="D180" s="67"/>
      <c r="E180" s="67"/>
      <c r="F180" s="67"/>
      <c r="G180" s="67"/>
    </row>
    <row r="182" spans="1:7" ht="15" customHeight="1" x14ac:dyDescent="0.25">
      <c r="C182" s="13" t="s">
        <v>97</v>
      </c>
    </row>
    <row r="184" spans="1:7" ht="15" customHeight="1" x14ac:dyDescent="0.3">
      <c r="B184" s="30">
        <v>15</v>
      </c>
      <c r="C184" s="31" t="s">
        <v>94</v>
      </c>
    </row>
    <row r="185" spans="1:7" ht="15" customHeight="1" x14ac:dyDescent="0.25">
      <c r="C185" s="5" t="s">
        <v>99</v>
      </c>
    </row>
    <row r="187" spans="1:7" ht="15" customHeight="1" x14ac:dyDescent="0.25">
      <c r="C187" s="68" t="s">
        <v>98</v>
      </c>
      <c r="D187" s="68"/>
      <c r="E187" s="68"/>
      <c r="F187" s="68"/>
      <c r="G187" s="68"/>
    </row>
    <row r="188" spans="1:7" ht="15" customHeight="1" x14ac:dyDescent="0.25">
      <c r="C188" s="67" t="str">
        <f>PROPER(C187)</f>
        <v>12 Princes Street, Hong Kong</v>
      </c>
      <c r="D188" s="67"/>
      <c r="E188" s="67"/>
      <c r="F188" s="67"/>
      <c r="G188" s="67"/>
    </row>
    <row r="191" spans="1:7" s="35" customFormat="1" ht="20.100000000000001" customHeight="1" x14ac:dyDescent="0.3">
      <c r="A191" s="34" t="s">
        <v>2</v>
      </c>
      <c r="B191" s="34" t="s">
        <v>100</v>
      </c>
    </row>
    <row r="193" spans="2:3" ht="15" customHeight="1" x14ac:dyDescent="0.3">
      <c r="B193" s="30">
        <v>16</v>
      </c>
      <c r="C193" s="31" t="s">
        <v>101</v>
      </c>
    </row>
    <row r="194" spans="2:3" ht="15" customHeight="1" x14ac:dyDescent="0.25">
      <c r="C194" s="5" t="s">
        <v>154</v>
      </c>
    </row>
    <row r="196" spans="2:3" ht="15" customHeight="1" x14ac:dyDescent="0.25">
      <c r="C196" s="48">
        <v>3000</v>
      </c>
    </row>
    <row r="197" spans="2:3" ht="15" customHeight="1" x14ac:dyDescent="0.25">
      <c r="C197" s="48">
        <v>6000</v>
      </c>
    </row>
    <row r="198" spans="2:3" ht="15" customHeight="1" x14ac:dyDescent="0.25">
      <c r="C198" s="48">
        <v>9000</v>
      </c>
    </row>
    <row r="200" spans="2:3" ht="15" customHeight="1" x14ac:dyDescent="0.25">
      <c r="C200" s="13" t="s">
        <v>104</v>
      </c>
    </row>
    <row r="203" spans="2:3" ht="15" customHeight="1" x14ac:dyDescent="0.3">
      <c r="B203" s="30">
        <v>17</v>
      </c>
      <c r="C203" s="31" t="s">
        <v>102</v>
      </c>
    </row>
    <row r="204" spans="2:3" ht="15" customHeight="1" x14ac:dyDescent="0.25">
      <c r="C204" s="5" t="s">
        <v>155</v>
      </c>
    </row>
    <row r="206" spans="2:3" ht="15" customHeight="1" x14ac:dyDescent="0.25">
      <c r="C206" s="48">
        <v>3000</v>
      </c>
    </row>
    <row r="207" spans="2:3" ht="15" customHeight="1" x14ac:dyDescent="0.25">
      <c r="C207" s="48">
        <v>6000</v>
      </c>
    </row>
    <row r="208" spans="2:3" ht="15" customHeight="1" x14ac:dyDescent="0.25">
      <c r="C208" s="48">
        <v>9000</v>
      </c>
    </row>
    <row r="210" spans="1:8" ht="15" customHeight="1" x14ac:dyDescent="0.25">
      <c r="C210" s="13" t="s">
        <v>103</v>
      </c>
    </row>
    <row r="213" spans="1:8" s="35" customFormat="1" ht="20.100000000000001" customHeight="1" x14ac:dyDescent="0.3">
      <c r="A213" s="34" t="s">
        <v>2</v>
      </c>
      <c r="B213" s="34" t="s">
        <v>105</v>
      </c>
    </row>
    <row r="215" spans="1:8" ht="15" customHeight="1" x14ac:dyDescent="0.3">
      <c r="B215" s="30">
        <v>18</v>
      </c>
      <c r="C215" s="31" t="s">
        <v>116</v>
      </c>
    </row>
    <row r="216" spans="1:8" ht="15" customHeight="1" x14ac:dyDescent="0.25">
      <c r="C216" s="5" t="s">
        <v>156</v>
      </c>
    </row>
    <row r="218" spans="1:8" ht="15" customHeight="1" x14ac:dyDescent="0.25">
      <c r="C218" s="4" t="s">
        <v>106</v>
      </c>
      <c r="D218" s="4"/>
      <c r="E218" s="44">
        <v>0.09</v>
      </c>
      <c r="F218" s="66" t="s">
        <v>107</v>
      </c>
      <c r="G218" s="66"/>
      <c r="H218" s="16"/>
    </row>
    <row r="219" spans="1:8" ht="15" customHeight="1" x14ac:dyDescent="0.25">
      <c r="C219" s="4" t="s">
        <v>108</v>
      </c>
      <c r="D219" s="4"/>
      <c r="E219" s="45">
        <v>0.04</v>
      </c>
      <c r="F219" s="66" t="s">
        <v>109</v>
      </c>
      <c r="G219" s="66" t="s">
        <v>109</v>
      </c>
      <c r="H219" s="4"/>
    </row>
    <row r="220" spans="1:8" ht="15" customHeight="1" x14ac:dyDescent="0.25">
      <c r="C220" s="4" t="s">
        <v>110</v>
      </c>
      <c r="D220" s="4"/>
      <c r="E220" s="45">
        <v>0.21</v>
      </c>
      <c r="F220" s="66" t="s">
        <v>111</v>
      </c>
      <c r="G220" s="66"/>
      <c r="H220" s="4"/>
    </row>
    <row r="221" spans="1:8" ht="15" customHeight="1" x14ac:dyDescent="0.25">
      <c r="C221" s="4" t="s">
        <v>117</v>
      </c>
      <c r="D221" s="4"/>
      <c r="E221" s="45">
        <v>0.3</v>
      </c>
      <c r="F221" s="66" t="s">
        <v>112</v>
      </c>
      <c r="G221" s="66"/>
      <c r="H221" s="4"/>
    </row>
    <row r="222" spans="1:8" ht="15" customHeight="1" x14ac:dyDescent="0.25">
      <c r="C222" s="4" t="s">
        <v>118</v>
      </c>
      <c r="D222" s="4"/>
      <c r="E222" s="45">
        <v>0.7</v>
      </c>
      <c r="F222" s="66" t="s">
        <v>113</v>
      </c>
      <c r="G222" s="66"/>
      <c r="H222" s="4"/>
    </row>
    <row r="223" spans="1:8" ht="15" customHeight="1" x14ac:dyDescent="0.25">
      <c r="C223" s="4"/>
      <c r="D223" s="4"/>
      <c r="E223" s="4"/>
      <c r="F223" s="4"/>
      <c r="G223" s="4"/>
      <c r="H223" s="4"/>
    </row>
    <row r="224" spans="1:8" ht="15" customHeight="1" x14ac:dyDescent="0.25">
      <c r="C224" s="4" t="s">
        <v>114</v>
      </c>
      <c r="D224" s="4"/>
      <c r="E224" s="46" cm="1">
        <f t="array" ref="E224">(Equity*Re)+(Debt*Rd*(1-Tax_Rate))</f>
        <v>7.1400000000000005E-2</v>
      </c>
      <c r="F224" s="4"/>
      <c r="G224" s="16" t="s">
        <v>115</v>
      </c>
      <c r="H224" s="4"/>
    </row>
    <row r="226" spans="3:3" ht="15" customHeight="1" x14ac:dyDescent="0.25">
      <c r="C226" s="13" t="s">
        <v>119</v>
      </c>
    </row>
  </sheetData>
  <mergeCells count="15">
    <mergeCell ref="J115:L115"/>
    <mergeCell ref="C179:G179"/>
    <mergeCell ref="C25:H25"/>
    <mergeCell ref="C33:J33"/>
    <mergeCell ref="C29:K29"/>
    <mergeCell ref="C180:G180"/>
    <mergeCell ref="C187:G187"/>
    <mergeCell ref="C188:G188"/>
    <mergeCell ref="C115:D115"/>
    <mergeCell ref="F115:H115"/>
    <mergeCell ref="F218:G218"/>
    <mergeCell ref="F219:G219"/>
    <mergeCell ref="F220:G220"/>
    <mergeCell ref="F221:G221"/>
    <mergeCell ref="F222:G222"/>
  </mergeCells>
  <pageMargins left="0.7" right="0.7" top="0.75" bottom="0.75" header="0.3" footer="0.3"/>
  <pageSetup paperSize="9" scale="20" orientation="portrait" horizontalDpi="4294967293" verticalDpi="1200" r:id="rId1"/>
  <ignoredErrors>
    <ignoredError sqref="E61 E64:F64" unlocked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8D5F3-B236-4A06-B3B7-164B41833262}">
  <dimension ref="A1:I54"/>
  <sheetViews>
    <sheetView showGridLines="0" zoomScale="70" zoomScaleNormal="70" zoomScaleSheetLayoutView="70" workbookViewId="0">
      <pane xSplit="3" ySplit="3" topLeftCell="E12" activePane="bottomRight" state="frozenSplit"/>
      <selection pane="topRight" activeCell="C1" sqref="C1"/>
      <selection pane="bottomLeft" activeCell="A3" sqref="A3"/>
      <selection pane="bottomRight" activeCell="G17" sqref="G17"/>
    </sheetView>
  </sheetViews>
  <sheetFormatPr defaultColWidth="20.6640625" defaultRowHeight="15" customHeight="1" zeroHeight="1" outlineLevelCol="1" x14ac:dyDescent="0.25"/>
  <cols>
    <col min="1" max="1" width="2.6640625" style="1" customWidth="1"/>
    <col min="2" max="2" width="36" style="1" customWidth="1"/>
    <col min="3" max="3" width="10.33203125" style="1" customWidth="1"/>
    <col min="4" max="4" width="23.33203125" style="1" hidden="1" customWidth="1" outlineLevel="1"/>
    <col min="5" max="5" width="23.33203125" style="1" bestFit="1" customWidth="1" collapsed="1"/>
    <col min="6" max="9" width="23.33203125" style="1" bestFit="1" customWidth="1"/>
    <col min="10" max="10" width="1.6640625" style="1" customWidth="1"/>
    <col min="11" max="16384" width="20.6640625" style="1"/>
  </cols>
  <sheetData>
    <row r="1" spans="1:9" s="71" customFormat="1" ht="35.25" customHeight="1" x14ac:dyDescent="0.3">
      <c r="B1" s="37" t="s">
        <v>162</v>
      </c>
      <c r="C1" s="72"/>
      <c r="D1" s="72"/>
      <c r="E1" s="72"/>
    </row>
    <row r="2" spans="1:9" ht="15" customHeight="1" x14ac:dyDescent="0.25"/>
    <row r="3" spans="1:9" ht="15" customHeight="1" x14ac:dyDescent="0.25">
      <c r="B3" s="73" t="s">
        <v>163</v>
      </c>
      <c r="C3" s="74" t="s">
        <v>164</v>
      </c>
      <c r="D3" s="75">
        <v>43830</v>
      </c>
      <c r="E3" s="76">
        <f t="shared" ref="E3:I3" si="0">EOMONTH(D3,12)</f>
        <v>44196</v>
      </c>
      <c r="F3" s="76">
        <f t="shared" si="0"/>
        <v>44561</v>
      </c>
      <c r="G3" s="76">
        <f t="shared" si="0"/>
        <v>44926</v>
      </c>
      <c r="H3" s="76">
        <f t="shared" si="0"/>
        <v>45291</v>
      </c>
      <c r="I3" s="76">
        <f t="shared" si="0"/>
        <v>45657</v>
      </c>
    </row>
    <row r="4" spans="1:9" ht="15" customHeight="1" x14ac:dyDescent="0.25">
      <c r="D4" s="77"/>
      <c r="E4" s="77"/>
      <c r="F4" s="77"/>
      <c r="G4" s="77"/>
      <c r="H4" s="77"/>
      <c r="I4" s="77"/>
    </row>
    <row r="5" spans="1:9" s="79" customFormat="1" ht="15" customHeight="1" x14ac:dyDescent="0.25">
      <c r="A5" s="78" t="s">
        <v>2</v>
      </c>
      <c r="B5" s="78" t="s">
        <v>165</v>
      </c>
      <c r="D5" s="80"/>
      <c r="E5" s="80"/>
      <c r="F5" s="80"/>
      <c r="G5" s="80"/>
      <c r="H5" s="80"/>
      <c r="I5" s="80"/>
    </row>
    <row r="6" spans="1:9" ht="15" customHeight="1" x14ac:dyDescent="0.25">
      <c r="D6" s="77"/>
      <c r="E6" s="77"/>
      <c r="F6" s="77"/>
      <c r="G6" s="77"/>
      <c r="H6" s="77"/>
      <c r="I6" s="77"/>
    </row>
    <row r="7" spans="1:9" ht="15" customHeight="1" x14ac:dyDescent="0.25">
      <c r="B7" s="49" t="s">
        <v>166</v>
      </c>
      <c r="D7" s="77"/>
      <c r="E7" s="77"/>
      <c r="F7" s="77"/>
      <c r="G7" s="77"/>
      <c r="H7" s="77"/>
      <c r="I7" s="77"/>
    </row>
    <row r="8" spans="1:9" ht="15" customHeight="1" x14ac:dyDescent="0.25">
      <c r="B8" s="1" t="s">
        <v>167</v>
      </c>
      <c r="C8" s="81" t="s">
        <v>168</v>
      </c>
      <c r="D8" s="82"/>
      <c r="E8" s="83">
        <v>100000</v>
      </c>
      <c r="F8" s="83">
        <f>E8*1.1</f>
        <v>110000.00000000001</v>
      </c>
      <c r="G8" s="83">
        <f>E8*0.9</f>
        <v>90000</v>
      </c>
      <c r="H8" s="83">
        <f>E8*0.8</f>
        <v>80000</v>
      </c>
      <c r="I8" s="83">
        <f>E8*0.7</f>
        <v>70000</v>
      </c>
    </row>
    <row r="9" spans="1:9" ht="15" customHeight="1" x14ac:dyDescent="0.25">
      <c r="B9" s="1" t="s">
        <v>169</v>
      </c>
      <c r="C9" s="81" t="s">
        <v>170</v>
      </c>
      <c r="D9" s="82"/>
      <c r="E9" s="84">
        <v>4</v>
      </c>
      <c r="F9" s="84">
        <f>E9+E9*0.04</f>
        <v>4.16</v>
      </c>
      <c r="G9" s="84">
        <f>F9+F9*0.04</f>
        <v>4.3264000000000005</v>
      </c>
      <c r="H9" s="84">
        <f>G9+G9*0.04</f>
        <v>4.4994560000000003</v>
      </c>
      <c r="I9" s="84">
        <f>H9+H9*0.04</f>
        <v>4.67943424</v>
      </c>
    </row>
    <row r="10" spans="1:9" ht="15" customHeight="1" x14ac:dyDescent="0.25">
      <c r="C10" s="81"/>
      <c r="D10" s="82"/>
      <c r="E10" s="85"/>
      <c r="F10" s="85"/>
      <c r="G10" s="85"/>
      <c r="H10" s="85"/>
      <c r="I10" s="85"/>
    </row>
    <row r="11" spans="1:9" ht="15" customHeight="1" x14ac:dyDescent="0.25">
      <c r="B11" s="49" t="s">
        <v>171</v>
      </c>
      <c r="D11" s="77"/>
      <c r="E11" s="77"/>
      <c r="F11" s="77"/>
      <c r="G11" s="77"/>
      <c r="H11" s="77"/>
      <c r="I11" s="77"/>
    </row>
    <row r="12" spans="1:9" ht="15" customHeight="1" x14ac:dyDescent="0.25">
      <c r="B12" s="1" t="s">
        <v>167</v>
      </c>
      <c r="C12" s="81" t="s">
        <v>168</v>
      </c>
      <c r="D12" s="77"/>
      <c r="E12" s="83">
        <v>60000</v>
      </c>
      <c r="F12" s="83">
        <f>E12*1.1</f>
        <v>66000</v>
      </c>
      <c r="G12" s="83">
        <f>E12*0.9</f>
        <v>54000</v>
      </c>
      <c r="H12" s="83">
        <f>E12*0.8</f>
        <v>48000</v>
      </c>
      <c r="I12" s="83">
        <f>E12*0.7</f>
        <v>42000</v>
      </c>
    </row>
    <row r="13" spans="1:9" ht="15" customHeight="1" x14ac:dyDescent="0.25">
      <c r="B13" s="1" t="s">
        <v>169</v>
      </c>
      <c r="C13" s="81" t="s">
        <v>170</v>
      </c>
      <c r="D13" s="77"/>
      <c r="E13" s="84">
        <v>3</v>
      </c>
      <c r="F13" s="84">
        <f>E13+E13*0.04</f>
        <v>3.12</v>
      </c>
      <c r="G13" s="84">
        <f>F13+F13*0.04</f>
        <v>3.2448000000000001</v>
      </c>
      <c r="H13" s="84">
        <f>G13+G13*0.04</f>
        <v>3.3745920000000003</v>
      </c>
      <c r="I13" s="84">
        <f>H13+H13*0.04</f>
        <v>3.5095756800000002</v>
      </c>
    </row>
    <row r="14" spans="1:9" ht="15" customHeight="1" x14ac:dyDescent="0.25">
      <c r="C14" s="81"/>
      <c r="D14" s="77"/>
      <c r="E14" s="85"/>
      <c r="F14" s="85"/>
      <c r="G14" s="85"/>
      <c r="H14" s="85"/>
      <c r="I14" s="85"/>
    </row>
    <row r="15" spans="1:9" ht="15" customHeight="1" x14ac:dyDescent="0.25">
      <c r="B15" s="49" t="s">
        <v>172</v>
      </c>
      <c r="D15" s="77"/>
      <c r="E15" s="77"/>
      <c r="F15" s="77"/>
      <c r="G15" s="77"/>
      <c r="H15" s="77"/>
      <c r="I15" s="77"/>
    </row>
    <row r="16" spans="1:9" ht="15" customHeight="1" x14ac:dyDescent="0.25">
      <c r="B16" s="1" t="s">
        <v>167</v>
      </c>
      <c r="C16" s="81" t="s">
        <v>168</v>
      </c>
      <c r="D16" s="77"/>
      <c r="E16" s="83">
        <v>50000</v>
      </c>
      <c r="F16" s="83">
        <f>E16*1.1</f>
        <v>55000.000000000007</v>
      </c>
      <c r="G16" s="83">
        <f>E16*0.9</f>
        <v>45000</v>
      </c>
      <c r="H16" s="83">
        <f>E16*0.8</f>
        <v>40000</v>
      </c>
      <c r="I16" s="83">
        <f>E16*0.7</f>
        <v>35000</v>
      </c>
    </row>
    <row r="17" spans="1:9" ht="15" customHeight="1" x14ac:dyDescent="0.25">
      <c r="B17" s="1" t="s">
        <v>169</v>
      </c>
      <c r="C17" s="81" t="s">
        <v>170</v>
      </c>
      <c r="D17" s="77"/>
      <c r="E17" s="84">
        <v>2.5</v>
      </c>
      <c r="F17" s="84">
        <f>E17+E17*0.04</f>
        <v>2.6</v>
      </c>
      <c r="G17" s="84">
        <f>F17+F17*0.04</f>
        <v>2.7040000000000002</v>
      </c>
      <c r="H17" s="84">
        <f>G17+G17*0.04</f>
        <v>2.81216</v>
      </c>
      <c r="I17" s="84">
        <f>H17+H17*0.04</f>
        <v>2.9246463999999999</v>
      </c>
    </row>
    <row r="18" spans="1:9" ht="15" customHeight="1" x14ac:dyDescent="0.25">
      <c r="C18" s="81"/>
      <c r="D18" s="77"/>
      <c r="E18" s="77"/>
      <c r="F18" s="77"/>
      <c r="G18" s="77"/>
      <c r="H18" s="77"/>
      <c r="I18" s="77"/>
    </row>
    <row r="19" spans="1:9" s="79" customFormat="1" ht="15" customHeight="1" x14ac:dyDescent="0.25">
      <c r="A19" s="78" t="s">
        <v>2</v>
      </c>
      <c r="B19" s="78" t="s">
        <v>173</v>
      </c>
      <c r="D19" s="80"/>
      <c r="E19" s="80"/>
      <c r="F19" s="80"/>
      <c r="G19" s="80"/>
      <c r="H19" s="80"/>
      <c r="I19" s="80"/>
    </row>
    <row r="20" spans="1:9" ht="15" customHeight="1" x14ac:dyDescent="0.25">
      <c r="D20" s="77"/>
      <c r="E20" s="77"/>
      <c r="F20" s="77"/>
      <c r="G20" s="77"/>
      <c r="H20" s="77"/>
      <c r="I20" s="77"/>
    </row>
    <row r="21" spans="1:9" ht="15" customHeight="1" x14ac:dyDescent="0.25">
      <c r="B21" s="49" t="s">
        <v>174</v>
      </c>
      <c r="D21" s="77"/>
      <c r="E21" s="77"/>
      <c r="F21" s="77"/>
      <c r="G21" s="77"/>
      <c r="H21" s="77"/>
      <c r="I21" s="77"/>
    </row>
    <row r="22" spans="1:9" ht="15" customHeight="1" x14ac:dyDescent="0.25">
      <c r="B22" s="1" t="s">
        <v>175</v>
      </c>
      <c r="C22" s="81" t="s">
        <v>170</v>
      </c>
      <c r="D22" s="82"/>
      <c r="E22" s="86">
        <v>1.5</v>
      </c>
      <c r="F22" s="86">
        <f t="shared" ref="F22:G24" si="1">E22+E22*0.02</f>
        <v>1.53</v>
      </c>
      <c r="G22" s="86">
        <f t="shared" si="1"/>
        <v>1.5606</v>
      </c>
      <c r="H22" s="86">
        <f>E22*0.8</f>
        <v>1.2000000000000002</v>
      </c>
      <c r="I22" s="86">
        <f>E22*0.7</f>
        <v>1.0499999999999998</v>
      </c>
    </row>
    <row r="23" spans="1:9" ht="15" customHeight="1" x14ac:dyDescent="0.25">
      <c r="B23" s="1" t="s">
        <v>176</v>
      </c>
      <c r="C23" s="81" t="s">
        <v>170</v>
      </c>
      <c r="D23" s="82"/>
      <c r="E23" s="86">
        <v>0.8</v>
      </c>
      <c r="F23" s="86">
        <f t="shared" si="1"/>
        <v>0.81600000000000006</v>
      </c>
      <c r="G23" s="86">
        <f t="shared" si="1"/>
        <v>0.83232000000000006</v>
      </c>
      <c r="H23" s="86">
        <f>G23+G23*0.02</f>
        <v>0.84896640000000001</v>
      </c>
      <c r="I23" s="86">
        <f>H23+H23*0.02</f>
        <v>0.86594572800000003</v>
      </c>
    </row>
    <row r="24" spans="1:9" ht="15" customHeight="1" x14ac:dyDescent="0.25">
      <c r="B24" s="1" t="s">
        <v>177</v>
      </c>
      <c r="C24" s="81" t="s">
        <v>170</v>
      </c>
      <c r="D24" s="82"/>
      <c r="E24" s="86">
        <v>1.1000000000000001</v>
      </c>
      <c r="F24" s="86">
        <f t="shared" si="1"/>
        <v>1.1220000000000001</v>
      </c>
      <c r="G24" s="86">
        <f t="shared" si="1"/>
        <v>1.1444400000000001</v>
      </c>
      <c r="H24" s="86">
        <f>G24+G24*0.02</f>
        <v>1.1673288000000002</v>
      </c>
      <c r="I24" s="86">
        <f>H24+H24*0.02</f>
        <v>1.1906753760000002</v>
      </c>
    </row>
    <row r="25" spans="1:9" ht="15" customHeight="1" x14ac:dyDescent="0.25">
      <c r="D25" s="77"/>
      <c r="E25" s="77"/>
      <c r="F25" s="77"/>
      <c r="G25" s="77"/>
      <c r="H25" s="77"/>
      <c r="I25" s="77"/>
    </row>
    <row r="26" spans="1:9" ht="15" customHeight="1" x14ac:dyDescent="0.25">
      <c r="B26" s="49" t="s">
        <v>178</v>
      </c>
      <c r="D26" s="77"/>
      <c r="E26" s="77"/>
      <c r="F26" s="77"/>
      <c r="G26" s="77"/>
      <c r="H26" s="77"/>
      <c r="I26" s="77"/>
    </row>
    <row r="27" spans="1:9" ht="15" customHeight="1" x14ac:dyDescent="0.25">
      <c r="B27" s="1" t="s">
        <v>179</v>
      </c>
      <c r="C27" s="81" t="s">
        <v>170</v>
      </c>
      <c r="E27" s="83">
        <v>150000</v>
      </c>
      <c r="F27" s="83">
        <f>E27+E27*0.05</f>
        <v>157500</v>
      </c>
      <c r="G27" s="83">
        <f t="shared" ref="G27:I27" si="2">F27+F27*0.05</f>
        <v>165375</v>
      </c>
      <c r="H27" s="83">
        <f t="shared" si="2"/>
        <v>173643.75</v>
      </c>
      <c r="I27" s="83">
        <f t="shared" si="2"/>
        <v>182325.9375</v>
      </c>
    </row>
    <row r="28" spans="1:9" ht="15" customHeight="1" x14ac:dyDescent="0.25">
      <c r="B28" s="1" t="s">
        <v>180</v>
      </c>
      <c r="C28" s="81" t="s">
        <v>170</v>
      </c>
      <c r="E28" s="83">
        <v>60000</v>
      </c>
      <c r="F28" s="83">
        <f>E28+E28*0.03</f>
        <v>61800</v>
      </c>
      <c r="G28" s="83">
        <f t="shared" ref="G28:I28" si="3">F28+F28*0.03</f>
        <v>63654</v>
      </c>
      <c r="H28" s="83">
        <f t="shared" si="3"/>
        <v>65563.62</v>
      </c>
      <c r="I28" s="83">
        <f t="shared" si="3"/>
        <v>67530.528599999991</v>
      </c>
    </row>
    <row r="29" spans="1:9" ht="15" customHeight="1" x14ac:dyDescent="0.25">
      <c r="B29" s="1" t="s">
        <v>181</v>
      </c>
      <c r="C29" s="81" t="s">
        <v>170</v>
      </c>
      <c r="E29" s="83">
        <v>10000</v>
      </c>
      <c r="F29" s="83">
        <f>E29+E29*0.05</f>
        <v>10500</v>
      </c>
      <c r="G29" s="83">
        <f t="shared" ref="G29:I30" si="4">F29+F29*0.05</f>
        <v>11025</v>
      </c>
      <c r="H29" s="83">
        <f t="shared" si="4"/>
        <v>11576.25</v>
      </c>
      <c r="I29" s="83">
        <f t="shared" si="4"/>
        <v>12155.0625</v>
      </c>
    </row>
    <row r="30" spans="1:9" ht="15" customHeight="1" x14ac:dyDescent="0.25">
      <c r="B30" s="1" t="s">
        <v>182</v>
      </c>
      <c r="C30" s="81" t="s">
        <v>170</v>
      </c>
      <c r="E30" s="83">
        <v>5000</v>
      </c>
      <c r="F30" s="83">
        <f>E30+E30*0.05</f>
        <v>5250</v>
      </c>
      <c r="G30" s="83">
        <f t="shared" si="4"/>
        <v>5512.5</v>
      </c>
      <c r="H30" s="83">
        <f t="shared" si="4"/>
        <v>5788.125</v>
      </c>
      <c r="I30" s="83">
        <f t="shared" si="4"/>
        <v>6077.53125</v>
      </c>
    </row>
    <row r="31" spans="1:9" ht="15" customHeight="1" x14ac:dyDescent="0.25"/>
    <row r="32" spans="1:9" ht="15" customHeight="1" x14ac:dyDescent="0.25">
      <c r="C32" s="81"/>
      <c r="D32" s="77"/>
      <c r="E32" s="87"/>
      <c r="F32" s="87"/>
      <c r="G32" s="87"/>
      <c r="H32" s="87"/>
      <c r="I32" s="87"/>
    </row>
    <row r="33" spans="1:9" ht="15" customHeight="1" x14ac:dyDescent="0.25">
      <c r="B33" s="49" t="s">
        <v>183</v>
      </c>
      <c r="D33" s="77"/>
      <c r="E33" s="77"/>
      <c r="F33" s="77"/>
      <c r="G33" s="77"/>
      <c r="H33" s="77"/>
      <c r="I33" s="77"/>
    </row>
    <row r="34" spans="1:9" ht="15" customHeight="1" x14ac:dyDescent="0.25">
      <c r="B34" s="1" t="s">
        <v>184</v>
      </c>
      <c r="C34" s="81" t="s">
        <v>185</v>
      </c>
      <c r="D34" s="82"/>
      <c r="E34" s="88">
        <v>-0.05</v>
      </c>
      <c r="F34" s="88">
        <v>-4.7500000000000001E-2</v>
      </c>
      <c r="G34" s="88">
        <v>-4.4999999999999998E-2</v>
      </c>
      <c r="H34" s="88">
        <v>-4.2500000000000003E-2</v>
      </c>
      <c r="I34" s="88">
        <v>-0.04</v>
      </c>
    </row>
    <row r="35" spans="1:9" ht="15" customHeight="1" x14ac:dyDescent="0.25">
      <c r="D35" s="77"/>
      <c r="E35" s="77"/>
      <c r="F35" s="77"/>
      <c r="G35" s="77"/>
      <c r="H35" s="77"/>
      <c r="I35" s="77"/>
    </row>
    <row r="36" spans="1:9" s="79" customFormat="1" ht="15" customHeight="1" x14ac:dyDescent="0.25">
      <c r="A36" s="78" t="s">
        <v>2</v>
      </c>
      <c r="B36" s="78" t="s">
        <v>186</v>
      </c>
      <c r="D36" s="80"/>
      <c r="E36" s="80"/>
      <c r="F36" s="80"/>
      <c r="G36" s="80"/>
      <c r="H36" s="80"/>
      <c r="I36" s="80"/>
    </row>
    <row r="37" spans="1:9" ht="15" customHeight="1" x14ac:dyDescent="0.25">
      <c r="D37" s="77"/>
      <c r="E37" s="77"/>
      <c r="F37" s="77"/>
      <c r="G37" s="77"/>
      <c r="H37" s="77"/>
      <c r="I37" s="77"/>
    </row>
    <row r="38" spans="1:9" ht="15" customHeight="1" x14ac:dyDescent="0.25">
      <c r="B38" s="1" t="s">
        <v>187</v>
      </c>
      <c r="C38" s="81" t="s">
        <v>185</v>
      </c>
      <c r="D38" s="82"/>
      <c r="E38" s="88">
        <v>-0.05</v>
      </c>
      <c r="F38" s="88">
        <v>-4.7500000000000001E-2</v>
      </c>
      <c r="G38" s="88">
        <v>-4.4999999999999998E-2</v>
      </c>
      <c r="H38" s="88">
        <v>-4.2500000000000003E-2</v>
      </c>
      <c r="I38" s="88">
        <v>-0.04</v>
      </c>
    </row>
    <row r="39" spans="1:9" ht="15" customHeight="1" x14ac:dyDescent="0.25">
      <c r="B39" s="1" t="s">
        <v>188</v>
      </c>
      <c r="C39" s="81" t="s">
        <v>185</v>
      </c>
      <c r="D39" s="82"/>
      <c r="E39" s="88">
        <v>-0.01</v>
      </c>
      <c r="F39" s="88">
        <v>-0.01</v>
      </c>
      <c r="G39" s="88">
        <v>-0.01</v>
      </c>
      <c r="H39" s="88">
        <v>-0.01</v>
      </c>
      <c r="I39" s="88">
        <v>-0.01</v>
      </c>
    </row>
    <row r="40" spans="1:9" ht="15" customHeight="1" x14ac:dyDescent="0.25">
      <c r="B40" s="1" t="s">
        <v>189</v>
      </c>
      <c r="C40" s="81" t="s">
        <v>190</v>
      </c>
      <c r="D40" s="82"/>
      <c r="E40" s="88">
        <v>0.6</v>
      </c>
      <c r="F40" s="88">
        <v>0.6</v>
      </c>
      <c r="G40" s="88">
        <v>0.6</v>
      </c>
      <c r="H40" s="88">
        <v>0.6</v>
      </c>
      <c r="I40" s="88">
        <v>0.6</v>
      </c>
    </row>
    <row r="41" spans="1:9" ht="15" customHeight="1" x14ac:dyDescent="0.25">
      <c r="D41" s="77"/>
      <c r="E41" s="77"/>
      <c r="F41" s="77"/>
      <c r="G41" s="77"/>
      <c r="H41" s="77"/>
      <c r="I41" s="77"/>
    </row>
    <row r="42" spans="1:9" s="79" customFormat="1" ht="15" customHeight="1" x14ac:dyDescent="0.25">
      <c r="A42" s="78" t="s">
        <v>2</v>
      </c>
      <c r="B42" s="78" t="s">
        <v>191</v>
      </c>
      <c r="D42" s="80"/>
      <c r="E42" s="80"/>
      <c r="F42" s="80"/>
      <c r="G42" s="80"/>
      <c r="H42" s="80"/>
      <c r="I42" s="80"/>
    </row>
    <row r="43" spans="1:9" ht="15" customHeight="1" x14ac:dyDescent="0.25">
      <c r="D43" s="77"/>
      <c r="E43" s="77"/>
      <c r="F43" s="77"/>
      <c r="G43" s="77"/>
      <c r="H43" s="77"/>
      <c r="I43" s="77"/>
    </row>
    <row r="44" spans="1:9" ht="15" customHeight="1" x14ac:dyDescent="0.25">
      <c r="B44" s="1" t="s">
        <v>110</v>
      </c>
      <c r="C44" s="81" t="s">
        <v>190</v>
      </c>
      <c r="D44" s="82"/>
      <c r="E44" s="88">
        <v>0.21</v>
      </c>
      <c r="F44" s="88">
        <v>0.21</v>
      </c>
      <c r="G44" s="88">
        <v>0.21</v>
      </c>
      <c r="H44" s="88">
        <v>0.21</v>
      </c>
      <c r="I44" s="88">
        <v>0.21</v>
      </c>
    </row>
    <row r="45" spans="1:9" ht="15" customHeight="1" x14ac:dyDescent="0.25">
      <c r="B45" s="1" t="s">
        <v>192</v>
      </c>
      <c r="C45" s="81" t="s">
        <v>190</v>
      </c>
      <c r="D45" s="82"/>
      <c r="E45" s="88">
        <v>0.04</v>
      </c>
      <c r="F45" s="88">
        <v>0.04</v>
      </c>
      <c r="G45" s="88">
        <v>0.04</v>
      </c>
      <c r="H45" s="88">
        <v>0.04</v>
      </c>
      <c r="I45" s="88">
        <v>0.04</v>
      </c>
    </row>
    <row r="46" spans="1:9" ht="15" customHeight="1" x14ac:dyDescent="0.25">
      <c r="B46" s="1" t="s">
        <v>193</v>
      </c>
      <c r="C46" s="81" t="s">
        <v>190</v>
      </c>
      <c r="D46" s="82"/>
      <c r="E46" s="88">
        <v>0.01</v>
      </c>
      <c r="F46" s="88">
        <v>0.01</v>
      </c>
      <c r="G46" s="88">
        <v>0.01</v>
      </c>
      <c r="H46" s="88">
        <v>0.01</v>
      </c>
      <c r="I46" s="88">
        <v>0.01</v>
      </c>
    </row>
    <row r="47" spans="1:9" ht="15" customHeight="1" x14ac:dyDescent="0.25">
      <c r="D47" s="77"/>
      <c r="E47" s="77"/>
      <c r="F47" s="77"/>
      <c r="G47" s="77"/>
      <c r="H47" s="77"/>
      <c r="I47" s="77"/>
    </row>
    <row r="48" spans="1:9" s="89" customFormat="1" ht="15" customHeight="1" x14ac:dyDescent="0.25">
      <c r="A48" s="72" t="s">
        <v>2</v>
      </c>
      <c r="B48" s="72" t="s">
        <v>194</v>
      </c>
    </row>
    <row r="49" ht="15" customHeight="1" x14ac:dyDescent="0.25"/>
    <row r="50" ht="15" customHeight="1" x14ac:dyDescent="0.25"/>
    <row r="51" ht="15" customHeight="1" x14ac:dyDescent="0.25"/>
    <row r="52" ht="15" customHeight="1" x14ac:dyDescent="0.25"/>
    <row r="53" ht="15" customHeight="1" x14ac:dyDescent="0.25"/>
    <row r="54" ht="15" customHeight="1" x14ac:dyDescent="0.25"/>
  </sheetData>
  <pageMargins left="0.7" right="0.7" top="0.75" bottom="0.75" header="0.3" footer="0.3"/>
  <pageSetup paperSize="9" scale="18" orientation="portrait" horizontalDpi="4294967293"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586B-6DE3-4242-90D7-4D355C8C1712}">
  <dimension ref="A1:J39"/>
  <sheetViews>
    <sheetView showGridLines="0" zoomScale="76" zoomScaleNormal="76" zoomScaleSheetLayoutView="70" workbookViewId="0">
      <pane xSplit="3" ySplit="3" topLeftCell="E12" activePane="bottomRight" state="frozenSplit"/>
      <selection pane="topRight" activeCell="C1" sqref="C1"/>
      <selection pane="bottomLeft" activeCell="A3" sqref="A3"/>
      <selection pane="bottomRight" activeCell="F36" sqref="F36"/>
    </sheetView>
  </sheetViews>
  <sheetFormatPr defaultColWidth="20.6640625" defaultRowHeight="15" customHeight="1" outlineLevelCol="1" x14ac:dyDescent="0.25"/>
  <cols>
    <col min="1" max="1" width="2.6640625" style="1" customWidth="1"/>
    <col min="2" max="2" width="36" style="1" bestFit="1" customWidth="1"/>
    <col min="3" max="3" width="23.33203125" style="1" bestFit="1" customWidth="1"/>
    <col min="4" max="4" width="23.33203125" style="1" hidden="1" customWidth="1" outlineLevel="1"/>
    <col min="5" max="5" width="23.33203125" style="1" bestFit="1" customWidth="1" collapsed="1"/>
    <col min="6" max="9" width="23.33203125" style="1" bestFit="1" customWidth="1"/>
    <col min="10" max="10" width="1.6640625" style="1" customWidth="1"/>
    <col min="11" max="16384" width="20.6640625" style="1"/>
  </cols>
  <sheetData>
    <row r="1" spans="2:9" s="71" customFormat="1" ht="35.25" customHeight="1" x14ac:dyDescent="0.3">
      <c r="B1" s="37" t="s">
        <v>195</v>
      </c>
      <c r="C1" s="72"/>
      <c r="D1" s="72"/>
      <c r="E1" s="72"/>
    </row>
    <row r="3" spans="2:9" ht="15" customHeight="1" x14ac:dyDescent="0.25">
      <c r="B3" s="73" t="s">
        <v>163</v>
      </c>
      <c r="C3" s="74" t="s">
        <v>164</v>
      </c>
      <c r="D3" s="75">
        <v>43830</v>
      </c>
      <c r="E3" s="76">
        <f t="shared" ref="E3:I3" si="0">EOMONTH(D3,12)</f>
        <v>44196</v>
      </c>
      <c r="F3" s="76">
        <f t="shared" si="0"/>
        <v>44561</v>
      </c>
      <c r="G3" s="76">
        <f t="shared" si="0"/>
        <v>44926</v>
      </c>
      <c r="H3" s="76">
        <f t="shared" si="0"/>
        <v>45291</v>
      </c>
      <c r="I3" s="76">
        <f t="shared" si="0"/>
        <v>45657</v>
      </c>
    </row>
    <row r="4" spans="2:9" ht="15" customHeight="1" x14ac:dyDescent="0.25">
      <c r="D4" s="77"/>
      <c r="E4" s="77"/>
      <c r="F4" s="77"/>
      <c r="G4" s="77"/>
      <c r="H4" s="77"/>
      <c r="I4" s="77"/>
    </row>
    <row r="5" spans="2:9" ht="15" customHeight="1" x14ac:dyDescent="0.25">
      <c r="B5" s="8" t="s">
        <v>166</v>
      </c>
      <c r="C5" s="90" t="s">
        <v>170</v>
      </c>
      <c r="E5" s="91">
        <f>'[1]Forecast Assumptions'!E9*'[1]Forecast Assumptions'!E8</f>
        <v>400000</v>
      </c>
      <c r="F5" s="91">
        <f>'[1]Forecast Assumptions'!F9*'[1]Forecast Assumptions'!F8</f>
        <v>457600.00000000006</v>
      </c>
      <c r="G5" s="91">
        <f>'[1]Forecast Assumptions'!G9*'[1]Forecast Assumptions'!G8</f>
        <v>518735.36000000016</v>
      </c>
      <c r="H5" s="91">
        <f>'[1]Forecast Assumptions'!H9*'[1]Forecast Assumptions'!H8</f>
        <v>582643.55635200022</v>
      </c>
      <c r="I5" s="91">
        <f>'[1]Forecast Assumptions'!I9*'[1]Forecast Assumptions'!I8</f>
        <v>648365.74950850604</v>
      </c>
    </row>
    <row r="6" spans="2:9" ht="15" customHeight="1" x14ac:dyDescent="0.25">
      <c r="B6" s="8" t="s">
        <v>171</v>
      </c>
      <c r="C6" s="90" t="s">
        <v>170</v>
      </c>
      <c r="E6" s="91">
        <f>'[1]Forecast Assumptions'!E13*'[1]Forecast Assumptions'!E12</f>
        <v>180000</v>
      </c>
      <c r="F6" s="91">
        <f>'[1]Forecast Assumptions'!F13*'[1]Forecast Assumptions'!F12</f>
        <v>205920</v>
      </c>
      <c r="G6" s="91">
        <f>'[1]Forecast Assumptions'!G13*'[1]Forecast Assumptions'!G12</f>
        <v>233430.91200000001</v>
      </c>
      <c r="H6" s="91">
        <f>'[1]Forecast Assumptions'!H13*'[1]Forecast Assumptions'!H12</f>
        <v>262189.60035840009</v>
      </c>
      <c r="I6" s="91">
        <f>'[1]Forecast Assumptions'!I13*'[1]Forecast Assumptions'!I12</f>
        <v>291764.58727882762</v>
      </c>
    </row>
    <row r="7" spans="2:9" ht="15" customHeight="1" x14ac:dyDescent="0.25">
      <c r="B7" s="8" t="s">
        <v>172</v>
      </c>
      <c r="C7" s="90" t="s">
        <v>170</v>
      </c>
      <c r="E7" s="91">
        <f>'[1]Forecast Assumptions'!E17*'[1]Forecast Assumptions'!E16</f>
        <v>125000</v>
      </c>
      <c r="F7" s="91">
        <f>'[1]Forecast Assumptions'!F17*'[1]Forecast Assumptions'!F16</f>
        <v>143000.00000000003</v>
      </c>
      <c r="G7" s="91">
        <f>'[1]Forecast Assumptions'!G17*'[1]Forecast Assumptions'!G16</f>
        <v>162104.80000000005</v>
      </c>
      <c r="H7" s="91">
        <f>'[1]Forecast Assumptions'!H17*'[1]Forecast Assumptions'!H16</f>
        <v>182076.1113600001</v>
      </c>
      <c r="I7" s="91">
        <f>'[1]Forecast Assumptions'!I17*'[1]Forecast Assumptions'!I16</f>
        <v>202614.29672140814</v>
      </c>
    </row>
    <row r="8" spans="2:9" ht="15" customHeight="1" x14ac:dyDescent="0.25">
      <c r="B8" s="92" t="s">
        <v>196</v>
      </c>
      <c r="C8" s="93" t="s">
        <v>170</v>
      </c>
      <c r="D8" s="94"/>
      <c r="E8" s="95">
        <f>SUM(E5:E7)</f>
        <v>705000</v>
      </c>
      <c r="F8" s="95">
        <f t="shared" ref="F8:I8" si="1">SUM(F5:F7)</f>
        <v>806520</v>
      </c>
      <c r="G8" s="95">
        <f t="shared" si="1"/>
        <v>914271.07200000016</v>
      </c>
      <c r="H8" s="95">
        <f t="shared" si="1"/>
        <v>1026909.2680704003</v>
      </c>
      <c r="I8" s="95">
        <f t="shared" si="1"/>
        <v>1142744.6335087419</v>
      </c>
    </row>
    <row r="9" spans="2:9" ht="15" customHeight="1" x14ac:dyDescent="0.25">
      <c r="B9" s="96" t="s">
        <v>197</v>
      </c>
      <c r="C9" s="81" t="s">
        <v>190</v>
      </c>
      <c r="E9" s="97"/>
      <c r="F9" s="98">
        <f>(F8-E8)/E8</f>
        <v>0.14399999999999999</v>
      </c>
      <c r="G9" s="98">
        <f t="shared" ref="G9:I9" si="2">(G8-F8)/F8</f>
        <v>0.13360000000000019</v>
      </c>
      <c r="H9" s="98">
        <f t="shared" si="2"/>
        <v>0.12320000000000018</v>
      </c>
      <c r="I9" s="98">
        <f t="shared" si="2"/>
        <v>0.11280000000000034</v>
      </c>
    </row>
    <row r="11" spans="2:9" ht="15" customHeight="1" x14ac:dyDescent="0.25">
      <c r="B11" s="8" t="s">
        <v>198</v>
      </c>
      <c r="C11" s="90" t="s">
        <v>170</v>
      </c>
      <c r="E11" s="91">
        <f>'[1]Forecast Assumptions'!E22*'[1]Forecast Assumptions'!E8</f>
        <v>150000</v>
      </c>
      <c r="F11" s="91">
        <f>'[1]Forecast Assumptions'!F22*'[1]Forecast Assumptions'!F8</f>
        <v>168300.00000000003</v>
      </c>
      <c r="G11" s="91">
        <f>'[1]Forecast Assumptions'!G22*'[1]Forecast Assumptions'!G8</f>
        <v>187115.94000000003</v>
      </c>
      <c r="H11" s="91">
        <f>'[1]Forecast Assumptions'!H22*'[1]Forecast Assumptions'!H8</f>
        <v>206126.91950400008</v>
      </c>
      <c r="I11" s="91">
        <f>'[1]Forecast Assumptions'!I22*'[1]Forecast Assumptions'!I8</f>
        <v>224966.9199466657</v>
      </c>
    </row>
    <row r="12" spans="2:9" ht="15" customHeight="1" x14ac:dyDescent="0.25">
      <c r="B12" s="8" t="s">
        <v>199</v>
      </c>
      <c r="C12" s="90" t="s">
        <v>170</v>
      </c>
      <c r="E12" s="91">
        <f>'[1]Forecast Assumptions'!E23*'[1]Forecast Assumptions'!E12</f>
        <v>48000</v>
      </c>
      <c r="F12" s="91">
        <f>'[1]Forecast Assumptions'!F23*'[1]Forecast Assumptions'!F12</f>
        <v>53856.000000000007</v>
      </c>
      <c r="G12" s="91">
        <f>'[1]Forecast Assumptions'!G23*'[1]Forecast Assumptions'!G12</f>
        <v>59877.100800000007</v>
      </c>
      <c r="H12" s="91">
        <f>'[1]Forecast Assumptions'!H23*'[1]Forecast Assumptions'!H12</f>
        <v>65960.614241280025</v>
      </c>
      <c r="I12" s="91">
        <f>'[1]Forecast Assumptions'!I23*'[1]Forecast Assumptions'!I12</f>
        <v>71989.414382933013</v>
      </c>
    </row>
    <row r="13" spans="2:9" ht="15" customHeight="1" x14ac:dyDescent="0.25">
      <c r="B13" s="8" t="s">
        <v>200</v>
      </c>
      <c r="C13" s="90" t="s">
        <v>170</v>
      </c>
      <c r="E13" s="91">
        <f>'[1]Forecast Assumptions'!E24*'[1]Forecast Assumptions'!E16</f>
        <v>55000.000000000007</v>
      </c>
      <c r="F13" s="91">
        <f>'[1]Forecast Assumptions'!F24*'[1]Forecast Assumptions'!F16</f>
        <v>61710.000000000015</v>
      </c>
      <c r="G13" s="91">
        <f>'[1]Forecast Assumptions'!G24*'[1]Forecast Assumptions'!G16</f>
        <v>68609.178000000029</v>
      </c>
      <c r="H13" s="91">
        <f>'[1]Forecast Assumptions'!H24*'[1]Forecast Assumptions'!H16</f>
        <v>75579.870484800034</v>
      </c>
      <c r="I13" s="91">
        <f>'[1]Forecast Assumptions'!I24*'[1]Forecast Assumptions'!I16</f>
        <v>82487.870647110773</v>
      </c>
    </row>
    <row r="14" spans="2:9" ht="15" customHeight="1" x14ac:dyDescent="0.25">
      <c r="B14" s="92" t="s">
        <v>201</v>
      </c>
      <c r="C14" s="93" t="s">
        <v>170</v>
      </c>
      <c r="D14" s="94"/>
      <c r="E14" s="95">
        <f>(E8-SUM(E11:E13))</f>
        <v>452000</v>
      </c>
      <c r="F14" s="95">
        <f t="shared" ref="F14:I14" si="3">(F8-SUM(F11:F13))</f>
        <v>522653.99999999994</v>
      </c>
      <c r="G14" s="95">
        <f t="shared" si="3"/>
        <v>598668.85320000001</v>
      </c>
      <c r="H14" s="95">
        <f t="shared" si="3"/>
        <v>679241.86384032015</v>
      </c>
      <c r="I14" s="95">
        <f t="shared" si="3"/>
        <v>763300.42853203241</v>
      </c>
    </row>
    <row r="15" spans="2:9" ht="15" customHeight="1" x14ac:dyDescent="0.25">
      <c r="B15" s="96" t="s">
        <v>202</v>
      </c>
      <c r="C15" s="81" t="s">
        <v>190</v>
      </c>
      <c r="E15" s="98">
        <f>E14/E8</f>
        <v>0.64113475177304968</v>
      </c>
      <c r="F15" s="98">
        <f t="shared" ref="F15:I15" si="4">F14/F8</f>
        <v>0.64803600654664473</v>
      </c>
      <c r="G15" s="98">
        <f t="shared" si="4"/>
        <v>0.65480454488228623</v>
      </c>
      <c r="H15" s="98">
        <f t="shared" si="4"/>
        <v>0.6614429190191653</v>
      </c>
      <c r="I15" s="98">
        <f t="shared" si="4"/>
        <v>0.66795363211495073</v>
      </c>
    </row>
    <row r="17" spans="2:10" ht="15" customHeight="1" x14ac:dyDescent="0.25">
      <c r="B17" s="8" t="s">
        <v>179</v>
      </c>
      <c r="C17" s="90" t="s">
        <v>170</v>
      </c>
      <c r="E17" s="91">
        <f>-'[1]Forecast Assumptions'!E27</f>
        <v>-150000</v>
      </c>
      <c r="F17" s="91">
        <f>-'[1]Forecast Assumptions'!F27</f>
        <v>-157500</v>
      </c>
      <c r="G17" s="91">
        <f>-'[1]Forecast Assumptions'!G27</f>
        <v>-165375</v>
      </c>
      <c r="H17" s="91">
        <f>-'[1]Forecast Assumptions'!H27</f>
        <v>-173643.75</v>
      </c>
      <c r="I17" s="91">
        <f>-'[1]Forecast Assumptions'!I27</f>
        <v>-182325.9375</v>
      </c>
    </row>
    <row r="18" spans="2:10" ht="15" customHeight="1" x14ac:dyDescent="0.25">
      <c r="B18" s="8" t="s">
        <v>203</v>
      </c>
      <c r="C18" s="90" t="s">
        <v>170</v>
      </c>
      <c r="E18" s="91">
        <f>-'[1]Forecast Assumptions'!E28</f>
        <v>-60000</v>
      </c>
      <c r="F18" s="91">
        <f>-'[1]Forecast Assumptions'!F28</f>
        <v>-61800</v>
      </c>
      <c r="G18" s="91">
        <f>-'[1]Forecast Assumptions'!G28</f>
        <v>-63654</v>
      </c>
      <c r="H18" s="91">
        <f>-'[1]Forecast Assumptions'!H28</f>
        <v>-65563.62</v>
      </c>
      <c r="I18" s="91">
        <f>-'[1]Forecast Assumptions'!I28</f>
        <v>-67530.528599999991</v>
      </c>
    </row>
    <row r="19" spans="2:10" ht="15" customHeight="1" x14ac:dyDescent="0.25">
      <c r="B19" s="8" t="s">
        <v>181</v>
      </c>
      <c r="C19" s="90" t="s">
        <v>170</v>
      </c>
      <c r="E19" s="91">
        <f>-'[1]Forecast Assumptions'!E29</f>
        <v>-10000</v>
      </c>
      <c r="F19" s="91">
        <f>-'[1]Forecast Assumptions'!F29</f>
        <v>-10500</v>
      </c>
      <c r="G19" s="91">
        <f>-'[1]Forecast Assumptions'!G29</f>
        <v>-11025</v>
      </c>
      <c r="H19" s="91">
        <f>-'[1]Forecast Assumptions'!H29</f>
        <v>-11576.25</v>
      </c>
      <c r="I19" s="91">
        <f>-'[1]Forecast Assumptions'!I29</f>
        <v>-12155.0625</v>
      </c>
    </row>
    <row r="20" spans="2:10" ht="15" customHeight="1" x14ac:dyDescent="0.25">
      <c r="B20" s="8" t="s">
        <v>182</v>
      </c>
      <c r="C20" s="90" t="s">
        <v>170</v>
      </c>
      <c r="E20" s="91">
        <f>-'[1]Forecast Assumptions'!E30</f>
        <v>-5000</v>
      </c>
      <c r="F20" s="91">
        <f>-'[1]Forecast Assumptions'!F30</f>
        <v>-5250</v>
      </c>
      <c r="G20" s="91">
        <f>-'[1]Forecast Assumptions'!G30</f>
        <v>-5512.5</v>
      </c>
      <c r="H20" s="91">
        <f>-'[1]Forecast Assumptions'!H30</f>
        <v>-5788.125</v>
      </c>
      <c r="I20" s="91">
        <f>-'[1]Forecast Assumptions'!I30</f>
        <v>-6077.53125</v>
      </c>
    </row>
    <row r="21" spans="2:10" ht="15" customHeight="1" x14ac:dyDescent="0.25">
      <c r="B21" s="92" t="s">
        <v>204</v>
      </c>
      <c r="C21" s="93" t="s">
        <v>170</v>
      </c>
      <c r="D21" s="94"/>
      <c r="E21" s="95">
        <f>E14+SUM(E17:E20)</f>
        <v>227000</v>
      </c>
      <c r="F21" s="95">
        <f t="shared" ref="F21:I21" si="5">F14+SUM(F17:F20)</f>
        <v>287603.99999999994</v>
      </c>
      <c r="G21" s="95">
        <f t="shared" si="5"/>
        <v>353102.35320000001</v>
      </c>
      <c r="H21" s="95">
        <f t="shared" si="5"/>
        <v>422670.11884032015</v>
      </c>
      <c r="I21" s="95">
        <f t="shared" si="5"/>
        <v>495211.36868203245</v>
      </c>
    </row>
    <row r="22" spans="2:10" ht="15" customHeight="1" x14ac:dyDescent="0.25">
      <c r="B22" s="96" t="s">
        <v>202</v>
      </c>
      <c r="C22" s="81" t="s">
        <v>190</v>
      </c>
      <c r="E22" s="98">
        <f>E21/E8</f>
        <v>0.3219858156028369</v>
      </c>
      <c r="F22" s="98">
        <f t="shared" ref="F22:I22" si="6">F21/F8</f>
        <v>0.3565987204285076</v>
      </c>
      <c r="G22" s="98">
        <f t="shared" si="6"/>
        <v>0.38621188399582213</v>
      </c>
      <c r="H22" s="98">
        <f t="shared" si="6"/>
        <v>0.41159441440676897</v>
      </c>
      <c r="I22" s="98">
        <f t="shared" si="6"/>
        <v>0.43335260928901498</v>
      </c>
    </row>
    <row r="24" spans="2:10" ht="15" customHeight="1" x14ac:dyDescent="0.25">
      <c r="B24" s="8" t="s">
        <v>205</v>
      </c>
      <c r="C24" s="90" t="s">
        <v>170</v>
      </c>
      <c r="E24" s="91">
        <f>E8*'[1]Forecast Assumptions'!E33</f>
        <v>-35250</v>
      </c>
      <c r="F24" s="91">
        <f>F8*'[1]Forecast Assumptions'!F33</f>
        <v>-38309.699999999997</v>
      </c>
      <c r="G24" s="91">
        <f>G8*'[1]Forecast Assumptions'!G33</f>
        <v>-41142.198240000005</v>
      </c>
      <c r="H24" s="91">
        <f>H8*'[1]Forecast Assumptions'!H33</f>
        <v>-43643.643892992011</v>
      </c>
      <c r="I24" s="91">
        <f>I8*'[1]Forecast Assumptions'!I33</f>
        <v>-45709.78534034967</v>
      </c>
      <c r="J24" s="8"/>
    </row>
    <row r="25" spans="2:10" ht="15" customHeight="1" x14ac:dyDescent="0.25">
      <c r="B25" s="92" t="s">
        <v>206</v>
      </c>
      <c r="C25" s="93" t="s">
        <v>170</v>
      </c>
      <c r="D25" s="94"/>
      <c r="E25" s="95">
        <f>E21+E24</f>
        <v>191750</v>
      </c>
      <c r="F25" s="95">
        <f t="shared" ref="F25:I25" si="7">F21+F24</f>
        <v>249294.29999999993</v>
      </c>
      <c r="G25" s="95">
        <f t="shared" si="7"/>
        <v>311960.15496000001</v>
      </c>
      <c r="H25" s="95">
        <f t="shared" si="7"/>
        <v>379026.47494732816</v>
      </c>
      <c r="I25" s="95">
        <f t="shared" si="7"/>
        <v>449501.5833416828</v>
      </c>
      <c r="J25" s="8"/>
    </row>
    <row r="26" spans="2:10" ht="15" customHeight="1" x14ac:dyDescent="0.25">
      <c r="B26" s="96" t="s">
        <v>202</v>
      </c>
      <c r="C26" s="81" t="s">
        <v>190</v>
      </c>
      <c r="E26" s="98">
        <f>E25/E8</f>
        <v>0.27198581560283686</v>
      </c>
      <c r="F26" s="98">
        <f t="shared" ref="F26:I26" si="8">F25/F8</f>
        <v>0.30909872042850756</v>
      </c>
      <c r="G26" s="98">
        <f t="shared" si="8"/>
        <v>0.34121188399582214</v>
      </c>
      <c r="H26" s="98">
        <f t="shared" si="8"/>
        <v>0.36909441440676899</v>
      </c>
      <c r="I26" s="98">
        <f t="shared" si="8"/>
        <v>0.393352609289015</v>
      </c>
      <c r="J26" s="8"/>
    </row>
    <row r="28" spans="2:10" ht="15" customHeight="1" x14ac:dyDescent="0.25">
      <c r="B28" s="1" t="s">
        <v>207</v>
      </c>
      <c r="C28" s="81" t="s">
        <v>170</v>
      </c>
      <c r="E28" s="99"/>
      <c r="F28" s="99"/>
      <c r="G28" s="99"/>
      <c r="H28" s="99"/>
      <c r="I28" s="99"/>
    </row>
    <row r="29" spans="2:10" ht="15" customHeight="1" x14ac:dyDescent="0.25">
      <c r="B29" s="92" t="s">
        <v>208</v>
      </c>
      <c r="C29" s="93" t="s">
        <v>170</v>
      </c>
      <c r="D29" s="94"/>
      <c r="E29" s="94">
        <f t="shared" ref="E29" si="9">SUM(E25,E28)</f>
        <v>191750</v>
      </c>
      <c r="F29" s="94">
        <f>SUM(F25,F28)</f>
        <v>249294.29999999993</v>
      </c>
      <c r="G29" s="94">
        <f t="shared" ref="G29:I29" si="10">SUM(G25,G28)</f>
        <v>311960.15496000001</v>
      </c>
      <c r="H29" s="94">
        <f t="shared" si="10"/>
        <v>379026.47494732816</v>
      </c>
      <c r="I29" s="94">
        <f t="shared" si="10"/>
        <v>449501.5833416828</v>
      </c>
    </row>
    <row r="30" spans="2:10" ht="15" customHeight="1" x14ac:dyDescent="0.25">
      <c r="B30" s="96" t="s">
        <v>202</v>
      </c>
      <c r="C30" s="81" t="s">
        <v>190</v>
      </c>
      <c r="E30" s="97">
        <f>E29/E$8</f>
        <v>0.27198581560283686</v>
      </c>
      <c r="F30" s="97">
        <f t="shared" ref="F30:I30" si="11">F29/F$8</f>
        <v>0.30909872042850756</v>
      </c>
      <c r="G30" s="97">
        <f t="shared" si="11"/>
        <v>0.34121188399582214</v>
      </c>
      <c r="H30" s="97">
        <f t="shared" si="11"/>
        <v>0.36909441440676899</v>
      </c>
      <c r="I30" s="97">
        <f t="shared" si="11"/>
        <v>0.393352609289015</v>
      </c>
    </row>
    <row r="32" spans="2:10" ht="15" customHeight="1" x14ac:dyDescent="0.25">
      <c r="B32" s="8" t="s">
        <v>209</v>
      </c>
      <c r="C32" s="90" t="s">
        <v>170</v>
      </c>
      <c r="E32" s="91">
        <f>'[1]Forecast Assumptions'!E43*'P&amp;L Forecast'!E29</f>
        <v>40267.5</v>
      </c>
      <c r="F32" s="91">
        <f>'[1]Forecast Assumptions'!F43*'P&amp;L Forecast'!F29</f>
        <v>52351.802999999985</v>
      </c>
      <c r="G32" s="91">
        <f>'[1]Forecast Assumptions'!G43*'P&amp;L Forecast'!G29</f>
        <v>65511.632541600004</v>
      </c>
      <c r="H32" s="91">
        <f>'[1]Forecast Assumptions'!H43*'P&amp;L Forecast'!H29</f>
        <v>79595.559738938915</v>
      </c>
      <c r="I32" s="91">
        <f>'[1]Forecast Assumptions'!I43*'P&amp;L Forecast'!I29</f>
        <v>94395.332501753379</v>
      </c>
    </row>
    <row r="33" spans="1:9" ht="15" customHeight="1" x14ac:dyDescent="0.25">
      <c r="B33" s="92" t="s">
        <v>210</v>
      </c>
      <c r="C33" s="93" t="s">
        <v>170</v>
      </c>
      <c r="D33" s="94"/>
      <c r="E33" s="95">
        <f>E29-E32</f>
        <v>151482.5</v>
      </c>
      <c r="F33" s="95">
        <f t="shared" ref="F33:I33" si="12">F29-F32</f>
        <v>196942.49699999994</v>
      </c>
      <c r="G33" s="95">
        <f t="shared" si="12"/>
        <v>246448.52241840001</v>
      </c>
      <c r="H33" s="95">
        <f t="shared" si="12"/>
        <v>299430.91520838923</v>
      </c>
      <c r="I33" s="95">
        <f t="shared" si="12"/>
        <v>355106.25083992945</v>
      </c>
    </row>
    <row r="34" spans="1:9" ht="15" customHeight="1" x14ac:dyDescent="0.25">
      <c r="B34" s="96" t="s">
        <v>202</v>
      </c>
      <c r="C34" s="81" t="s">
        <v>190</v>
      </c>
      <c r="E34" s="98">
        <f>E33/E8</f>
        <v>0.21486879432624115</v>
      </c>
      <c r="F34" s="98">
        <f t="shared" ref="F34:I34" si="13">F33/F8</f>
        <v>0.24418798913852099</v>
      </c>
      <c r="G34" s="98">
        <f t="shared" si="13"/>
        <v>0.26955738835669951</v>
      </c>
      <c r="H34" s="98">
        <f t="shared" si="13"/>
        <v>0.29158458738134746</v>
      </c>
      <c r="I34" s="98">
        <f t="shared" si="13"/>
        <v>0.3107485613383219</v>
      </c>
    </row>
    <row r="36" spans="1:9" ht="15" customHeight="1" x14ac:dyDescent="0.25">
      <c r="B36" s="8" t="s">
        <v>211</v>
      </c>
      <c r="C36" s="90" t="s">
        <v>190</v>
      </c>
      <c r="E36" s="100">
        <f>'[1]Forecast Assumptions'!E39</f>
        <v>0.6</v>
      </c>
      <c r="F36" s="100">
        <f>'[1]Forecast Assumptions'!F39</f>
        <v>0.6</v>
      </c>
      <c r="G36" s="100">
        <f>'[1]Forecast Assumptions'!G39</f>
        <v>0.6</v>
      </c>
      <c r="H36" s="100">
        <f>'[1]Forecast Assumptions'!H39</f>
        <v>0.6</v>
      </c>
      <c r="I36" s="100">
        <f>'[1]Forecast Assumptions'!I39</f>
        <v>0.6</v>
      </c>
    </row>
    <row r="37" spans="1:9" ht="15" customHeight="1" x14ac:dyDescent="0.25">
      <c r="B37" s="92" t="s">
        <v>212</v>
      </c>
      <c r="C37" s="93" t="s">
        <v>170</v>
      </c>
      <c r="D37" s="94"/>
      <c r="E37" s="95">
        <f>E33*E36</f>
        <v>90889.5</v>
      </c>
      <c r="F37" s="95">
        <f t="shared" ref="F37:I37" si="14">F33*F36</f>
        <v>118165.49819999996</v>
      </c>
      <c r="G37" s="95">
        <f t="shared" si="14"/>
        <v>147869.11345104</v>
      </c>
      <c r="H37" s="95">
        <f t="shared" si="14"/>
        <v>179658.54912503352</v>
      </c>
      <c r="I37" s="95">
        <f t="shared" si="14"/>
        <v>213063.75050395765</v>
      </c>
    </row>
    <row r="38" spans="1:9" ht="15" customHeight="1" x14ac:dyDescent="0.25">
      <c r="D38" s="77"/>
      <c r="E38" s="77"/>
      <c r="F38" s="77"/>
      <c r="G38" s="77"/>
      <c r="H38" s="77"/>
      <c r="I38" s="77"/>
    </row>
    <row r="39" spans="1:9" s="89" customFormat="1" ht="15" customHeight="1" x14ac:dyDescent="0.25">
      <c r="A39" s="72" t="s">
        <v>2</v>
      </c>
      <c r="B39" s="72" t="s">
        <v>194</v>
      </c>
    </row>
  </sheetData>
  <pageMargins left="0.7" right="0.7" top="0.75" bottom="0.75" header="0.3" footer="0.3"/>
  <pageSetup paperSize="9" scale="18" orientation="portrait" horizontalDpi="4294967293"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2571-0B55-4EFC-9E98-3A314FE3FF12}">
  <dimension ref="A1:P25"/>
  <sheetViews>
    <sheetView showGridLines="0" zoomScale="90" zoomScaleNormal="90" zoomScaleSheetLayoutView="70" workbookViewId="0">
      <pane xSplit="3" ySplit="3" topLeftCell="D4" activePane="bottomRight" state="frozenSplit"/>
      <selection pane="topRight" activeCell="C1" sqref="C1"/>
      <selection pane="bottomLeft" activeCell="A3" sqref="A3"/>
      <selection pane="bottomRight" activeCell="I16" sqref="I16"/>
    </sheetView>
  </sheetViews>
  <sheetFormatPr defaultColWidth="20.6640625" defaultRowHeight="15" customHeight="1" outlineLevelCol="1" x14ac:dyDescent="0.25"/>
  <cols>
    <col min="1" max="1" width="2.6640625" style="1" customWidth="1"/>
    <col min="2" max="2" width="36" style="1" bestFit="1" customWidth="1"/>
    <col min="3" max="3" width="14.6640625" style="1" customWidth="1"/>
    <col min="4" max="4" width="23.33203125" style="1" customWidth="1" outlineLevel="1"/>
    <col min="5" max="9" width="23.33203125" style="1" bestFit="1" customWidth="1"/>
    <col min="10" max="10" width="1.6640625" style="1" customWidth="1"/>
    <col min="11" max="14" width="20.6640625" style="1"/>
    <col min="15" max="15" width="10.109375" style="1" customWidth="1"/>
    <col min="16" max="16" width="20.6640625" style="1" hidden="1" customWidth="1"/>
    <col min="17" max="16384" width="20.6640625" style="1"/>
  </cols>
  <sheetData>
    <row r="1" spans="2:9" s="71" customFormat="1" ht="35.25" customHeight="1" x14ac:dyDescent="0.3">
      <c r="B1" s="37" t="s">
        <v>224</v>
      </c>
      <c r="C1" s="72"/>
      <c r="D1" s="72"/>
      <c r="E1" s="72"/>
    </row>
    <row r="3" spans="2:9" ht="15" customHeight="1" x14ac:dyDescent="0.25">
      <c r="B3" s="73" t="s">
        <v>163</v>
      </c>
      <c r="C3" s="74" t="s">
        <v>164</v>
      </c>
      <c r="D3" s="75">
        <v>43830</v>
      </c>
      <c r="E3" s="76">
        <f>EOMONTH(D3,12)</f>
        <v>44196</v>
      </c>
      <c r="F3" s="76">
        <f>EOMONTH(E3,12)</f>
        <v>44561</v>
      </c>
      <c r="G3" s="76">
        <f>EOMONTH(F3,12)</f>
        <v>44926</v>
      </c>
      <c r="H3" s="76">
        <f>EOMONTH(G3,12)</f>
        <v>45291</v>
      </c>
      <c r="I3" s="76">
        <f>EOMONTH(H3,12)</f>
        <v>45657</v>
      </c>
    </row>
    <row r="4" spans="2:9" ht="15" customHeight="1" x14ac:dyDescent="0.25">
      <c r="D4" s="77"/>
      <c r="E4" s="77"/>
      <c r="F4" s="77"/>
      <c r="G4" s="77"/>
      <c r="H4" s="77"/>
      <c r="I4" s="77"/>
    </row>
    <row r="5" spans="2:9" ht="15" customHeight="1" x14ac:dyDescent="0.25">
      <c r="B5" s="8" t="s">
        <v>204</v>
      </c>
      <c r="C5" s="90" t="s">
        <v>170</v>
      </c>
      <c r="E5" s="91">
        <f>'[2]P&amp;L Forecast'!E21</f>
        <v>227000</v>
      </c>
      <c r="F5" s="91">
        <f>'[2]P&amp;L Forecast'!F21</f>
        <v>287604</v>
      </c>
      <c r="G5" s="91">
        <f>'[2]P&amp;L Forecast'!G21</f>
        <v>353102.35320000001</v>
      </c>
      <c r="H5" s="91">
        <f>'[2]P&amp;L Forecast'!H21</f>
        <v>422670.11884032015</v>
      </c>
      <c r="I5" s="91">
        <f>'[2]P&amp;L Forecast'!I21</f>
        <v>495211.36868203245</v>
      </c>
    </row>
    <row r="6" spans="2:9" ht="15" customHeight="1" x14ac:dyDescent="0.25">
      <c r="B6" s="8" t="s">
        <v>223</v>
      </c>
      <c r="C6" s="90" t="s">
        <v>170</v>
      </c>
      <c r="E6" s="91">
        <f>'[2]P&amp;L Forecast'!E32</f>
        <v>-36939</v>
      </c>
      <c r="F6" s="91">
        <f>'[2]P&amp;L Forecast'!F32</f>
        <v>-49430.991959999992</v>
      </c>
      <c r="G6" s="91">
        <f>'[2]P&amp;L Forecast'!G32</f>
        <v>-63147.881559974398</v>
      </c>
      <c r="H6" s="91">
        <f>'[2]P&amp;L Forecast'!H32</f>
        <v>-77953.199210183389</v>
      </c>
      <c r="I6" s="91">
        <f>'[2]P&amp;L Forecast'!I32</f>
        <v>-93652.040032496661</v>
      </c>
    </row>
    <row r="7" spans="2:9" ht="15" customHeight="1" x14ac:dyDescent="0.25">
      <c r="B7" s="8" t="s">
        <v>211</v>
      </c>
      <c r="C7" s="90" t="s">
        <v>170</v>
      </c>
      <c r="E7" s="107">
        <f>-'[2]P&amp;L Forecast'!E37</f>
        <v>-83376.599999999991</v>
      </c>
      <c r="F7" s="107">
        <f>-'[2]P&amp;L Forecast'!F37</f>
        <v>-111572.810424</v>
      </c>
      <c r="G7" s="107">
        <f>-'[2]P&amp;L Forecast'!G37</f>
        <v>-142533.78980679935</v>
      </c>
      <c r="H7" s="107">
        <f>-'[2]P&amp;L Forecast'!H37</f>
        <v>-175951.50678869965</v>
      </c>
      <c r="I7" s="107">
        <f>-'[2]P&amp;L Forecast'!I37</f>
        <v>-211386.03321620674</v>
      </c>
    </row>
    <row r="8" spans="2:9" ht="15" customHeight="1" x14ac:dyDescent="0.25">
      <c r="B8" s="8" t="s">
        <v>222</v>
      </c>
      <c r="C8" s="90" t="s">
        <v>170</v>
      </c>
      <c r="E8" s="91">
        <f>'[2]P&amp;L Forecast'!E8*'[2]Forecast Assumptions'!E38</f>
        <v>-7050</v>
      </c>
      <c r="F8" s="91">
        <f>'[2]P&amp;L Forecast'!F8*'[2]Forecast Assumptions'!F38</f>
        <v>-8065.2</v>
      </c>
      <c r="G8" s="91">
        <f>'[2]P&amp;L Forecast'!G8*'[2]Forecast Assumptions'!G38</f>
        <v>-9142.7107200000009</v>
      </c>
      <c r="H8" s="91">
        <f>'[2]P&amp;L Forecast'!H8*'[2]Forecast Assumptions'!H38</f>
        <v>-10269.092680704003</v>
      </c>
      <c r="I8" s="91">
        <f>'[2]P&amp;L Forecast'!I8*'[2]Forecast Assumptions'!I38</f>
        <v>-11427.446335087419</v>
      </c>
    </row>
    <row r="9" spans="2:9" ht="15" customHeight="1" x14ac:dyDescent="0.25">
      <c r="B9" s="8" t="s">
        <v>207</v>
      </c>
      <c r="C9" s="90" t="s">
        <v>170</v>
      </c>
      <c r="E9" s="107">
        <f>(-E21*'[2]Forecast Assumptions'!E44)+('Cash Flow Forecast'!E15*'[2]Forecast Assumptions'!E45)</f>
        <v>-15850</v>
      </c>
      <c r="F9" s="107">
        <f>(-F21*'[2]Forecast Assumptions'!F44)+('Cash Flow Forecast'!F15*'[2]Forecast Assumptions'!F45)</f>
        <v>-13908.624</v>
      </c>
      <c r="G9" s="107">
        <f>(-G21*'[2]Forecast Assumptions'!G44)+('Cash Flow Forecast'!G15*'[2]Forecast Assumptions'!G45)</f>
        <v>-11255.957055359997</v>
      </c>
      <c r="H9" s="107">
        <f>(-H21*'[2]Forecast Assumptions'!H44)+('Cash Flow Forecast'!H15*'[2]Forecast Assumptions'!H45)</f>
        <v>-7820.7644226453467</v>
      </c>
      <c r="I9" s="107">
        <f>(-I21*'[2]Forecast Assumptions'!I44)+('Cash Flow Forecast'!I15*'[2]Forecast Assumptions'!I45)</f>
        <v>-3539.4879488415172</v>
      </c>
    </row>
    <row r="10" spans="2:9" ht="15" customHeight="1" x14ac:dyDescent="0.25">
      <c r="B10" s="8" t="s">
        <v>221</v>
      </c>
      <c r="C10" s="90" t="s">
        <v>170</v>
      </c>
      <c r="E10" s="91">
        <f>'[2]P&amp;L Forecast'!E8*'[2]Forecast Assumptions'!E37</f>
        <v>-35250</v>
      </c>
      <c r="F10" s="91">
        <f>'[2]P&amp;L Forecast'!F8*'[2]Forecast Assumptions'!F37</f>
        <v>-38309.699999999997</v>
      </c>
      <c r="G10" s="91">
        <f>'[2]P&amp;L Forecast'!G8*'[2]Forecast Assumptions'!G37</f>
        <v>-41142.198240000005</v>
      </c>
      <c r="H10" s="91">
        <f>'[2]P&amp;L Forecast'!H8*'[2]Forecast Assumptions'!H37</f>
        <v>-43643.643892992011</v>
      </c>
      <c r="I10" s="91">
        <f>'[2]P&amp;L Forecast'!I8*'[2]Forecast Assumptions'!I37</f>
        <v>-45709.78534034967</v>
      </c>
    </row>
    <row r="11" spans="2:9" ht="15" customHeight="1" x14ac:dyDescent="0.25">
      <c r="B11" s="92" t="s">
        <v>220</v>
      </c>
      <c r="C11" s="93" t="s">
        <v>170</v>
      </c>
      <c r="D11" s="92"/>
      <c r="E11" s="101">
        <f>SUM(E5:E10)</f>
        <v>48534.400000000009</v>
      </c>
      <c r="F11" s="101">
        <f>SUM(F5:F10)</f>
        <v>66316.673616000029</v>
      </c>
      <c r="G11" s="101">
        <f>SUM(G5:G10)</f>
        <v>85879.815817866271</v>
      </c>
      <c r="H11" s="101">
        <f>SUM(H5:H10)</f>
        <v>107031.91184509573</v>
      </c>
      <c r="I11" s="101">
        <f>SUM(I5:I10)</f>
        <v>129496.57580905045</v>
      </c>
    </row>
    <row r="12" spans="2:9" ht="15" customHeight="1" x14ac:dyDescent="0.25">
      <c r="B12" s="1" t="s">
        <v>214</v>
      </c>
      <c r="C12" s="81" t="s">
        <v>170</v>
      </c>
      <c r="D12" s="2"/>
      <c r="E12" s="103">
        <f>-MIN(E11,E21)</f>
        <v>-48534.400000000009</v>
      </c>
      <c r="F12" s="103">
        <f>-MIN(F11,F21)</f>
        <v>-66316.673616000029</v>
      </c>
      <c r="G12" s="103">
        <f>-MIN(G11,G21)</f>
        <v>-85879.815817866271</v>
      </c>
      <c r="H12" s="103">
        <f>-MIN(H11,H21)</f>
        <v>-107031.91184509573</v>
      </c>
      <c r="I12" s="103">
        <f>-MIN(I11,I21)</f>
        <v>-92237.19872103793</v>
      </c>
    </row>
    <row r="13" spans="2:9" ht="15" customHeight="1" x14ac:dyDescent="0.25">
      <c r="B13" s="92" t="s">
        <v>218</v>
      </c>
      <c r="C13" s="93" t="s">
        <v>170</v>
      </c>
      <c r="D13" s="92"/>
      <c r="E13" s="106">
        <f>SUM(E11:E12)</f>
        <v>0</v>
      </c>
      <c r="F13" s="106">
        <f>SUM(F11:F12)</f>
        <v>0</v>
      </c>
      <c r="G13" s="106">
        <f>SUM(G11:G12)</f>
        <v>0</v>
      </c>
      <c r="H13" s="106">
        <f>SUM(H11:H12)</f>
        <v>0</v>
      </c>
      <c r="I13" s="106">
        <f>SUM(I11:I12)</f>
        <v>37259.377088012523</v>
      </c>
    </row>
    <row r="15" spans="2:9" ht="15" customHeight="1" x14ac:dyDescent="0.25">
      <c r="B15" s="1" t="s">
        <v>219</v>
      </c>
      <c r="C15" s="81" t="s">
        <v>170</v>
      </c>
      <c r="E15" s="105">
        <v>15000</v>
      </c>
      <c r="F15" s="104">
        <f>E17</f>
        <v>15000</v>
      </c>
      <c r="G15" s="104">
        <f>F17</f>
        <v>15000</v>
      </c>
      <c r="H15" s="104">
        <f>G17</f>
        <v>15000</v>
      </c>
      <c r="I15" s="104">
        <f>H17</f>
        <v>15000</v>
      </c>
    </row>
    <row r="16" spans="2:9" ht="15" customHeight="1" x14ac:dyDescent="0.25">
      <c r="B16" s="1" t="s">
        <v>218</v>
      </c>
      <c r="C16" s="81" t="s">
        <v>170</v>
      </c>
      <c r="E16" s="103">
        <f>E13</f>
        <v>0</v>
      </c>
      <c r="F16" s="103">
        <f>F13</f>
        <v>0</v>
      </c>
      <c r="G16" s="103">
        <f>G13</f>
        <v>0</v>
      </c>
      <c r="H16" s="103">
        <f>H13</f>
        <v>0</v>
      </c>
      <c r="I16" s="103">
        <f>I13</f>
        <v>37259.377088012523</v>
      </c>
    </row>
    <row r="17" spans="1:9" ht="15" customHeight="1" x14ac:dyDescent="0.25">
      <c r="B17" s="92" t="s">
        <v>217</v>
      </c>
      <c r="C17" s="93" t="s">
        <v>170</v>
      </c>
      <c r="D17" s="102">
        <v>15000</v>
      </c>
      <c r="E17" s="104">
        <f>E15+E16</f>
        <v>15000</v>
      </c>
      <c r="F17" s="104">
        <f>F15+F16</f>
        <v>15000</v>
      </c>
      <c r="G17" s="104">
        <f>G15+G16</f>
        <v>15000</v>
      </c>
      <c r="H17" s="104">
        <f>H15+H16</f>
        <v>15000</v>
      </c>
      <c r="I17" s="104">
        <f>I15+I16</f>
        <v>52259.377088012523</v>
      </c>
    </row>
    <row r="18" spans="1:9" ht="15" customHeight="1" x14ac:dyDescent="0.25">
      <c r="D18" s="77"/>
      <c r="E18" s="77"/>
      <c r="F18" s="77"/>
      <c r="G18" s="77"/>
      <c r="H18" s="77"/>
      <c r="I18" s="77"/>
    </row>
    <row r="19" spans="1:9" s="79" customFormat="1" ht="15" customHeight="1" x14ac:dyDescent="0.25">
      <c r="A19" s="78" t="s">
        <v>2</v>
      </c>
      <c r="B19" s="78" t="s">
        <v>216</v>
      </c>
      <c r="D19" s="80"/>
      <c r="E19" s="80"/>
      <c r="F19" s="80"/>
      <c r="G19" s="80"/>
      <c r="H19" s="80"/>
      <c r="I19" s="80"/>
    </row>
    <row r="20" spans="1:9" ht="15" customHeight="1" x14ac:dyDescent="0.25">
      <c r="D20" s="77"/>
      <c r="E20" s="77"/>
      <c r="F20" s="77"/>
      <c r="G20" s="77"/>
      <c r="H20" s="77"/>
      <c r="I20" s="77"/>
    </row>
    <row r="21" spans="1:9" ht="15" customHeight="1" x14ac:dyDescent="0.25">
      <c r="B21" s="1" t="s">
        <v>215</v>
      </c>
      <c r="C21" s="81" t="s">
        <v>170</v>
      </c>
      <c r="E21" s="103">
        <v>400000</v>
      </c>
      <c r="F21" s="103">
        <f>E23</f>
        <v>351465.6</v>
      </c>
      <c r="G21" s="103">
        <f>F23</f>
        <v>285148.92638399993</v>
      </c>
      <c r="H21" s="103">
        <f>G23</f>
        <v>199269.11056613366</v>
      </c>
      <c r="I21" s="103">
        <f>H23</f>
        <v>92237.19872103793</v>
      </c>
    </row>
    <row r="22" spans="1:9" ht="15" customHeight="1" x14ac:dyDescent="0.25">
      <c r="B22" s="1" t="s">
        <v>214</v>
      </c>
      <c r="C22" s="81" t="s">
        <v>170</v>
      </c>
      <c r="E22" s="103">
        <f>E12</f>
        <v>-48534.400000000009</v>
      </c>
      <c r="F22" s="103">
        <f>F12</f>
        <v>-66316.673616000029</v>
      </c>
      <c r="G22" s="103">
        <f>G12</f>
        <v>-85879.815817866271</v>
      </c>
      <c r="H22" s="103">
        <f>H12</f>
        <v>-107031.91184509573</v>
      </c>
      <c r="I22" s="103">
        <f>I12</f>
        <v>-92237.19872103793</v>
      </c>
    </row>
    <row r="23" spans="1:9" ht="15" customHeight="1" x14ac:dyDescent="0.25">
      <c r="B23" s="92" t="s">
        <v>213</v>
      </c>
      <c r="C23" s="93" t="s">
        <v>170</v>
      </c>
      <c r="D23" s="102">
        <v>400000</v>
      </c>
      <c r="E23" s="101">
        <f>SUM(E21:E22)</f>
        <v>351465.6</v>
      </c>
      <c r="F23" s="101">
        <f>SUM(F21:F22)</f>
        <v>285148.92638399993</v>
      </c>
      <c r="G23" s="101">
        <f>SUM(G21:G22)</f>
        <v>199269.11056613366</v>
      </c>
      <c r="H23" s="101">
        <f>SUM(H21:H22)</f>
        <v>92237.19872103793</v>
      </c>
      <c r="I23" s="101">
        <f>SUM(I21:I22)</f>
        <v>0</v>
      </c>
    </row>
    <row r="24" spans="1:9" ht="15" customHeight="1" x14ac:dyDescent="0.25">
      <c r="D24" s="77"/>
      <c r="E24" s="77"/>
      <c r="F24" s="77"/>
      <c r="G24" s="77"/>
      <c r="H24" s="77"/>
      <c r="I24" s="77"/>
    </row>
    <row r="25" spans="1:9" s="89" customFormat="1" ht="15" customHeight="1" x14ac:dyDescent="0.25">
      <c r="A25" s="72" t="s">
        <v>2</v>
      </c>
      <c r="B25" s="72" t="s">
        <v>194</v>
      </c>
    </row>
  </sheetData>
  <pageMargins left="0.7" right="0.7" top="0.75" bottom="0.75" header="0.3" footer="0.3"/>
  <pageSetup paperSize="9" scale="18" orientation="portrait" horizontalDpi="4294967293"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4745B-E4FA-45E1-919E-4BFB933AF67D}">
  <dimension ref="B1:J141"/>
  <sheetViews>
    <sheetView showGridLines="0" tabSelected="1" zoomScale="70" zoomScaleNormal="70" zoomScaleSheetLayoutView="85" workbookViewId="0">
      <selection activeCell="K19" sqref="K19"/>
    </sheetView>
  </sheetViews>
  <sheetFormatPr defaultColWidth="20.6640625" defaultRowHeight="15" customHeight="1" x14ac:dyDescent="0.25"/>
  <cols>
    <col min="1" max="1" width="2.6640625" style="1" customWidth="1"/>
    <col min="2" max="2" width="36" style="1" bestFit="1" customWidth="1"/>
    <col min="3" max="3" width="23.33203125" style="1" bestFit="1" customWidth="1"/>
    <col min="4" max="4" width="23.33203125" style="1" customWidth="1"/>
    <col min="5" max="8" width="23.33203125" style="1" bestFit="1" customWidth="1"/>
    <col min="9" max="9" width="2.6640625" style="1" customWidth="1"/>
    <col min="10" max="16384" width="20.6640625" style="1"/>
  </cols>
  <sheetData>
    <row r="1" spans="2:10" s="71" customFormat="1" ht="35.25" customHeight="1" x14ac:dyDescent="0.3">
      <c r="B1" s="37" t="s">
        <v>230</v>
      </c>
      <c r="C1" s="72"/>
      <c r="D1" s="72"/>
      <c r="E1" s="72"/>
    </row>
    <row r="3" spans="2:10" ht="15" customHeight="1" x14ac:dyDescent="0.25">
      <c r="B3" s="2" t="s">
        <v>229</v>
      </c>
    </row>
    <row r="4" spans="2:10" ht="15" customHeight="1" x14ac:dyDescent="0.25">
      <c r="B4" s="115"/>
      <c r="C4" s="114"/>
      <c r="D4" s="114"/>
      <c r="E4" s="114"/>
      <c r="F4" s="114"/>
      <c r="G4" s="114"/>
      <c r="H4" s="113"/>
      <c r="J4" s="1" t="s">
        <v>231</v>
      </c>
    </row>
    <row r="5" spans="2:10" ht="15" customHeight="1" x14ac:dyDescent="0.25">
      <c r="B5" s="112"/>
      <c r="H5" s="111"/>
    </row>
    <row r="6" spans="2:10" ht="15" customHeight="1" x14ac:dyDescent="0.25">
      <c r="B6" s="112"/>
      <c r="H6" s="111"/>
    </row>
    <row r="7" spans="2:10" ht="15" customHeight="1" x14ac:dyDescent="0.25">
      <c r="B7" s="112"/>
      <c r="H7" s="111"/>
    </row>
    <row r="8" spans="2:10" ht="15" customHeight="1" x14ac:dyDescent="0.25">
      <c r="B8" s="112"/>
      <c r="H8" s="111"/>
    </row>
    <row r="9" spans="2:10" ht="15" customHeight="1" x14ac:dyDescent="0.25">
      <c r="B9" s="112"/>
      <c r="H9" s="111"/>
    </row>
    <row r="10" spans="2:10" ht="15" customHeight="1" x14ac:dyDescent="0.25">
      <c r="B10" s="112"/>
      <c r="H10" s="111"/>
    </row>
    <row r="11" spans="2:10" ht="15" customHeight="1" x14ac:dyDescent="0.25">
      <c r="B11" s="112"/>
      <c r="H11" s="111"/>
    </row>
    <row r="12" spans="2:10" ht="15" customHeight="1" x14ac:dyDescent="0.25">
      <c r="B12" s="112"/>
      <c r="H12" s="111"/>
    </row>
    <row r="13" spans="2:10" ht="15" customHeight="1" x14ac:dyDescent="0.25">
      <c r="B13" s="112"/>
      <c r="H13" s="111"/>
    </row>
    <row r="14" spans="2:10" ht="15" customHeight="1" x14ac:dyDescent="0.25">
      <c r="B14" s="112"/>
      <c r="H14" s="111"/>
    </row>
    <row r="15" spans="2:10" ht="15" customHeight="1" x14ac:dyDescent="0.25">
      <c r="B15" s="112"/>
      <c r="H15" s="111"/>
    </row>
    <row r="16" spans="2:10" ht="15" customHeight="1" x14ac:dyDescent="0.25">
      <c r="B16" s="112"/>
      <c r="H16" s="111"/>
    </row>
    <row r="17" spans="2:8" ht="15" customHeight="1" x14ac:dyDescent="0.25">
      <c r="B17" s="112"/>
      <c r="H17" s="111"/>
    </row>
    <row r="18" spans="2:8" ht="15" customHeight="1" x14ac:dyDescent="0.25">
      <c r="B18" s="112"/>
      <c r="H18" s="111"/>
    </row>
    <row r="19" spans="2:8" ht="15" customHeight="1" x14ac:dyDescent="0.25">
      <c r="B19" s="112"/>
      <c r="H19" s="111"/>
    </row>
    <row r="20" spans="2:8" ht="15" customHeight="1" x14ac:dyDescent="0.25">
      <c r="B20" s="112"/>
      <c r="H20" s="111"/>
    </row>
    <row r="21" spans="2:8" ht="15" customHeight="1" x14ac:dyDescent="0.25">
      <c r="B21" s="112"/>
      <c r="H21" s="111"/>
    </row>
    <row r="22" spans="2:8" ht="15" customHeight="1" x14ac:dyDescent="0.25">
      <c r="B22" s="112"/>
      <c r="H22" s="111"/>
    </row>
    <row r="23" spans="2:8" ht="15" customHeight="1" x14ac:dyDescent="0.25">
      <c r="B23" s="112"/>
      <c r="H23" s="111"/>
    </row>
    <row r="24" spans="2:8" ht="15" customHeight="1" x14ac:dyDescent="0.25">
      <c r="B24" s="112"/>
      <c r="H24" s="111"/>
    </row>
    <row r="25" spans="2:8" ht="15" customHeight="1" x14ac:dyDescent="0.25">
      <c r="B25" s="112"/>
      <c r="H25" s="111"/>
    </row>
    <row r="26" spans="2:8" ht="15" customHeight="1" x14ac:dyDescent="0.25">
      <c r="B26" s="112"/>
      <c r="H26" s="111"/>
    </row>
    <row r="27" spans="2:8" ht="15" customHeight="1" x14ac:dyDescent="0.25">
      <c r="B27" s="112"/>
      <c r="H27" s="111"/>
    </row>
    <row r="28" spans="2:8" ht="15" customHeight="1" x14ac:dyDescent="0.25">
      <c r="B28" s="112"/>
      <c r="H28" s="111"/>
    </row>
    <row r="29" spans="2:8" ht="15" customHeight="1" x14ac:dyDescent="0.25">
      <c r="B29" s="110"/>
      <c r="C29" s="109"/>
      <c r="D29" s="109"/>
      <c r="E29" s="109"/>
      <c r="F29" s="109"/>
      <c r="G29" s="109"/>
      <c r="H29" s="108"/>
    </row>
    <row r="31" spans="2:8" ht="15" customHeight="1" x14ac:dyDescent="0.25">
      <c r="B31" s="2" t="s">
        <v>228</v>
      </c>
    </row>
    <row r="32" spans="2:8" ht="15" customHeight="1" x14ac:dyDescent="0.25">
      <c r="B32" s="115"/>
      <c r="C32" s="114"/>
      <c r="D32" s="114"/>
      <c r="E32" s="114"/>
      <c r="F32" s="114"/>
      <c r="G32" s="114"/>
      <c r="H32" s="113"/>
    </row>
    <row r="33" spans="2:8" ht="15" customHeight="1" x14ac:dyDescent="0.25">
      <c r="B33" s="112"/>
      <c r="H33" s="111"/>
    </row>
    <row r="34" spans="2:8" ht="15" customHeight="1" x14ac:dyDescent="0.25">
      <c r="B34" s="112"/>
      <c r="H34" s="111"/>
    </row>
    <row r="35" spans="2:8" ht="15" customHeight="1" x14ac:dyDescent="0.25">
      <c r="B35" s="112"/>
      <c r="H35" s="111"/>
    </row>
    <row r="36" spans="2:8" ht="15" customHeight="1" x14ac:dyDescent="0.25">
      <c r="B36" s="112"/>
      <c r="H36" s="111"/>
    </row>
    <row r="37" spans="2:8" ht="15" customHeight="1" x14ac:dyDescent="0.25">
      <c r="B37" s="112"/>
      <c r="H37" s="111"/>
    </row>
    <row r="38" spans="2:8" ht="15" customHeight="1" x14ac:dyDescent="0.25">
      <c r="B38" s="112"/>
      <c r="H38" s="111"/>
    </row>
    <row r="39" spans="2:8" ht="15" customHeight="1" x14ac:dyDescent="0.25">
      <c r="B39" s="112"/>
      <c r="H39" s="111"/>
    </row>
    <row r="40" spans="2:8" ht="15" customHeight="1" x14ac:dyDescent="0.25">
      <c r="B40" s="112"/>
      <c r="H40" s="111"/>
    </row>
    <row r="41" spans="2:8" ht="15" customHeight="1" x14ac:dyDescent="0.25">
      <c r="B41" s="112"/>
      <c r="H41" s="111"/>
    </row>
    <row r="42" spans="2:8" ht="15" customHeight="1" x14ac:dyDescent="0.25">
      <c r="B42" s="112"/>
      <c r="H42" s="111"/>
    </row>
    <row r="43" spans="2:8" ht="15" customHeight="1" x14ac:dyDescent="0.25">
      <c r="B43" s="112"/>
      <c r="H43" s="111"/>
    </row>
    <row r="44" spans="2:8" ht="15" customHeight="1" x14ac:dyDescent="0.25">
      <c r="B44" s="112"/>
      <c r="H44" s="111"/>
    </row>
    <row r="45" spans="2:8" ht="15" customHeight="1" x14ac:dyDescent="0.25">
      <c r="B45" s="112"/>
      <c r="H45" s="111"/>
    </row>
    <row r="46" spans="2:8" ht="15" customHeight="1" x14ac:dyDescent="0.25">
      <c r="B46" s="112"/>
      <c r="H46" s="111"/>
    </row>
    <row r="47" spans="2:8" ht="15" customHeight="1" x14ac:dyDescent="0.25">
      <c r="B47" s="112"/>
      <c r="H47" s="111"/>
    </row>
    <row r="48" spans="2:8" ht="15" customHeight="1" x14ac:dyDescent="0.25">
      <c r="B48" s="112"/>
      <c r="H48" s="111"/>
    </row>
    <row r="49" spans="2:8" ht="15" customHeight="1" x14ac:dyDescent="0.25">
      <c r="B49" s="112"/>
      <c r="H49" s="111"/>
    </row>
    <row r="50" spans="2:8" ht="15" customHeight="1" x14ac:dyDescent="0.25">
      <c r="B50" s="112"/>
      <c r="H50" s="111"/>
    </row>
    <row r="51" spans="2:8" ht="15" customHeight="1" x14ac:dyDescent="0.25">
      <c r="B51" s="112"/>
      <c r="H51" s="111"/>
    </row>
    <row r="52" spans="2:8" ht="15" customHeight="1" x14ac:dyDescent="0.25">
      <c r="B52" s="112"/>
      <c r="H52" s="111"/>
    </row>
    <row r="53" spans="2:8" ht="15" customHeight="1" x14ac:dyDescent="0.25">
      <c r="B53" s="112"/>
      <c r="H53" s="111"/>
    </row>
    <row r="54" spans="2:8" ht="15" customHeight="1" x14ac:dyDescent="0.25">
      <c r="B54" s="112"/>
      <c r="H54" s="111"/>
    </row>
    <row r="55" spans="2:8" ht="15" customHeight="1" x14ac:dyDescent="0.25">
      <c r="B55" s="112"/>
      <c r="H55" s="111"/>
    </row>
    <row r="56" spans="2:8" ht="15" customHeight="1" x14ac:dyDescent="0.25">
      <c r="B56" s="112"/>
      <c r="H56" s="111"/>
    </row>
    <row r="57" spans="2:8" ht="15" customHeight="1" x14ac:dyDescent="0.25">
      <c r="B57" s="110"/>
      <c r="C57" s="109"/>
      <c r="D57" s="109"/>
      <c r="E57" s="109"/>
      <c r="F57" s="109"/>
      <c r="G57" s="109"/>
      <c r="H57" s="108"/>
    </row>
    <row r="59" spans="2:8" ht="15" customHeight="1" x14ac:dyDescent="0.25">
      <c r="B59" s="2" t="s">
        <v>227</v>
      </c>
    </row>
    <row r="60" spans="2:8" ht="15" customHeight="1" x14ac:dyDescent="0.25">
      <c r="B60" s="115"/>
      <c r="C60" s="114"/>
      <c r="D60" s="114"/>
      <c r="E60" s="114"/>
      <c r="F60" s="114"/>
      <c r="G60" s="114"/>
      <c r="H60" s="113"/>
    </row>
    <row r="61" spans="2:8" ht="15" customHeight="1" x14ac:dyDescent="0.25">
      <c r="B61" s="112"/>
      <c r="H61" s="111"/>
    </row>
    <row r="62" spans="2:8" ht="15" customHeight="1" x14ac:dyDescent="0.25">
      <c r="B62" s="112"/>
      <c r="H62" s="111"/>
    </row>
    <row r="63" spans="2:8" ht="15" customHeight="1" x14ac:dyDescent="0.25">
      <c r="B63" s="112"/>
      <c r="H63" s="111"/>
    </row>
    <row r="64" spans="2:8" ht="15" customHeight="1" x14ac:dyDescent="0.25">
      <c r="B64" s="112"/>
      <c r="H64" s="111"/>
    </row>
    <row r="65" spans="2:8" ht="15" customHeight="1" x14ac:dyDescent="0.25">
      <c r="B65" s="112"/>
      <c r="H65" s="111"/>
    </row>
    <row r="66" spans="2:8" ht="15" customHeight="1" x14ac:dyDescent="0.25">
      <c r="B66" s="112"/>
      <c r="H66" s="111"/>
    </row>
    <row r="67" spans="2:8" ht="15" customHeight="1" x14ac:dyDescent="0.25">
      <c r="B67" s="112"/>
      <c r="H67" s="111"/>
    </row>
    <row r="68" spans="2:8" ht="15" customHeight="1" x14ac:dyDescent="0.25">
      <c r="B68" s="112"/>
      <c r="H68" s="111"/>
    </row>
    <row r="69" spans="2:8" ht="15" customHeight="1" x14ac:dyDescent="0.25">
      <c r="B69" s="112"/>
      <c r="H69" s="111"/>
    </row>
    <row r="70" spans="2:8" ht="15" customHeight="1" x14ac:dyDescent="0.25">
      <c r="B70" s="112"/>
      <c r="H70" s="111"/>
    </row>
    <row r="71" spans="2:8" ht="15" customHeight="1" x14ac:dyDescent="0.25">
      <c r="B71" s="112"/>
      <c r="H71" s="111"/>
    </row>
    <row r="72" spans="2:8" ht="15" customHeight="1" x14ac:dyDescent="0.25">
      <c r="B72" s="112"/>
      <c r="H72" s="111"/>
    </row>
    <row r="73" spans="2:8" ht="15" customHeight="1" x14ac:dyDescent="0.25">
      <c r="B73" s="112"/>
      <c r="H73" s="111"/>
    </row>
    <row r="74" spans="2:8" ht="15" customHeight="1" x14ac:dyDescent="0.25">
      <c r="B74" s="112"/>
      <c r="H74" s="111"/>
    </row>
    <row r="75" spans="2:8" ht="15" customHeight="1" x14ac:dyDescent="0.25">
      <c r="B75" s="112"/>
      <c r="H75" s="111"/>
    </row>
    <row r="76" spans="2:8" ht="15" customHeight="1" x14ac:dyDescent="0.25">
      <c r="B76" s="112"/>
      <c r="H76" s="111"/>
    </row>
    <row r="77" spans="2:8" ht="15" customHeight="1" x14ac:dyDescent="0.25">
      <c r="B77" s="112"/>
      <c r="H77" s="111"/>
    </row>
    <row r="78" spans="2:8" ht="15" customHeight="1" x14ac:dyDescent="0.25">
      <c r="B78" s="112"/>
      <c r="H78" s="111"/>
    </row>
    <row r="79" spans="2:8" ht="15" customHeight="1" x14ac:dyDescent="0.25">
      <c r="B79" s="112"/>
      <c r="H79" s="111"/>
    </row>
    <row r="80" spans="2:8" ht="15" customHeight="1" x14ac:dyDescent="0.25">
      <c r="B80" s="112"/>
      <c r="H80" s="111"/>
    </row>
    <row r="81" spans="2:8" ht="15" customHeight="1" x14ac:dyDescent="0.25">
      <c r="B81" s="112"/>
      <c r="H81" s="111"/>
    </row>
    <row r="82" spans="2:8" ht="15" customHeight="1" x14ac:dyDescent="0.25">
      <c r="B82" s="112"/>
      <c r="H82" s="111"/>
    </row>
    <row r="83" spans="2:8" ht="15" customHeight="1" x14ac:dyDescent="0.25">
      <c r="B83" s="112"/>
      <c r="H83" s="111"/>
    </row>
    <row r="84" spans="2:8" ht="15" customHeight="1" x14ac:dyDescent="0.25">
      <c r="B84" s="112"/>
      <c r="H84" s="111"/>
    </row>
    <row r="85" spans="2:8" ht="15" customHeight="1" x14ac:dyDescent="0.25">
      <c r="B85" s="110"/>
      <c r="C85" s="109"/>
      <c r="D85" s="109"/>
      <c r="E85" s="109"/>
      <c r="F85" s="109"/>
      <c r="G85" s="109"/>
      <c r="H85" s="108"/>
    </row>
    <row r="87" spans="2:8" ht="15" customHeight="1" x14ac:dyDescent="0.25">
      <c r="B87" s="2" t="s">
        <v>226</v>
      </c>
    </row>
    <row r="88" spans="2:8" ht="15" customHeight="1" x14ac:dyDescent="0.25">
      <c r="B88" s="115"/>
      <c r="C88" s="114"/>
      <c r="D88" s="114"/>
      <c r="E88" s="114"/>
      <c r="F88" s="114"/>
      <c r="G88" s="114"/>
      <c r="H88" s="113"/>
    </row>
    <row r="89" spans="2:8" ht="15" customHeight="1" x14ac:dyDescent="0.25">
      <c r="B89" s="112"/>
      <c r="H89" s="111"/>
    </row>
    <row r="90" spans="2:8" ht="15" customHeight="1" x14ac:dyDescent="0.25">
      <c r="B90" s="112"/>
      <c r="H90" s="111"/>
    </row>
    <row r="91" spans="2:8" ht="15" customHeight="1" x14ac:dyDescent="0.25">
      <c r="B91" s="112"/>
      <c r="H91" s="111"/>
    </row>
    <row r="92" spans="2:8" ht="15" customHeight="1" x14ac:dyDescent="0.25">
      <c r="B92" s="112"/>
      <c r="H92" s="111"/>
    </row>
    <row r="93" spans="2:8" ht="15" customHeight="1" x14ac:dyDescent="0.25">
      <c r="B93" s="112"/>
      <c r="H93" s="111"/>
    </row>
    <row r="94" spans="2:8" ht="15" customHeight="1" x14ac:dyDescent="0.25">
      <c r="B94" s="112"/>
      <c r="H94" s="111"/>
    </row>
    <row r="95" spans="2:8" ht="15" customHeight="1" x14ac:dyDescent="0.25">
      <c r="B95" s="112"/>
      <c r="H95" s="111"/>
    </row>
    <row r="96" spans="2:8" ht="15" customHeight="1" x14ac:dyDescent="0.25">
      <c r="B96" s="112"/>
      <c r="H96" s="111"/>
    </row>
    <row r="97" spans="2:8" ht="15" customHeight="1" x14ac:dyDescent="0.25">
      <c r="B97" s="112"/>
      <c r="H97" s="111"/>
    </row>
    <row r="98" spans="2:8" ht="15" customHeight="1" x14ac:dyDescent="0.25">
      <c r="B98" s="112"/>
      <c r="H98" s="111"/>
    </row>
    <row r="99" spans="2:8" ht="15" customHeight="1" x14ac:dyDescent="0.25">
      <c r="B99" s="112"/>
      <c r="H99" s="111"/>
    </row>
    <row r="100" spans="2:8" ht="15" customHeight="1" x14ac:dyDescent="0.25">
      <c r="B100" s="112"/>
      <c r="H100" s="111"/>
    </row>
    <row r="101" spans="2:8" ht="15" customHeight="1" x14ac:dyDescent="0.25">
      <c r="B101" s="112"/>
      <c r="H101" s="111"/>
    </row>
    <row r="102" spans="2:8" ht="15" customHeight="1" x14ac:dyDescent="0.25">
      <c r="B102" s="112"/>
      <c r="H102" s="111"/>
    </row>
    <row r="103" spans="2:8" ht="15" customHeight="1" x14ac:dyDescent="0.25">
      <c r="B103" s="112"/>
      <c r="H103" s="111"/>
    </row>
    <row r="104" spans="2:8" ht="15" customHeight="1" x14ac:dyDescent="0.25">
      <c r="B104" s="112"/>
      <c r="H104" s="111"/>
    </row>
    <row r="105" spans="2:8" ht="15" customHeight="1" x14ac:dyDescent="0.25">
      <c r="B105" s="112"/>
      <c r="H105" s="111"/>
    </row>
    <row r="106" spans="2:8" ht="15" customHeight="1" x14ac:dyDescent="0.25">
      <c r="B106" s="112"/>
      <c r="H106" s="111"/>
    </row>
    <row r="107" spans="2:8" ht="15" customHeight="1" x14ac:dyDescent="0.25">
      <c r="B107" s="112"/>
      <c r="H107" s="111"/>
    </row>
    <row r="108" spans="2:8" ht="15" customHeight="1" x14ac:dyDescent="0.25">
      <c r="B108" s="112"/>
      <c r="H108" s="111"/>
    </row>
    <row r="109" spans="2:8" ht="15" customHeight="1" x14ac:dyDescent="0.25">
      <c r="B109" s="112"/>
      <c r="H109" s="111"/>
    </row>
    <row r="110" spans="2:8" ht="15" customHeight="1" x14ac:dyDescent="0.25">
      <c r="B110" s="112"/>
      <c r="H110" s="111"/>
    </row>
    <row r="111" spans="2:8" ht="15" customHeight="1" x14ac:dyDescent="0.25">
      <c r="B111" s="112"/>
      <c r="H111" s="111"/>
    </row>
    <row r="112" spans="2:8" ht="15" customHeight="1" x14ac:dyDescent="0.25">
      <c r="B112" s="112"/>
      <c r="H112" s="111"/>
    </row>
    <row r="113" spans="2:8" ht="15" customHeight="1" x14ac:dyDescent="0.25">
      <c r="B113" s="110"/>
      <c r="C113" s="109"/>
      <c r="D113" s="109"/>
      <c r="E113" s="109"/>
      <c r="F113" s="109"/>
      <c r="G113" s="109"/>
      <c r="H113" s="108"/>
    </row>
    <row r="115" spans="2:8" ht="15" customHeight="1" x14ac:dyDescent="0.25">
      <c r="B115" s="2" t="s">
        <v>225</v>
      </c>
    </row>
    <row r="116" spans="2:8" ht="15" customHeight="1" x14ac:dyDescent="0.25">
      <c r="B116" s="115"/>
      <c r="C116" s="114"/>
      <c r="D116" s="114"/>
      <c r="E116" s="114"/>
      <c r="F116" s="114"/>
      <c r="G116" s="114"/>
      <c r="H116" s="113"/>
    </row>
    <row r="117" spans="2:8" ht="15" customHeight="1" x14ac:dyDescent="0.25">
      <c r="B117" s="112"/>
      <c r="H117" s="111"/>
    </row>
    <row r="118" spans="2:8" ht="15" customHeight="1" x14ac:dyDescent="0.25">
      <c r="B118" s="112"/>
      <c r="H118" s="111"/>
    </row>
    <row r="119" spans="2:8" ht="15" customHeight="1" x14ac:dyDescent="0.25">
      <c r="B119" s="112"/>
      <c r="H119" s="111"/>
    </row>
    <row r="120" spans="2:8" ht="15" customHeight="1" x14ac:dyDescent="0.25">
      <c r="B120" s="112"/>
      <c r="H120" s="111"/>
    </row>
    <row r="121" spans="2:8" ht="15" customHeight="1" x14ac:dyDescent="0.25">
      <c r="B121" s="112"/>
      <c r="H121" s="111"/>
    </row>
    <row r="122" spans="2:8" ht="15" customHeight="1" x14ac:dyDescent="0.25">
      <c r="B122" s="112"/>
      <c r="H122" s="111"/>
    </row>
    <row r="123" spans="2:8" ht="15" customHeight="1" x14ac:dyDescent="0.25">
      <c r="B123" s="112"/>
      <c r="H123" s="111"/>
    </row>
    <row r="124" spans="2:8" ht="15" customHeight="1" x14ac:dyDescent="0.25">
      <c r="B124" s="112"/>
      <c r="H124" s="111"/>
    </row>
    <row r="125" spans="2:8" ht="15" customHeight="1" x14ac:dyDescent="0.25">
      <c r="B125" s="112"/>
      <c r="H125" s="111"/>
    </row>
    <row r="126" spans="2:8" ht="15" customHeight="1" x14ac:dyDescent="0.25">
      <c r="B126" s="112"/>
      <c r="H126" s="111"/>
    </row>
    <row r="127" spans="2:8" ht="15" customHeight="1" x14ac:dyDescent="0.25">
      <c r="B127" s="112"/>
      <c r="H127" s="111"/>
    </row>
    <row r="128" spans="2:8" ht="15" customHeight="1" x14ac:dyDescent="0.25">
      <c r="B128" s="112"/>
      <c r="H128" s="111"/>
    </row>
    <row r="129" spans="2:8" ht="15" customHeight="1" x14ac:dyDescent="0.25">
      <c r="B129" s="112"/>
      <c r="H129" s="111"/>
    </row>
    <row r="130" spans="2:8" ht="15" customHeight="1" x14ac:dyDescent="0.25">
      <c r="B130" s="112"/>
      <c r="H130" s="111"/>
    </row>
    <row r="131" spans="2:8" ht="15" customHeight="1" x14ac:dyDescent="0.25">
      <c r="B131" s="112"/>
      <c r="H131" s="111"/>
    </row>
    <row r="132" spans="2:8" ht="15" customHeight="1" x14ac:dyDescent="0.25">
      <c r="B132" s="112"/>
      <c r="H132" s="111"/>
    </row>
    <row r="133" spans="2:8" ht="15" customHeight="1" x14ac:dyDescent="0.25">
      <c r="B133" s="112"/>
      <c r="H133" s="111"/>
    </row>
    <row r="134" spans="2:8" ht="15" customHeight="1" x14ac:dyDescent="0.25">
      <c r="B134" s="112"/>
      <c r="H134" s="111"/>
    </row>
    <row r="135" spans="2:8" ht="15" customHeight="1" x14ac:dyDescent="0.25">
      <c r="B135" s="112"/>
      <c r="H135" s="111"/>
    </row>
    <row r="136" spans="2:8" ht="15" customHeight="1" x14ac:dyDescent="0.25">
      <c r="B136" s="112"/>
      <c r="H136" s="111"/>
    </row>
    <row r="137" spans="2:8" ht="15" customHeight="1" x14ac:dyDescent="0.25">
      <c r="B137" s="112"/>
      <c r="H137" s="111"/>
    </row>
    <row r="138" spans="2:8" ht="15" customHeight="1" x14ac:dyDescent="0.25">
      <c r="B138" s="112"/>
      <c r="H138" s="111"/>
    </row>
    <row r="139" spans="2:8" ht="15" customHeight="1" x14ac:dyDescent="0.25">
      <c r="B139" s="112"/>
      <c r="H139" s="111"/>
    </row>
    <row r="140" spans="2:8" ht="15" customHeight="1" x14ac:dyDescent="0.25">
      <c r="B140" s="112"/>
      <c r="H140" s="111"/>
    </row>
    <row r="141" spans="2:8" ht="15" customHeight="1" x14ac:dyDescent="0.25">
      <c r="B141" s="110"/>
      <c r="C141" s="109"/>
      <c r="D141" s="109"/>
      <c r="E141" s="109"/>
      <c r="F141" s="109"/>
      <c r="G141" s="109"/>
      <c r="H141" s="108"/>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Basic Excel Skills</vt:lpstr>
      <vt:lpstr>Forecast Assumptions</vt:lpstr>
      <vt:lpstr>P&amp;L Forecast</vt:lpstr>
      <vt:lpstr>Cash Flow Forecast</vt:lpstr>
      <vt:lpstr>Outputs</vt:lpstr>
      <vt:lpstr>'Basic Excel Skills'!Debt</vt:lpstr>
      <vt:lpstr>'Basic Excel Skills'!Equity</vt:lpstr>
      <vt:lpstr>'Basic Excel Skills'!Print_Area</vt:lpstr>
      <vt:lpstr>'Cash Flow Forecast'!Print_Area</vt:lpstr>
      <vt:lpstr>'Forecast Assumptions'!Print_Area</vt:lpstr>
      <vt:lpstr>Outputs!Print_Area</vt:lpstr>
      <vt:lpstr>'P&amp;L Forecast'!Print_Area</vt:lpstr>
      <vt:lpstr>Rd</vt:lpstr>
      <vt:lpstr>'Basic Excel Skills'!Re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Wardah Alvi</cp:lastModifiedBy>
  <dcterms:created xsi:type="dcterms:W3CDTF">2020-08-04T12:49:48Z</dcterms:created>
  <dcterms:modified xsi:type="dcterms:W3CDTF">2023-03-11T21:02:09Z</dcterms:modified>
</cp:coreProperties>
</file>