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NewBiz\APX_JBV\"/>
    </mc:Choice>
  </mc:AlternateContent>
  <bookViews>
    <workbookView xWindow="0" yWindow="0" windowWidth="24000" windowHeight="9735" activeTab="2"/>
  </bookViews>
  <sheets>
    <sheet name="Temp" sheetId="2" r:id="rId1"/>
    <sheet name="Feillogg" sheetId="5" r:id="rId2"/>
    <sheet name="Sammendrag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I24" i="4"/>
  <c r="I23" i="4"/>
  <c r="I22" i="4"/>
  <c r="I21" i="4"/>
  <c r="H24" i="4"/>
  <c r="H23" i="4"/>
  <c r="H22" i="4"/>
  <c r="H21" i="4"/>
  <c r="G24" i="4"/>
  <c r="G23" i="4"/>
  <c r="G22" i="4"/>
  <c r="G21" i="4"/>
  <c r="F24" i="4"/>
  <c r="F23" i="4"/>
  <c r="F22" i="4"/>
  <c r="F21" i="4"/>
  <c r="E24" i="4"/>
  <c r="E23" i="4"/>
  <c r="E22" i="4"/>
  <c r="E21" i="4"/>
  <c r="D24" i="4"/>
  <c r="D23" i="4"/>
  <c r="D22" i="4"/>
  <c r="D21" i="4"/>
  <c r="C24" i="4"/>
  <c r="C23" i="4"/>
  <c r="C22" i="4"/>
  <c r="C21" i="4"/>
  <c r="B24" i="4"/>
  <c r="B23" i="4"/>
  <c r="B22" i="4"/>
  <c r="B21" i="4"/>
  <c r="I16" i="4"/>
  <c r="I15" i="4"/>
  <c r="I14" i="4"/>
  <c r="I13" i="4"/>
  <c r="H16" i="4"/>
  <c r="H15" i="4"/>
  <c r="H14" i="4"/>
  <c r="H13" i="4"/>
  <c r="G16" i="4"/>
  <c r="G15" i="4"/>
  <c r="G14" i="4"/>
  <c r="G13" i="4"/>
  <c r="F16" i="4"/>
  <c r="F15" i="4"/>
  <c r="F14" i="4"/>
  <c r="F13" i="4"/>
  <c r="E16" i="4"/>
  <c r="E15" i="4"/>
  <c r="E14" i="4"/>
  <c r="E13" i="4"/>
  <c r="D16" i="4"/>
  <c r="D14" i="4"/>
  <c r="D13" i="4"/>
  <c r="C16" i="4"/>
  <c r="C15" i="4"/>
  <c r="B16" i="4"/>
  <c r="B15" i="4"/>
  <c r="B14" i="4"/>
  <c r="C13" i="4"/>
  <c r="D15" i="4"/>
  <c r="C14" i="4"/>
  <c r="B13" i="4"/>
  <c r="I8" i="4"/>
  <c r="I7" i="4"/>
  <c r="I6" i="4"/>
  <c r="H8" i="4"/>
  <c r="H7" i="4"/>
  <c r="H6" i="4"/>
  <c r="G8" i="4"/>
  <c r="G7" i="4"/>
  <c r="G6" i="4"/>
  <c r="F8" i="4"/>
  <c r="F7" i="4"/>
  <c r="F6" i="4"/>
  <c r="E8" i="4"/>
  <c r="E7" i="4"/>
  <c r="E6" i="4"/>
  <c r="D8" i="4"/>
  <c r="D7" i="4"/>
  <c r="D6" i="4"/>
  <c r="C8" i="4"/>
  <c r="C7" i="4"/>
  <c r="C6" i="4"/>
  <c r="I5" i="4"/>
  <c r="H5" i="4"/>
  <c r="G5" i="4"/>
  <c r="F5" i="4"/>
  <c r="E5" i="4"/>
  <c r="D5" i="4"/>
  <c r="C5" i="4"/>
  <c r="B8" i="4"/>
  <c r="B7" i="4"/>
  <c r="B6" i="4"/>
  <c r="B5" i="4"/>
  <c r="I25" i="4" l="1"/>
  <c r="H25" i="4"/>
  <c r="G25" i="4"/>
  <c r="F25" i="4"/>
  <c r="E25" i="4"/>
  <c r="D25" i="4"/>
  <c r="J24" i="4"/>
  <c r="J23" i="4"/>
  <c r="J22" i="4"/>
  <c r="B25" i="4"/>
  <c r="C25" i="4"/>
  <c r="J21" i="4"/>
  <c r="I17" i="4"/>
  <c r="H17" i="4"/>
  <c r="G17" i="4"/>
  <c r="F17" i="4"/>
  <c r="E17" i="4"/>
  <c r="D17" i="4"/>
  <c r="C17" i="4"/>
  <c r="J16" i="4"/>
  <c r="J14" i="4"/>
  <c r="J15" i="4"/>
  <c r="B17" i="4"/>
  <c r="J13" i="4"/>
  <c r="C9" i="4"/>
  <c r="G9" i="4"/>
  <c r="F9" i="4"/>
  <c r="H9" i="4"/>
  <c r="I9" i="4"/>
  <c r="D9" i="4"/>
  <c r="E9" i="4"/>
  <c r="J8" i="4"/>
  <c r="J6" i="4"/>
  <c r="J7" i="4"/>
  <c r="J25" i="4" l="1"/>
  <c r="J17" i="4"/>
  <c r="B9" i="4" l="1"/>
  <c r="J5" i="4"/>
  <c r="J9" i="4" s="1"/>
</calcChain>
</file>

<file path=xl/comments1.xml><?xml version="1.0" encoding="utf-8"?>
<comments xmlns="http://schemas.openxmlformats.org/spreadsheetml/2006/main">
  <authors>
    <author>Per Borge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APX-Avhengig av UC-nummer og step i aktuell 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</rPr>
          <t>APX-Legger inn JIRA id når de mottar hendelser til behandling.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 xml:space="preserve">01. Feil
02. Endring
03. Åpen
04. Under behandling
05. Rettet til retest
06. Lukket
07. Avvist
08. Reåpnet
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</rPr>
          <t>01. Haster
02. Middels
03. Utredes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A-Kritisk
B-Alvorlig
C-Mindre alvorlig
D-Kosmetisk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OBS! husk versjonsnummer som kommentarern gjelder for
</t>
        </r>
      </text>
    </comment>
  </commentList>
</comments>
</file>

<file path=xl/sharedStrings.xml><?xml version="1.0" encoding="utf-8"?>
<sst xmlns="http://schemas.openxmlformats.org/spreadsheetml/2006/main" count="157" uniqueCount="86">
  <si>
    <t>Status</t>
  </si>
  <si>
    <t>Ny</t>
  </si>
  <si>
    <t>Åpen</t>
  </si>
  <si>
    <t>Re-åpnet</t>
  </si>
  <si>
    <t>Rettet</t>
  </si>
  <si>
    <t>Endring</t>
  </si>
  <si>
    <t>Avvist</t>
  </si>
  <si>
    <t>Lukket</t>
  </si>
  <si>
    <t>Totalt</t>
  </si>
  <si>
    <t>Kategori</t>
  </si>
  <si>
    <t>A - Alvorlig feil</t>
  </si>
  <si>
    <t>B - Funksjonsfeil</t>
  </si>
  <si>
    <t>C - Mindre feil</t>
  </si>
  <si>
    <t>D - Feil-Kosmetisk</t>
  </si>
  <si>
    <t xml:space="preserve">Totalt </t>
  </si>
  <si>
    <t>01. Feil</t>
  </si>
  <si>
    <t>02. Endring</t>
  </si>
  <si>
    <t>03. Åpen</t>
  </si>
  <si>
    <t>04. Under behandling</t>
  </si>
  <si>
    <t>05. Rettet til retest</t>
  </si>
  <si>
    <t>06. Lukket</t>
  </si>
  <si>
    <t>07. Avvist</t>
  </si>
  <si>
    <t>08. Reåpnet</t>
  </si>
  <si>
    <t>APX</t>
  </si>
  <si>
    <t>UC-NR</t>
  </si>
  <si>
    <t>JIRA</t>
  </si>
  <si>
    <t>HP-ALM</t>
  </si>
  <si>
    <t>Beskrivelse av hendelsen</t>
  </si>
  <si>
    <t>Tildelt</t>
  </si>
  <si>
    <t>Reg</t>
  </si>
  <si>
    <t>Reg dato</t>
  </si>
  <si>
    <t>Pri</t>
  </si>
  <si>
    <t>Alvorlig-hetsgrad</t>
  </si>
  <si>
    <t>Kommentar</t>
  </si>
  <si>
    <t>STEP</t>
  </si>
  <si>
    <t>NR</t>
  </si>
  <si>
    <t>ID</t>
  </si>
  <si>
    <t>av</t>
  </si>
  <si>
    <r>
      <rPr>
        <sz val="8"/>
        <color rgb="FFFF0000"/>
        <rFont val="Arial"/>
        <family val="2"/>
      </rPr>
      <t>OBS!</t>
    </r>
    <r>
      <rPr>
        <sz val="8"/>
        <color theme="0"/>
        <rFont val="Arial"/>
        <family val="2"/>
      </rPr>
      <t xml:space="preserve"> Versjonsnr kommentaren gjelder for.</t>
    </r>
  </si>
  <si>
    <t>JBV-181</t>
  </si>
  <si>
    <t>001</t>
  </si>
  <si>
    <t>Meny Grunndata-Region
Forsøker å registrere ny Region, men det er ikke mulig å lagre</t>
  </si>
  <si>
    <t>06</t>
  </si>
  <si>
    <t>Roy</t>
  </si>
  <si>
    <t>Per</t>
  </si>
  <si>
    <t>15.06.2015</t>
  </si>
  <si>
    <t>02</t>
  </si>
  <si>
    <t>B</t>
  </si>
  <si>
    <t xml:space="preserve">PBOR-20150615-10:31-sD2 ver x.x.xxxx
FG-20150702-Rettet
TBAK-Retestet OK. Lukkes
</t>
  </si>
  <si>
    <t>JBV-182</t>
  </si>
  <si>
    <t>002</t>
  </si>
  <si>
    <t>Meny Grunndata-Forsøker å klone Hovedlager Grorud til nytt Hovedlager PBOR. Knapp for kloning av valgt lager til nytt lager mangler.</t>
  </si>
  <si>
    <t>PBOR-20150615-1239-sD2 ver 2.6.5644
FG: Rettet 280615
TBAK-20150629-Retestet OK. Lukket.</t>
  </si>
  <si>
    <t>JBV-183</t>
  </si>
  <si>
    <t>003</t>
  </si>
  <si>
    <t>Meny Innkjøp Innkjøpsforslag
OPPRETT INNKJØP når knappen trykkes der det ikke er valgt noen arttikkler kommer feilmelding. 
An error occurred while processing your request.</t>
  </si>
  <si>
    <t>Gjermund</t>
  </si>
  <si>
    <t>01</t>
  </si>
  <si>
    <t>A</t>
  </si>
  <si>
    <t>PBOR-20150615-1239-sD2 ver 2.6.5644
Feil er rettet 170615
PBOR-20150618-1247-sD2 ver 2.6.5646
Retestet OK. Lukkes</t>
  </si>
  <si>
    <t>JBV-184</t>
  </si>
  <si>
    <t>004</t>
  </si>
  <si>
    <t>Meny Matrerialbehov
Reservering av f.eks -6 er mulig</t>
  </si>
  <si>
    <t>PBOR-20150615-1239-sD2 ver 2.6.5644
Feil er rettet 170615
PBOR-20150618-1252-sD2 ver 2.6.5646
Retestet OK. Lukkes</t>
  </si>
  <si>
    <t>JBV-185</t>
  </si>
  <si>
    <t>005</t>
  </si>
  <si>
    <t>Meny Innkjøpsforslag
Feltet Detaljer viser ikke forslagstype ordre</t>
  </si>
  <si>
    <t>PBOR-20150615-1239-sD2 ver 2.6.5644
FG-20150625-Rettet
TBAK-20150626-Restestet OK. Lukket</t>
  </si>
  <si>
    <t>JBV-187</t>
  </si>
  <si>
    <t>006</t>
  </si>
  <si>
    <t xml:space="preserve">Meny Innkjøp+Innkjøp+Opprett ny
Feltet Ordrelinjer. Lagring og slett er plassert på annen måte enn i andre vindu.
Ved sletting av linje i ordrefeltet må endringen lagres på nytt før ordren lagres som ferdig. 
Kan virke noe tungving med lagring flere ganger i samme vindu. F.eks en sletting bør automatisk lagre endringen i ordrefeltet. </t>
  </si>
  <si>
    <t>C</t>
  </si>
  <si>
    <t>PBOR-20150615-1239-sD2 ver 2.6.5644
Feil er rettet 170615
PBOR-20150618-1426-sD2 ver 2.6.5647
Retestet OK. Lukkes</t>
  </si>
  <si>
    <t>08</t>
  </si>
  <si>
    <t>D</t>
  </si>
  <si>
    <t>04</t>
  </si>
  <si>
    <t>Feil</t>
  </si>
  <si>
    <t>Reåpnet</t>
  </si>
  <si>
    <t>JBV-ILL-Feillogg Systemintegrasjonstest</t>
  </si>
  <si>
    <t>Applikasjon</t>
  </si>
  <si>
    <t>sD2</t>
  </si>
  <si>
    <t>HT</t>
  </si>
  <si>
    <t>Under
behand-
ling</t>
  </si>
  <si>
    <t>Status
Kategori</t>
  </si>
  <si>
    <t>D - Kosmetisk feil</t>
  </si>
  <si>
    <t>Rettet,
til re-test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</si>
</sst>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8"/>
      <color rgb="FFAC7B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01499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/>
      <bottom style="medium">
        <color indexed="64"/>
      </bottom>
      <diagonal/>
    </border>
    <border>
      <left style="medium">
        <color indexed="64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rgb="FF000000"/>
      </right>
      <top style="medium">
        <color indexed="64"/>
      </top>
      <bottom style="medium">
        <color indexed="64"/>
      </bottom>
      <diagonal/>
    </border>
    <border>
      <left/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/>
      <diagonal/>
    </border>
    <border>
      <left style="dotted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3" borderId="17" xfId="0" applyNumberFormat="1" applyFont="1" applyFill="1" applyBorder="1" applyAlignment="1">
      <alignment vertical="center" wrapText="1"/>
    </xf>
    <xf numFmtId="49" fontId="6" fillId="3" borderId="17" xfId="0" applyNumberFormat="1" applyFont="1" applyFill="1" applyBorder="1" applyAlignment="1">
      <alignment vertical="center"/>
    </xf>
    <xf numFmtId="49" fontId="6" fillId="3" borderId="18" xfId="0" applyNumberFormat="1" applyFont="1" applyFill="1" applyBorder="1" applyAlignment="1">
      <alignment vertical="center" wrapText="1"/>
    </xf>
    <xf numFmtId="49" fontId="7" fillId="3" borderId="17" xfId="0" applyNumberFormat="1" applyFont="1" applyFill="1" applyBorder="1"/>
    <xf numFmtId="49" fontId="6" fillId="3" borderId="19" xfId="0" applyNumberFormat="1" applyFont="1" applyFill="1" applyBorder="1" applyAlignment="1">
      <alignment vertical="center" wrapText="1"/>
    </xf>
    <xf numFmtId="49" fontId="6" fillId="3" borderId="19" xfId="0" applyNumberFormat="1" applyFont="1" applyFill="1" applyBorder="1" applyAlignment="1">
      <alignment vertical="center"/>
    </xf>
    <xf numFmtId="49" fontId="6" fillId="3" borderId="20" xfId="0" applyNumberFormat="1" applyFont="1" applyFill="1" applyBorder="1" applyAlignment="1">
      <alignment vertical="center"/>
    </xf>
    <xf numFmtId="49" fontId="8" fillId="3" borderId="19" xfId="0" applyNumberFormat="1" applyFont="1" applyFill="1" applyBorder="1"/>
    <xf numFmtId="49" fontId="10" fillId="4" borderId="2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0" fillId="5" borderId="21" xfId="0" applyFill="1" applyBorder="1" applyAlignment="1">
      <alignment horizontal="center" wrapText="1"/>
    </xf>
    <xf numFmtId="0" fontId="0" fillId="5" borderId="21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wrapText="1"/>
    </xf>
    <xf numFmtId="49" fontId="15" fillId="4" borderId="21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49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2" sqref="C12"/>
    </sheetView>
  </sheetViews>
  <sheetFormatPr defaultRowHeight="15" x14ac:dyDescent="0.25"/>
  <cols>
    <col min="1" max="1" width="23.140625" customWidth="1"/>
    <col min="3" max="3" width="16" customWidth="1"/>
  </cols>
  <sheetData>
    <row r="1" spans="1:11" x14ac:dyDescent="0.25">
      <c r="A1" t="s">
        <v>15</v>
      </c>
      <c r="C1" s="1" t="s">
        <v>0</v>
      </c>
      <c r="D1" s="10" t="s">
        <v>1</v>
      </c>
      <c r="E1" s="12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0" t="s">
        <v>7</v>
      </c>
      <c r="K1" s="16" t="s">
        <v>8</v>
      </c>
    </row>
    <row r="2" spans="1:11" ht="15.75" thickBot="1" x14ac:dyDescent="0.3">
      <c r="A2" t="s">
        <v>16</v>
      </c>
      <c r="C2" s="2" t="s">
        <v>9</v>
      </c>
      <c r="D2" s="11"/>
      <c r="E2" s="13"/>
      <c r="F2" s="15"/>
      <c r="G2" s="15"/>
      <c r="H2" s="15"/>
      <c r="I2" s="15"/>
      <c r="J2" s="11"/>
      <c r="K2" s="17"/>
    </row>
    <row r="3" spans="1:11" x14ac:dyDescent="0.25">
      <c r="A3" t="s">
        <v>17</v>
      </c>
      <c r="C3" s="3" t="s">
        <v>10</v>
      </c>
      <c r="D3" s="4"/>
      <c r="E3" s="4">
        <v>1</v>
      </c>
      <c r="F3" s="4">
        <v>0</v>
      </c>
      <c r="G3" s="4">
        <v>1</v>
      </c>
      <c r="H3" s="4">
        <v>0</v>
      </c>
      <c r="I3" s="4">
        <v>3</v>
      </c>
      <c r="J3" s="4">
        <v>17</v>
      </c>
      <c r="K3" s="5">
        <v>22</v>
      </c>
    </row>
    <row r="4" spans="1:11" x14ac:dyDescent="0.25">
      <c r="A4" t="s">
        <v>18</v>
      </c>
      <c r="C4" s="3" t="s">
        <v>11</v>
      </c>
      <c r="D4" s="4"/>
      <c r="E4" s="4">
        <v>11</v>
      </c>
      <c r="F4" s="4">
        <v>1</v>
      </c>
      <c r="G4" s="4">
        <v>3</v>
      </c>
      <c r="H4" s="4">
        <v>0</v>
      </c>
      <c r="I4" s="4">
        <v>8</v>
      </c>
      <c r="J4" s="4">
        <v>22</v>
      </c>
      <c r="K4" s="5">
        <v>45</v>
      </c>
    </row>
    <row r="5" spans="1:11" x14ac:dyDescent="0.25">
      <c r="A5" t="s">
        <v>19</v>
      </c>
      <c r="C5" s="3" t="s">
        <v>12</v>
      </c>
      <c r="D5" s="4"/>
      <c r="E5" s="4">
        <v>12</v>
      </c>
      <c r="F5" s="4">
        <v>1</v>
      </c>
      <c r="G5" s="4">
        <v>2</v>
      </c>
      <c r="H5" s="4">
        <v>0</v>
      </c>
      <c r="I5" s="4">
        <v>2</v>
      </c>
      <c r="J5" s="4">
        <v>16</v>
      </c>
      <c r="K5" s="5">
        <v>33</v>
      </c>
    </row>
    <row r="6" spans="1:11" ht="15.75" thickBot="1" x14ac:dyDescent="0.3">
      <c r="A6" t="s">
        <v>20</v>
      </c>
      <c r="C6" s="6" t="s">
        <v>13</v>
      </c>
      <c r="D6" s="4"/>
      <c r="E6" s="4">
        <v>2</v>
      </c>
      <c r="F6" s="4">
        <v>0</v>
      </c>
      <c r="G6" s="4">
        <v>1</v>
      </c>
      <c r="H6" s="4">
        <v>0</v>
      </c>
      <c r="I6" s="4">
        <v>1</v>
      </c>
      <c r="J6" s="4">
        <v>1</v>
      </c>
      <c r="K6" s="5">
        <v>5</v>
      </c>
    </row>
    <row r="7" spans="1:11" ht="15.75" thickBot="1" x14ac:dyDescent="0.3">
      <c r="A7" t="s">
        <v>21</v>
      </c>
      <c r="C7" s="7" t="s">
        <v>14</v>
      </c>
      <c r="D7" s="8">
        <v>0</v>
      </c>
      <c r="E7" s="8">
        <v>26</v>
      </c>
      <c r="F7" s="8">
        <v>2</v>
      </c>
      <c r="G7" s="8">
        <v>7</v>
      </c>
      <c r="H7" s="8">
        <v>0</v>
      </c>
      <c r="I7" s="8">
        <v>14</v>
      </c>
      <c r="J7" s="8">
        <v>56</v>
      </c>
      <c r="K7" s="9">
        <v>105</v>
      </c>
    </row>
    <row r="8" spans="1:11" x14ac:dyDescent="0.25">
      <c r="A8" t="s">
        <v>22</v>
      </c>
    </row>
  </sheetData>
  <mergeCells count="8">
    <mergeCell ref="J1:J2"/>
    <mergeCell ref="K1:K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opLeftCell="A3" workbookViewId="0">
      <selection activeCell="K9" sqref="K9"/>
    </sheetView>
  </sheetViews>
  <sheetFormatPr defaultRowHeight="49.5" customHeight="1" x14ac:dyDescent="0.2"/>
  <cols>
    <col min="1" max="1" width="6.85546875" style="41" customWidth="1"/>
    <col min="2" max="3" width="7.5703125" style="41" customWidth="1"/>
    <col min="4" max="4" width="88.28515625" style="41" customWidth="1"/>
    <col min="5" max="5" width="6.7109375" style="41" customWidth="1"/>
    <col min="6" max="6" width="10.140625" style="41" customWidth="1"/>
    <col min="7" max="7" width="9.140625" style="41"/>
    <col min="8" max="8" width="6.85546875" style="41" customWidth="1"/>
    <col min="9" max="9" width="9.140625" style="41"/>
    <col min="10" max="10" width="6" style="41" customWidth="1"/>
    <col min="11" max="11" width="9.140625" style="41"/>
    <col min="12" max="12" width="34.140625" style="41" customWidth="1"/>
    <col min="13" max="16384" width="9.140625" style="41"/>
  </cols>
  <sheetData>
    <row r="1" spans="1:12" ht="21.75" customHeight="1" x14ac:dyDescent="0.2">
      <c r="A1" s="18" t="s">
        <v>78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1.75" customHeight="1" x14ac:dyDescent="0.2">
      <c r="A2" s="18" t="s">
        <v>23</v>
      </c>
      <c r="B2" s="18" t="s">
        <v>23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3" customHeight="1" x14ac:dyDescent="0.2">
      <c r="A3" s="20" t="s">
        <v>24</v>
      </c>
      <c r="B3" s="20" t="s">
        <v>25</v>
      </c>
      <c r="C3" s="20" t="s">
        <v>26</v>
      </c>
      <c r="D3" s="21" t="s">
        <v>27</v>
      </c>
      <c r="E3" s="21" t="s">
        <v>0</v>
      </c>
      <c r="F3" s="21" t="s">
        <v>79</v>
      </c>
      <c r="G3" s="21" t="s">
        <v>28</v>
      </c>
      <c r="H3" s="21" t="s">
        <v>29</v>
      </c>
      <c r="I3" s="21" t="s">
        <v>30</v>
      </c>
      <c r="J3" s="21" t="s">
        <v>31</v>
      </c>
      <c r="K3" s="22" t="s">
        <v>32</v>
      </c>
      <c r="L3" s="23" t="s">
        <v>33</v>
      </c>
    </row>
    <row r="4" spans="1:12" ht="16.5" customHeight="1" x14ac:dyDescent="0.2">
      <c r="A4" s="24" t="s">
        <v>34</v>
      </c>
      <c r="B4" s="25" t="s">
        <v>35</v>
      </c>
      <c r="C4" s="25" t="s">
        <v>36</v>
      </c>
      <c r="D4" s="25"/>
      <c r="E4" s="25"/>
      <c r="F4" s="25"/>
      <c r="G4" s="25"/>
      <c r="H4" s="25" t="s">
        <v>37</v>
      </c>
      <c r="I4" s="25"/>
      <c r="J4" s="25"/>
      <c r="K4" s="26"/>
      <c r="L4" s="27" t="s">
        <v>38</v>
      </c>
    </row>
    <row r="5" spans="1:12" ht="49.5" customHeight="1" x14ac:dyDescent="0.2">
      <c r="A5" s="34"/>
      <c r="B5" s="28" t="s">
        <v>39</v>
      </c>
      <c r="C5" s="28" t="s">
        <v>40</v>
      </c>
      <c r="D5" s="28" t="s">
        <v>41</v>
      </c>
      <c r="E5" s="28" t="s">
        <v>57</v>
      </c>
      <c r="F5" s="28" t="s">
        <v>80</v>
      </c>
      <c r="G5" s="28" t="s">
        <v>43</v>
      </c>
      <c r="H5" s="28" t="s">
        <v>44</v>
      </c>
      <c r="I5" s="28" t="s">
        <v>45</v>
      </c>
      <c r="J5" s="28" t="s">
        <v>46</v>
      </c>
      <c r="K5" s="28" t="s">
        <v>47</v>
      </c>
      <c r="L5" s="28" t="s">
        <v>48</v>
      </c>
    </row>
    <row r="6" spans="1:12" ht="49.5" customHeight="1" x14ac:dyDescent="0.2">
      <c r="A6" s="34"/>
      <c r="B6" s="28" t="s">
        <v>49</v>
      </c>
      <c r="C6" s="28" t="s">
        <v>50</v>
      </c>
      <c r="D6" s="28" t="s">
        <v>51</v>
      </c>
      <c r="E6" s="28" t="s">
        <v>57</v>
      </c>
      <c r="F6" s="28" t="s">
        <v>80</v>
      </c>
      <c r="G6" s="28" t="s">
        <v>43</v>
      </c>
      <c r="H6" s="28" t="s">
        <v>44</v>
      </c>
      <c r="I6" s="28" t="s">
        <v>45</v>
      </c>
      <c r="J6" s="28" t="s">
        <v>46</v>
      </c>
      <c r="K6" s="28" t="s">
        <v>58</v>
      </c>
      <c r="L6" s="28" t="s">
        <v>52</v>
      </c>
    </row>
    <row r="7" spans="1:12" ht="49.5" customHeight="1" x14ac:dyDescent="0.2">
      <c r="A7" s="34"/>
      <c r="B7" s="28" t="s">
        <v>53</v>
      </c>
      <c r="C7" s="28" t="s">
        <v>54</v>
      </c>
      <c r="D7" s="28" t="s">
        <v>55</v>
      </c>
      <c r="E7" s="28" t="s">
        <v>46</v>
      </c>
      <c r="F7" s="28" t="s">
        <v>81</v>
      </c>
      <c r="G7" s="28" t="s">
        <v>56</v>
      </c>
      <c r="H7" s="28" t="s">
        <v>44</v>
      </c>
      <c r="I7" s="28" t="s">
        <v>45</v>
      </c>
      <c r="J7" s="28" t="s">
        <v>57</v>
      </c>
      <c r="K7" s="28" t="s">
        <v>47</v>
      </c>
      <c r="L7" s="28" t="s">
        <v>59</v>
      </c>
    </row>
    <row r="8" spans="1:12" ht="49.5" customHeight="1" x14ac:dyDescent="0.2">
      <c r="A8" s="34"/>
      <c r="B8" s="28" t="s">
        <v>60</v>
      </c>
      <c r="C8" s="28" t="s">
        <v>61</v>
      </c>
      <c r="D8" s="28" t="s">
        <v>62</v>
      </c>
      <c r="E8" s="28" t="s">
        <v>42</v>
      </c>
      <c r="F8" s="28" t="s">
        <v>81</v>
      </c>
      <c r="G8" s="28" t="s">
        <v>56</v>
      </c>
      <c r="H8" s="28" t="s">
        <v>44</v>
      </c>
      <c r="I8" s="28" t="s">
        <v>45</v>
      </c>
      <c r="J8" s="28" t="s">
        <v>57</v>
      </c>
      <c r="K8" s="28" t="s">
        <v>74</v>
      </c>
      <c r="L8" s="28" t="s">
        <v>63</v>
      </c>
    </row>
    <row r="9" spans="1:12" ht="49.5" customHeight="1" x14ac:dyDescent="0.2">
      <c r="A9" s="34"/>
      <c r="B9" s="28" t="s">
        <v>64</v>
      </c>
      <c r="C9" s="28" t="s">
        <v>65</v>
      </c>
      <c r="D9" s="28" t="s">
        <v>66</v>
      </c>
      <c r="E9" s="28" t="s">
        <v>75</v>
      </c>
      <c r="F9" s="28" t="s">
        <v>80</v>
      </c>
      <c r="G9" s="28" t="s">
        <v>56</v>
      </c>
      <c r="H9" s="28" t="s">
        <v>44</v>
      </c>
      <c r="I9" s="28" t="s">
        <v>45</v>
      </c>
      <c r="J9" s="28" t="s">
        <v>57</v>
      </c>
      <c r="K9" s="28" t="s">
        <v>74</v>
      </c>
      <c r="L9" s="28" t="s">
        <v>67</v>
      </c>
    </row>
    <row r="10" spans="1:12" ht="49.5" customHeight="1" x14ac:dyDescent="0.2">
      <c r="A10" s="34"/>
      <c r="B10" s="28" t="s">
        <v>68</v>
      </c>
      <c r="C10" s="28" t="s">
        <v>69</v>
      </c>
      <c r="D10" s="28" t="s">
        <v>70</v>
      </c>
      <c r="E10" s="28" t="s">
        <v>73</v>
      </c>
      <c r="F10" s="28" t="s">
        <v>81</v>
      </c>
      <c r="G10" s="28" t="s">
        <v>56</v>
      </c>
      <c r="H10" s="28" t="s">
        <v>44</v>
      </c>
      <c r="I10" s="28" t="s">
        <v>45</v>
      </c>
      <c r="J10" s="28" t="s">
        <v>46</v>
      </c>
      <c r="K10" s="28" t="s">
        <v>71</v>
      </c>
      <c r="L10" s="28" t="s">
        <v>72</v>
      </c>
    </row>
    <row r="11" spans="1:12" s="19" customFormat="1" ht="49.5" customHeight="1" x14ac:dyDescent="0.2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5" sqref="A5"/>
    </sheetView>
  </sheetViews>
  <sheetFormatPr defaultRowHeight="15" x14ac:dyDescent="0.25"/>
  <cols>
    <col min="1" max="1" width="19.28515625" customWidth="1"/>
    <col min="2" max="2" width="9.140625" customWidth="1"/>
    <col min="4" max="4" width="8.85546875" customWidth="1"/>
    <col min="5" max="5" width="8.140625" customWidth="1"/>
    <col min="6" max="6" width="8.85546875" customWidth="1"/>
    <col min="7" max="7" width="8.42578125" customWidth="1"/>
    <col min="8" max="8" width="8.85546875" customWidth="1"/>
    <col min="10" max="10" width="8.7109375" customWidth="1"/>
    <col min="13" max="13" width="10.140625" bestFit="1" customWidth="1"/>
  </cols>
  <sheetData>
    <row r="1" spans="1:13" ht="18.75" x14ac:dyDescent="0.3">
      <c r="A1" s="37" t="str">
        <f ca="1">CONCATENATE("Sammendrag av feillogg ", TEXT(DAY(NOW()),"00"), ".", TEXT(MONTH(NOW()),"00"), ".", YEAR(NOW()))</f>
        <v>Sammendrag av feillogg 23.07.2015</v>
      </c>
      <c r="B1" s="37"/>
      <c r="C1" s="37"/>
      <c r="D1" s="37"/>
      <c r="E1" s="37"/>
      <c r="F1" s="37"/>
      <c r="G1" s="37"/>
      <c r="H1" s="37"/>
      <c r="I1" s="37"/>
      <c r="J1" s="37"/>
      <c r="K1" s="35"/>
      <c r="L1" s="35"/>
      <c r="M1" s="40"/>
    </row>
    <row r="2" spans="1:13" x14ac:dyDescent="0.25">
      <c r="A2" s="29"/>
      <c r="B2" s="29"/>
      <c r="D2" s="36"/>
      <c r="E2" s="35"/>
      <c r="F2" s="35"/>
      <c r="G2" s="35"/>
      <c r="H2" s="35"/>
      <c r="I2" s="35"/>
      <c r="J2" s="35"/>
      <c r="K2" s="35"/>
      <c r="L2" s="35"/>
      <c r="M2" s="35"/>
    </row>
    <row r="3" spans="1:13" x14ac:dyDescent="0.25">
      <c r="A3" s="38" t="s">
        <v>8</v>
      </c>
      <c r="K3" s="35"/>
      <c r="L3" s="35"/>
      <c r="M3" s="35"/>
    </row>
    <row r="4" spans="1:13" ht="45" x14ac:dyDescent="0.25">
      <c r="A4" s="30" t="s">
        <v>83</v>
      </c>
      <c r="B4" s="31" t="s">
        <v>76</v>
      </c>
      <c r="C4" s="31" t="s">
        <v>5</v>
      </c>
      <c r="D4" s="31" t="s">
        <v>2</v>
      </c>
      <c r="E4" s="33" t="s">
        <v>82</v>
      </c>
      <c r="F4" s="33" t="s">
        <v>85</v>
      </c>
      <c r="G4" s="31" t="s">
        <v>7</v>
      </c>
      <c r="H4" s="31" t="s">
        <v>6</v>
      </c>
      <c r="I4" s="31" t="s">
        <v>77</v>
      </c>
      <c r="J4" s="31" t="s">
        <v>8</v>
      </c>
      <c r="K4" s="35"/>
      <c r="L4" s="35"/>
      <c r="M4" s="35"/>
    </row>
    <row r="5" spans="1:13" x14ac:dyDescent="0.25">
      <c r="A5" s="32" t="s">
        <v>10</v>
      </c>
      <c r="B5" s="39">
        <f>COUNTIFS(Feillogg!$E:$E,"01",Feillogg!$K:$K,"A")</f>
        <v>1</v>
      </c>
      <c r="C5" s="39">
        <f>COUNTIFS(Feillogg!$E:$E,"02",Feillogg!$K:$K,"A")</f>
        <v>0</v>
      </c>
      <c r="D5" s="39">
        <f>COUNTIFS(Feillogg!$E:$E,"03",Feillogg!$K:$K,"A")</f>
        <v>0</v>
      </c>
      <c r="E5" s="39">
        <f>COUNTIFS(Feillogg!$E:$E,"04",Feillogg!$K:$K,"A")</f>
        <v>0</v>
      </c>
      <c r="F5" s="39">
        <f>COUNTIFS(Feillogg!$E:$E,"05",Feillogg!$K:$K,"A")</f>
        <v>0</v>
      </c>
      <c r="G5" s="39">
        <f>COUNTIFS(Feillogg!$E:$E,"06",Feillogg!$K:$K,"A")</f>
        <v>0</v>
      </c>
      <c r="H5" s="39">
        <f>COUNTIFS(Feillogg!$E:$E,"07",Feillogg!$K:$K,"A")</f>
        <v>0</v>
      </c>
      <c r="I5" s="39">
        <f>COUNTIFS(Feillogg!$E:$E,"08",Feillogg!$K:$K,"A")</f>
        <v>0</v>
      </c>
      <c r="J5" s="31">
        <f>SUM(B5:I5)</f>
        <v>1</v>
      </c>
      <c r="K5" s="35"/>
      <c r="L5" s="35"/>
      <c r="M5" s="35"/>
    </row>
    <row r="6" spans="1:13" x14ac:dyDescent="0.25">
      <c r="A6" s="32" t="s">
        <v>11</v>
      </c>
      <c r="B6" s="39">
        <f>COUNTIFS(Feillogg!$E:$E,"01",Feillogg!$K:$K,"B")</f>
        <v>1</v>
      </c>
      <c r="C6" s="39">
        <f>COUNTIFS(Feillogg!$E:$E,"02",Feillogg!$K:$K,"B")</f>
        <v>1</v>
      </c>
      <c r="D6" s="39">
        <f>COUNTIFS(Feillogg!$E:$E,"03",Feillogg!$K:$K,"B")</f>
        <v>0</v>
      </c>
      <c r="E6" s="39">
        <f>COUNTIFS(Feillogg!$E:$E,"04",Feillogg!$K:$K,"B")</f>
        <v>0</v>
      </c>
      <c r="F6" s="39">
        <f>COUNTIFS(Feillogg!$E:$E,"05",Feillogg!$K:$K,"B")</f>
        <v>0</v>
      </c>
      <c r="G6" s="39">
        <f>COUNTIFS(Feillogg!$E:$E,"06",Feillogg!$K:$K,"B")</f>
        <v>0</v>
      </c>
      <c r="H6" s="39">
        <f>COUNTIFS(Feillogg!$E:$E,"07",Feillogg!$K:$K,"B")</f>
        <v>0</v>
      </c>
      <c r="I6" s="39">
        <f>COUNTIFS(Feillogg!$E:$E,"08",Feillogg!$K:$K,"B")</f>
        <v>0</v>
      </c>
      <c r="J6" s="31">
        <f t="shared" ref="J6:J8" si="0">SUM(B6:I6)</f>
        <v>2</v>
      </c>
      <c r="L6" s="35"/>
      <c r="M6" s="35"/>
    </row>
    <row r="7" spans="1:13" x14ac:dyDescent="0.25">
      <c r="A7" s="32" t="s">
        <v>12</v>
      </c>
      <c r="B7" s="39">
        <f>COUNTIFS(Feillogg!$E:$E,"01",Feillogg!$K:$K,"C")</f>
        <v>0</v>
      </c>
      <c r="C7" s="39">
        <f>COUNTIFS(Feillogg!$E:$E,"02",Feillogg!$K:$K,"C")</f>
        <v>0</v>
      </c>
      <c r="D7" s="39">
        <f>COUNTIFS(Feillogg!$E:$E,"03",Feillogg!$K:$K,"C")</f>
        <v>0</v>
      </c>
      <c r="E7" s="39">
        <f>COUNTIFS(Feillogg!$E:$E,"04",Feillogg!$K:$K,"C")</f>
        <v>0</v>
      </c>
      <c r="F7" s="39">
        <f>COUNTIFS(Feillogg!$E:$E,"05",Feillogg!$K:$K,"C")</f>
        <v>0</v>
      </c>
      <c r="G7" s="39">
        <f>COUNTIFS(Feillogg!$E:$E,"06",Feillogg!$K:$K,"C")</f>
        <v>0</v>
      </c>
      <c r="H7" s="39">
        <f>COUNTIFS(Feillogg!$E:$E,"07",Feillogg!$K:$K,"C")</f>
        <v>0</v>
      </c>
      <c r="I7" s="39">
        <f>COUNTIFS(Feillogg!$E:$E,"08",Feillogg!$K:$K,"C")</f>
        <v>1</v>
      </c>
      <c r="J7" s="31">
        <f t="shared" si="0"/>
        <v>1</v>
      </c>
    </row>
    <row r="8" spans="1:13" x14ac:dyDescent="0.25">
      <c r="A8" s="32" t="s">
        <v>84</v>
      </c>
      <c r="B8" s="39">
        <f>COUNTIFS(Feillogg!$E:$E,"01",Feillogg!$K:$K,"D")</f>
        <v>0</v>
      </c>
      <c r="C8" s="39">
        <f>COUNTIFS(Feillogg!$E:$E,"02",Feillogg!$K:$K,"D")</f>
        <v>0</v>
      </c>
      <c r="D8" s="39">
        <f>COUNTIFS(Feillogg!$E:$E,"03",Feillogg!$K:$K,"D")</f>
        <v>0</v>
      </c>
      <c r="E8" s="39">
        <f>COUNTIFS(Feillogg!$E:$E,"04",Feillogg!$K:$K,"D")</f>
        <v>1</v>
      </c>
      <c r="F8" s="39">
        <f>COUNTIFS(Feillogg!$E:$E,"05",Feillogg!$K:$K,"D")</f>
        <v>0</v>
      </c>
      <c r="G8" s="39">
        <f>COUNTIFS(Feillogg!$E:$E,"06",Feillogg!$K:$K,"D")</f>
        <v>1</v>
      </c>
      <c r="H8" s="39">
        <f>COUNTIFS(Feillogg!$E:$E,"07",Feillogg!$K:$K,"D")</f>
        <v>0</v>
      </c>
      <c r="I8" s="39">
        <f>COUNTIFS(Feillogg!$E:$E,"08",Feillogg!$K:$K,"D")</f>
        <v>0</v>
      </c>
      <c r="J8" s="31">
        <f t="shared" si="0"/>
        <v>2</v>
      </c>
    </row>
    <row r="9" spans="1:13" x14ac:dyDescent="0.25">
      <c r="A9" s="32" t="s">
        <v>8</v>
      </c>
      <c r="B9" s="31">
        <f>SUM(B5:B8)</f>
        <v>2</v>
      </c>
      <c r="C9" s="31">
        <f>SUM(C5:C8)</f>
        <v>1</v>
      </c>
      <c r="D9" s="31">
        <f>SUM(D5:D8)</f>
        <v>0</v>
      </c>
      <c r="E9" s="31">
        <f>SUM(E5:E8)</f>
        <v>1</v>
      </c>
      <c r="F9" s="31">
        <f>SUM(F5:F8)</f>
        <v>0</v>
      </c>
      <c r="G9" s="31">
        <f>SUM(G5:G8)</f>
        <v>1</v>
      </c>
      <c r="H9" s="31">
        <f>SUM(H5:H8)</f>
        <v>0</v>
      </c>
      <c r="I9" s="31">
        <f>SUM(I5:I8)</f>
        <v>1</v>
      </c>
      <c r="J9" s="31">
        <f>SUM(J5:J8)</f>
        <v>6</v>
      </c>
    </row>
    <row r="11" spans="1:13" x14ac:dyDescent="0.25">
      <c r="A11" s="38" t="s">
        <v>80</v>
      </c>
    </row>
    <row r="12" spans="1:13" ht="45" x14ac:dyDescent="0.25">
      <c r="A12" s="30" t="s">
        <v>83</v>
      </c>
      <c r="B12" s="31" t="s">
        <v>76</v>
      </c>
      <c r="C12" s="31" t="s">
        <v>5</v>
      </c>
      <c r="D12" s="31" t="s">
        <v>2</v>
      </c>
      <c r="E12" s="33" t="s">
        <v>82</v>
      </c>
      <c r="F12" s="33" t="s">
        <v>85</v>
      </c>
      <c r="G12" s="31" t="s">
        <v>7</v>
      </c>
      <c r="H12" s="31" t="s">
        <v>6</v>
      </c>
      <c r="I12" s="31" t="s">
        <v>77</v>
      </c>
      <c r="J12" s="31" t="s">
        <v>8</v>
      </c>
    </row>
    <row r="13" spans="1:13" x14ac:dyDescent="0.25">
      <c r="A13" s="32" t="s">
        <v>10</v>
      </c>
      <c r="B13" s="39">
        <f>COUNTIFS(Feillogg!$E:$E,"01",Feillogg!$F:$F,"HT",Feillogg!$K:$K,"A")</f>
        <v>0</v>
      </c>
      <c r="C13" s="39">
        <f>COUNTIFS(Feillogg!$E:$E,"02",Feillogg!$F:$F,"HT",Feillogg!$K:$K,"A")</f>
        <v>0</v>
      </c>
      <c r="D13" s="39">
        <f>COUNTIFS(Feillogg!$E:$E,"03",Feillogg!$F:$F,"HT",Feillogg!$K:$K,"A")</f>
        <v>0</v>
      </c>
      <c r="E13" s="39">
        <f>COUNTIFS(Feillogg!$E:$E,"04",Feillogg!$F:$F,"HT",Feillogg!$K:$K,"A")</f>
        <v>0</v>
      </c>
      <c r="F13" s="39">
        <f>COUNTIFS(Feillogg!$E:$E,"05",Feillogg!$F:$F,"HT",Feillogg!$K:$K,"A")</f>
        <v>0</v>
      </c>
      <c r="G13" s="39">
        <f>COUNTIFS(Feillogg!$E:$E,"06",Feillogg!$F:$F,"HT",Feillogg!$K:$K,"A")</f>
        <v>0</v>
      </c>
      <c r="H13" s="39">
        <f>COUNTIFS(Feillogg!$E:$E,"07",Feillogg!$F:$F,"HT",Feillogg!$K:$K,"A")</f>
        <v>0</v>
      </c>
      <c r="I13" s="39">
        <f>COUNTIFS(Feillogg!$E:$E,"08",Feillogg!$F:$F,"HT",Feillogg!$K:$K,"A")</f>
        <v>0</v>
      </c>
      <c r="J13" s="31">
        <f>SUM(B13:I13)</f>
        <v>0</v>
      </c>
    </row>
    <row r="14" spans="1:13" x14ac:dyDescent="0.25">
      <c r="A14" s="32" t="s">
        <v>11</v>
      </c>
      <c r="B14" s="39">
        <f>COUNTIFS(Feillogg!$E:$E,"01",Feillogg!$F:$F,"HT",Feillogg!$K:$K,"B")</f>
        <v>0</v>
      </c>
      <c r="C14" s="39">
        <f>COUNTIFS(Feillogg!$E:$E,"02",Feillogg!$F:$F,"HT",Feillogg!$K:$K,"B")</f>
        <v>1</v>
      </c>
      <c r="D14" s="39">
        <f>COUNTIFS(Feillogg!$E:$E,"03",Feillogg!$F:$F,"HT",Feillogg!$K:$K,"B")</f>
        <v>0</v>
      </c>
      <c r="E14" s="39">
        <f>COUNTIFS(Feillogg!$E:$E,"04",Feillogg!$F:$F,"HT",Feillogg!$K:$K,"B")</f>
        <v>0</v>
      </c>
      <c r="F14" s="39">
        <f>COUNTIFS(Feillogg!$E:$E,"05",Feillogg!$F:$F,"HT",Feillogg!$K:$K,"B")</f>
        <v>0</v>
      </c>
      <c r="G14" s="39">
        <f>COUNTIFS(Feillogg!$E:$E,"06",Feillogg!$F:$F,"HT",Feillogg!$K:$K,"B")</f>
        <v>0</v>
      </c>
      <c r="H14" s="39">
        <f>COUNTIFS(Feillogg!$E:$E,"07",Feillogg!$F:$F,"HT",Feillogg!$K:$K,"B")</f>
        <v>0</v>
      </c>
      <c r="I14" s="39">
        <f>COUNTIFS(Feillogg!$E:$E,"08",Feillogg!$F:$F,"HT",Feillogg!$K:$K,"B")</f>
        <v>0</v>
      </c>
      <c r="J14" s="31">
        <f t="shared" ref="J14:J16" si="1">SUM(B14:I14)</f>
        <v>1</v>
      </c>
    </row>
    <row r="15" spans="1:13" x14ac:dyDescent="0.25">
      <c r="A15" s="32" t="s">
        <v>12</v>
      </c>
      <c r="B15" s="39">
        <f>COUNTIFS(Feillogg!$E:$E,"01",Feillogg!$F:$F,"HT",Feillogg!$K:$K,"C")</f>
        <v>0</v>
      </c>
      <c r="C15" s="39">
        <f>COUNTIFS(Feillogg!$E:$E,"02",Feillogg!$F:$F,"HT",Feillogg!$K:$K,"C")</f>
        <v>0</v>
      </c>
      <c r="D15" s="39">
        <f>COUNTIFS(Feillogg!$E:$E,"03",Feillogg!$F:$F,"HT",Feillogg!$K:$K,"C")</f>
        <v>0</v>
      </c>
      <c r="E15" s="39">
        <f>COUNTIFS(Feillogg!$E:$E,"04",Feillogg!$F:$F,"HT",Feillogg!$K:$K,"C")</f>
        <v>0</v>
      </c>
      <c r="F15" s="39">
        <f>COUNTIFS(Feillogg!$E:$E,"05",Feillogg!$F:$F,"HT",Feillogg!$K:$K,"C")</f>
        <v>0</v>
      </c>
      <c r="G15" s="39">
        <f>COUNTIFS(Feillogg!$E:$E,"06",Feillogg!$F:$F,"HT",Feillogg!$K:$K,"C")</f>
        <v>0</v>
      </c>
      <c r="H15" s="39">
        <f>COUNTIFS(Feillogg!$E:$E,"07",Feillogg!$F:$F,"HT",Feillogg!$K:$K,"C")</f>
        <v>0</v>
      </c>
      <c r="I15" s="39">
        <f>COUNTIFS(Feillogg!$E:$E,"08",Feillogg!$F:$F,"HT",Feillogg!$K:$K,"C")</f>
        <v>1</v>
      </c>
      <c r="J15" s="31">
        <f t="shared" si="1"/>
        <v>1</v>
      </c>
    </row>
    <row r="16" spans="1:13" x14ac:dyDescent="0.25">
      <c r="A16" s="32" t="s">
        <v>84</v>
      </c>
      <c r="B16" s="39">
        <f>COUNTIFS(Feillogg!$E:$E,"01",Feillogg!$F:$F,"HT",Feillogg!$K:$K,"D")</f>
        <v>0</v>
      </c>
      <c r="C16" s="39">
        <f>COUNTIFS(Feillogg!$E:$E,"02",Feillogg!$F:$F,"HT",Feillogg!$K:$K,"D")</f>
        <v>0</v>
      </c>
      <c r="D16" s="39">
        <f>COUNTIFS(Feillogg!$E:$E,"03",Feillogg!$F:$F,"HT",Feillogg!$K:$K,"D")</f>
        <v>0</v>
      </c>
      <c r="E16" s="39">
        <f>COUNTIFS(Feillogg!$E:$E,"04",Feillogg!$F:$F,"HT",Feillogg!$K:$K,"D")</f>
        <v>0</v>
      </c>
      <c r="F16" s="39">
        <f>COUNTIFS(Feillogg!$E:$E,"05",Feillogg!$F:$F,"HT",Feillogg!$K:$K,"D")</f>
        <v>0</v>
      </c>
      <c r="G16" s="39">
        <f>COUNTIFS(Feillogg!$E:$E,"06",Feillogg!$F:$F,"HT",Feillogg!$K:$K,"D")</f>
        <v>1</v>
      </c>
      <c r="H16" s="39">
        <f>COUNTIFS(Feillogg!$E:$E,"07",Feillogg!$F:$F,"HT",Feillogg!$K:$K,"D")</f>
        <v>0</v>
      </c>
      <c r="I16" s="39">
        <f>COUNTIFS(Feillogg!$E:$E,"08",Feillogg!$F:$F,"HT",Feillogg!$K:$K,"D")</f>
        <v>0</v>
      </c>
      <c r="J16" s="31">
        <f t="shared" si="1"/>
        <v>1</v>
      </c>
    </row>
    <row r="17" spans="1:10" x14ac:dyDescent="0.25">
      <c r="A17" s="32" t="s">
        <v>8</v>
      </c>
      <c r="B17" s="31">
        <f>SUM(B13:B16)</f>
        <v>0</v>
      </c>
      <c r="C17" s="31">
        <f>SUM(C13:C16)</f>
        <v>1</v>
      </c>
      <c r="D17" s="31">
        <f>SUM(D13:D16)</f>
        <v>0</v>
      </c>
      <c r="E17" s="31">
        <f>SUM(E13:E16)</f>
        <v>0</v>
      </c>
      <c r="F17" s="31">
        <f>SUM(F13:F16)</f>
        <v>0</v>
      </c>
      <c r="G17" s="31">
        <f>SUM(G13:G16)</f>
        <v>1</v>
      </c>
      <c r="H17" s="31">
        <f>SUM(H13:H16)</f>
        <v>0</v>
      </c>
      <c r="I17" s="31">
        <f>SUM(I13:I16)</f>
        <v>1</v>
      </c>
      <c r="J17" s="31">
        <f>SUM(J13:J16)</f>
        <v>3</v>
      </c>
    </row>
    <row r="19" spans="1:10" x14ac:dyDescent="0.25">
      <c r="A19" s="38" t="s">
        <v>81</v>
      </c>
    </row>
    <row r="20" spans="1:10" ht="45" x14ac:dyDescent="0.25">
      <c r="A20" s="30" t="s">
        <v>83</v>
      </c>
      <c r="B20" s="31" t="s">
        <v>76</v>
      </c>
      <c r="C20" s="31" t="s">
        <v>5</v>
      </c>
      <c r="D20" s="31" t="s">
        <v>2</v>
      </c>
      <c r="E20" s="33" t="s">
        <v>82</v>
      </c>
      <c r="F20" s="33" t="s">
        <v>85</v>
      </c>
      <c r="G20" s="31" t="s">
        <v>7</v>
      </c>
      <c r="H20" s="31" t="s">
        <v>6</v>
      </c>
      <c r="I20" s="31" t="s">
        <v>77</v>
      </c>
      <c r="J20" s="31" t="s">
        <v>8</v>
      </c>
    </row>
    <row r="21" spans="1:10" x14ac:dyDescent="0.25">
      <c r="A21" s="32" t="s">
        <v>10</v>
      </c>
      <c r="B21" s="39">
        <f>COUNTIFS(Feillogg!$E:$E,"01",Feillogg!$F:$F,"sD2",Feillogg!$K:$K,"A")</f>
        <v>1</v>
      </c>
      <c r="C21" s="39">
        <f>COUNTIFS(Feillogg!$E:$E,"02",Feillogg!$F:$F,"sD2",Feillogg!$K:$K,"A")</f>
        <v>0</v>
      </c>
      <c r="D21" s="39">
        <f>COUNTIFS(Feillogg!$E:$E,"03",Feillogg!$F:$F,"sD2",Feillogg!$K:$K,"A")</f>
        <v>0</v>
      </c>
      <c r="E21" s="39">
        <f>COUNTIFS(Feillogg!$E:$E,"04",Feillogg!$F:$F,"sD2",Feillogg!$K:$K,"A")</f>
        <v>0</v>
      </c>
      <c r="F21" s="39">
        <f>COUNTIFS(Feillogg!$E:$E,"05",Feillogg!$F:$F,"sD2",Feillogg!$K:$K,"A")</f>
        <v>0</v>
      </c>
      <c r="G21" s="39">
        <f>COUNTIFS(Feillogg!$E:$E,"06",Feillogg!$F:$F,"sD2",Feillogg!$K:$K,"A")</f>
        <v>0</v>
      </c>
      <c r="H21" s="39">
        <f>COUNTIFS(Feillogg!$E:$E,"07",Feillogg!$F:$F,"sD2",Feillogg!$K:$K,"A")</f>
        <v>0</v>
      </c>
      <c r="I21" s="39">
        <f>COUNTIFS(Feillogg!$E:$E,"08",Feillogg!$F:$F,"sD2",Feillogg!$K:$K,"A")</f>
        <v>0</v>
      </c>
      <c r="J21" s="31">
        <f>SUM(B21:I21)</f>
        <v>1</v>
      </c>
    </row>
    <row r="22" spans="1:10" x14ac:dyDescent="0.25">
      <c r="A22" s="32" t="s">
        <v>11</v>
      </c>
      <c r="B22" s="39">
        <f>COUNTIFS(Feillogg!$E:$E,"01",Feillogg!$F:$F,"sD2",Feillogg!$K:$K,"B")</f>
        <v>1</v>
      </c>
      <c r="C22" s="39">
        <f>COUNTIFS(Feillogg!$E:$E,"02",Feillogg!$F:$F,"sD2",Feillogg!$K:$K,"B")</f>
        <v>0</v>
      </c>
      <c r="D22" s="39">
        <f>COUNTIFS(Feillogg!$E:$E,"03",Feillogg!$F:$F,"sD2",Feillogg!$K:$K,"B")</f>
        <v>0</v>
      </c>
      <c r="E22" s="39">
        <f>COUNTIFS(Feillogg!$E:$E,"04",Feillogg!$F:$F,"sD2",Feillogg!$K:$K,"B")</f>
        <v>0</v>
      </c>
      <c r="F22" s="39">
        <f>COUNTIFS(Feillogg!$E:$E,"05",Feillogg!$F:$F,"sD2",Feillogg!$K:$K,"B")</f>
        <v>0</v>
      </c>
      <c r="G22" s="39">
        <f>COUNTIFS(Feillogg!$E:$E,"06",Feillogg!$F:$F,"sD2",Feillogg!$K:$K,"B")</f>
        <v>0</v>
      </c>
      <c r="H22" s="39">
        <f>COUNTIFS(Feillogg!$E:$E,"07",Feillogg!$F:$F,"sD2",Feillogg!$K:$K,"B")</f>
        <v>0</v>
      </c>
      <c r="I22" s="39">
        <f>COUNTIFS(Feillogg!$E:$E,"08",Feillogg!$F:$F,"sD2",Feillogg!$K:$K,"B")</f>
        <v>0</v>
      </c>
      <c r="J22" s="31">
        <f t="shared" ref="J22:J24" si="2">SUM(B22:I22)</f>
        <v>1</v>
      </c>
    </row>
    <row r="23" spans="1:10" x14ac:dyDescent="0.25">
      <c r="A23" s="32" t="s">
        <v>12</v>
      </c>
      <c r="B23" s="39">
        <f>COUNTIFS(Feillogg!$E:$E,"01",Feillogg!$F:$F,"sD2",Feillogg!$K:$K,"C")</f>
        <v>0</v>
      </c>
      <c r="C23" s="39">
        <f>COUNTIFS(Feillogg!$E:$E,"02",Feillogg!$F:$F,"sD2",Feillogg!$K:$K,"C")</f>
        <v>0</v>
      </c>
      <c r="D23" s="39">
        <f>COUNTIFS(Feillogg!$E:$E,"03",Feillogg!$F:$F,"sD2",Feillogg!$K:$K,"C")</f>
        <v>0</v>
      </c>
      <c r="E23" s="39">
        <f>COUNTIFS(Feillogg!$E:$E,"04",Feillogg!$F:$F,"sD2",Feillogg!$K:$K,"C")</f>
        <v>0</v>
      </c>
      <c r="F23" s="39">
        <f>COUNTIFS(Feillogg!$E:$E,"05",Feillogg!$F:$F,"sD2",Feillogg!$K:$K,"C")</f>
        <v>0</v>
      </c>
      <c r="G23" s="39">
        <f>COUNTIFS(Feillogg!$E:$E,"06",Feillogg!$F:$F,"sD2",Feillogg!$K:$K,"C")</f>
        <v>0</v>
      </c>
      <c r="H23" s="39">
        <f>COUNTIFS(Feillogg!$E:$E,"07",Feillogg!$F:$F,"sD2",Feillogg!$K:$K,"C")</f>
        <v>0</v>
      </c>
      <c r="I23" s="39">
        <f>COUNTIFS(Feillogg!$E:$E,"08",Feillogg!$F:$F,"sD2",Feillogg!$K:$K,"C")</f>
        <v>0</v>
      </c>
      <c r="J23" s="31">
        <f t="shared" si="2"/>
        <v>0</v>
      </c>
    </row>
    <row r="24" spans="1:10" x14ac:dyDescent="0.25">
      <c r="A24" s="32" t="s">
        <v>84</v>
      </c>
      <c r="B24" s="39">
        <f>COUNTIFS(Feillogg!$E:$E,"01",Feillogg!$F:$F,"sD2",Feillogg!$K:$K,"D")</f>
        <v>0</v>
      </c>
      <c r="C24" s="39">
        <f>COUNTIFS(Feillogg!$E:$E,"02",Feillogg!$F:$F,"sD2",Feillogg!$K:$K,"D")</f>
        <v>0</v>
      </c>
      <c r="D24" s="39">
        <f>COUNTIFS(Feillogg!$E:$E,"03",Feillogg!$F:$F,"sD2",Feillogg!$K:$K,"D")</f>
        <v>0</v>
      </c>
      <c r="E24" s="39">
        <f>COUNTIFS(Feillogg!$E:$E,"04",Feillogg!$F:$F,"sD2",Feillogg!$K:$K,"D")</f>
        <v>1</v>
      </c>
      <c r="F24" s="39">
        <f>COUNTIFS(Feillogg!$E:$E,"05",Feillogg!$F:$F,"sD2",Feillogg!$K:$K,"D")</f>
        <v>0</v>
      </c>
      <c r="G24" s="39">
        <f>COUNTIFS(Feillogg!$E:$E,"06",Feillogg!$F:$F,"sD2",Feillogg!$K:$K,"D")</f>
        <v>0</v>
      </c>
      <c r="H24" s="39">
        <f>COUNTIFS(Feillogg!$E:$E,"07",Feillogg!$F:$F,"sD2",Feillogg!$K:$K,"D")</f>
        <v>0</v>
      </c>
      <c r="I24" s="39">
        <f>COUNTIFS(Feillogg!$E:$E,"08",Feillogg!$F:$F,"sD2",Feillogg!$K:$K,"D")</f>
        <v>0</v>
      </c>
      <c r="J24" s="31">
        <f t="shared" si="2"/>
        <v>1</v>
      </c>
    </row>
    <row r="25" spans="1:10" x14ac:dyDescent="0.25">
      <c r="A25" s="32" t="s">
        <v>8</v>
      </c>
      <c r="B25" s="31">
        <f>SUM(B21:B24)</f>
        <v>2</v>
      </c>
      <c r="C25" s="31">
        <f>SUM(C21:C24)</f>
        <v>0</v>
      </c>
      <c r="D25" s="31">
        <f>SUM(D21:D24)</f>
        <v>0</v>
      </c>
      <c r="E25" s="31">
        <f>SUM(E21:E24)</f>
        <v>1</v>
      </c>
      <c r="F25" s="31">
        <f>SUM(F21:F24)</f>
        <v>0</v>
      </c>
      <c r="G25" s="31">
        <f>SUM(G21:G24)</f>
        <v>0</v>
      </c>
      <c r="H25" s="31">
        <f>SUM(H21:H24)</f>
        <v>0</v>
      </c>
      <c r="I25" s="31">
        <f>SUM(I21:I24)</f>
        <v>0</v>
      </c>
      <c r="J25" s="31">
        <f>SUM(J21:J24)</f>
        <v>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Feillogg</vt:lpstr>
      <vt:lpstr>Sammendrag</vt:lpstr>
    </vt:vector>
  </TitlesOfParts>
  <Company>EVRY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2015-07-23T08:02:21Z</dcterms:created>
  <dcterms:modified xsi:type="dcterms:W3CDTF">2015-07-23T11:35:48Z</dcterms:modified>
</cp:coreProperties>
</file>