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defaultThemeVersion="124226"/>
  <mc:AlternateContent xmlns:mc="http://schemas.openxmlformats.org/markup-compatibility/2006">
    <mc:Choice Requires="x15">
      <x15ac:absPath xmlns:x15ac="http://schemas.microsoft.com/office/spreadsheetml/2010/11/ac" url="D:\华泰电新\9. 电池\钠电池\案头\"/>
    </mc:Choice>
  </mc:AlternateContent>
  <xr:revisionPtr revIDLastSave="0" documentId="13_ncr:1_{79D5292C-FD1A-4F08-B91C-9F8607756208}" xr6:coauthVersionLast="47" xr6:coauthVersionMax="47" xr10:uidLastSave="{00000000-0000-0000-0000-000000000000}"/>
  <bookViews>
    <workbookView xWindow="-110" yWindow="-110" windowWidth="22620" windowHeight="13500" tabRatio="875" activeTab="1" xr2:uid="{00000000-000D-0000-FFFF-FFFF00000000}"/>
  </bookViews>
  <sheets>
    <sheet name="目录" sheetId="56" r:id="rId1"/>
    <sheet name="1.1业绩汇总" sheetId="55" r:id="rId2"/>
    <sheet name="1.2业绩拆分" sheetId="44" r:id="rId3"/>
    <sheet name="利润表" sheetId="62" state="hidden" r:id="rId4"/>
    <sheet name="2.1 概况&amp;方案对比" sheetId="83" r:id="rId5"/>
    <sheet name="2.2 行业空间" sheetId="84" r:id="rId6"/>
    <sheet name="2.3 材料环节情况及布局" sheetId="85" r:id="rId7"/>
    <sheet name="3.1公司简介" sheetId="51" r:id="rId8"/>
    <sheet name="3.2 年度财务数据" sheetId="68" r:id="rId9"/>
    <sheet name="3.3 季度财务数据 " sheetId="81" r:id="rId10"/>
    <sheet name="3.4费用分析" sheetId="60" r:id="rId11"/>
    <sheet name="3.5资本开支" sheetId="70" r:id="rId12"/>
    <sheet name="3.6股权激励" sheetId="67" r:id="rId13"/>
    <sheet name="4.1人事" sheetId="48" r:id="rId14"/>
    <sheet name="4.2参股公司" sheetId="63" r:id="rId15"/>
    <sheet name="4.3客户与供应商" sheetId="86" r:id="rId16"/>
  </sheets>
  <externalReferences>
    <externalReference r:id="rId17"/>
    <externalReference r:id="rId18"/>
    <externalReference r:id="rId19"/>
    <externalReference r:id="rId20"/>
    <externalReference r:id="rId21"/>
    <externalReference r:id="rId22"/>
    <externalReference r:id="rId23"/>
  </externalReferences>
  <definedNames>
    <definedName name="___Key2" localSheetId="4" hidden="1">#REF!</definedName>
    <definedName name="___Key2" localSheetId="5" hidden="1">#REF!</definedName>
    <definedName name="___Key2" localSheetId="6" hidden="1">#REF!</definedName>
    <definedName name="___Key2" localSheetId="9" hidden="1">#REF!</definedName>
    <definedName name="___Key2" hidden="1">#REF!</definedName>
    <definedName name="__123Graph_A" localSheetId="4" hidden="1">'[1]All road-work file'!#REF!</definedName>
    <definedName name="__123Graph_A" localSheetId="5" hidden="1">'[1]All road-work file'!#REF!</definedName>
    <definedName name="__123Graph_A" localSheetId="6" hidden="1">'[1]All road-work file'!#REF!</definedName>
    <definedName name="__123Graph_A" localSheetId="9" hidden="1">'[1]All road-work file'!#REF!</definedName>
    <definedName name="__123Graph_A" hidden="1">'[1]All road-work file'!#REF!</definedName>
    <definedName name="__123Graph_B" localSheetId="4" hidden="1">#REF!</definedName>
    <definedName name="__123Graph_B" localSheetId="5" hidden="1">#REF!</definedName>
    <definedName name="__123Graph_B" localSheetId="6" hidden="1">#REF!</definedName>
    <definedName name="__123Graph_B" localSheetId="9" hidden="1">#REF!</definedName>
    <definedName name="__123Graph_B" hidden="1">#REF!</definedName>
    <definedName name="__123Graph_X" localSheetId="4" hidden="1">'[1]All road-work file'!#REF!</definedName>
    <definedName name="__123Graph_X" localSheetId="5" hidden="1">'[1]All road-work file'!#REF!</definedName>
    <definedName name="__123Graph_X" localSheetId="6" hidden="1">'[1]All road-work file'!#REF!</definedName>
    <definedName name="__123Graph_X" localSheetId="9" hidden="1">'[1]All road-work file'!#REF!</definedName>
    <definedName name="__123Graph_X" hidden="1">'[1]All road-work file'!#REF!</definedName>
    <definedName name="__FDS_HYPERLINK_TOGGLE_STATE__" hidden="1">"ON"</definedName>
    <definedName name="__FDS_UNIQUE_RANGE_ID_GENERATOR_COUNTER" hidden="1">1</definedName>
    <definedName name="__Key2" localSheetId="4" hidden="1">#REF!</definedName>
    <definedName name="__Key2" localSheetId="5" hidden="1">#REF!</definedName>
    <definedName name="__Key2" localSheetId="6" hidden="1">#REF!</definedName>
    <definedName name="__Key2" localSheetId="9" hidden="1">#REF!</definedName>
    <definedName name="__Key2" hidden="1">#REF!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u102.ShareScalingFactor" hidden="1">1000000</definedName>
    <definedName name="_cu103.EmployeeScalingFactor" hidden="1">1000</definedName>
    <definedName name="_cu107.DPSSymbol" hidden="1">"€"</definedName>
    <definedName name="_cu107.EPSSymbol" hidden="1">"€"</definedName>
    <definedName name="_cu71.ScalingFactor" hidden="1">1000000</definedName>
    <definedName name="_Fill" localSheetId="4" hidden="1">#REF!</definedName>
    <definedName name="_Fill" localSheetId="5" hidden="1">#REF!</definedName>
    <definedName name="_Fill" localSheetId="6" hidden="1">#REF!</definedName>
    <definedName name="_Fill" localSheetId="9" hidden="1">#REF!</definedName>
    <definedName name="_Fill" hidden="1">#REF!</definedName>
    <definedName name="_Key1" localSheetId="4" hidden="1">#REF!</definedName>
    <definedName name="_Key1" localSheetId="5" hidden="1">#REF!</definedName>
    <definedName name="_Key1" localSheetId="6" hidden="1">#REF!</definedName>
    <definedName name="_Key1" localSheetId="9" hidden="1">#REF!</definedName>
    <definedName name="_Key1" hidden="1">#REF!</definedName>
    <definedName name="_Key2" localSheetId="4" hidden="1">#REF!</definedName>
    <definedName name="_Key2" localSheetId="5" hidden="1">#REF!</definedName>
    <definedName name="_Key2" localSheetId="6" hidden="1">#REF!</definedName>
    <definedName name="_Key2" localSheetId="9" hidden="1">#REF!</definedName>
    <definedName name="_Key2" hidden="1">#REF!</definedName>
    <definedName name="_MatMult_A" localSheetId="4" hidden="1">#REF!</definedName>
    <definedName name="_MatMult_A" localSheetId="5" hidden="1">#REF!</definedName>
    <definedName name="_MatMult_A" localSheetId="6" hidden="1">#REF!</definedName>
    <definedName name="_MatMult_A" localSheetId="9" hidden="1">#REF!</definedName>
    <definedName name="_MatMult_A" hidden="1">#REF!</definedName>
    <definedName name="_MatMult_AxB" localSheetId="4" hidden="1">#REF!</definedName>
    <definedName name="_MatMult_AxB" localSheetId="5" hidden="1">#REF!</definedName>
    <definedName name="_MatMult_AxB" localSheetId="6" hidden="1">#REF!</definedName>
    <definedName name="_MatMult_AxB" localSheetId="9" hidden="1">#REF!</definedName>
    <definedName name="_MatMult_AxB" hidden="1">#REF!</definedName>
    <definedName name="_MatMult_B" localSheetId="9" hidden="1">#REF!</definedName>
    <definedName name="_MatMult_B" hidden="1">#REF!</definedName>
    <definedName name="_Order1" hidden="1">255</definedName>
    <definedName name="_Order2" hidden="1">255</definedName>
    <definedName name="_Regression_Int" hidden="1">1</definedName>
    <definedName name="_Sort" localSheetId="4" hidden="1">#REF!</definedName>
    <definedName name="_Sort" localSheetId="5" hidden="1">#REF!</definedName>
    <definedName name="_Sort" localSheetId="6" hidden="1">#REF!</definedName>
    <definedName name="_Sort" localSheetId="9" hidden="1">#REF!</definedName>
    <definedName name="_Sort" hidden="1">#REF!</definedName>
    <definedName name="_Sort2" localSheetId="4" hidden="1">#REF!</definedName>
    <definedName name="_Sort2" localSheetId="5" hidden="1">#REF!</definedName>
    <definedName name="_Sort2" localSheetId="6" hidden="1">#REF!</definedName>
    <definedName name="_Sort2" localSheetId="9" hidden="1">#REF!</definedName>
    <definedName name="_Sort2" hidden="1">#REF!</definedName>
    <definedName name="AccessDatabase" hidden="1">"Y:\Database\Stock Information.mdb"</definedName>
    <definedName name="anscount" hidden="1">1</definedName>
    <definedName name="AS2DocOpenMode" hidden="1">"AS2DocumentEdit"</definedName>
    <definedName name="BLPH1" hidden="1">'[2]Auto Sales BBG'!$A$15</definedName>
    <definedName name="BLPH10" hidden="1">'[3]Bloomberg download'!$BT$5</definedName>
    <definedName name="BLPH100" hidden="1">#REF!</definedName>
    <definedName name="BLPH101" hidden="1">#REF!</definedName>
    <definedName name="BLPH102" hidden="1">#REF!</definedName>
    <definedName name="BLPH103" hidden="1">#REF!</definedName>
    <definedName name="BLPH11" hidden="1">'[3]Bloomberg download'!$BK$5</definedName>
    <definedName name="BLPH12" hidden="1">'[3]Bloomberg download'!$BN$5</definedName>
    <definedName name="BLPH13" hidden="1">'[3]Bloomberg download'!$BH$5</definedName>
    <definedName name="BLPH14" hidden="1">'[3]Bloomberg download'!$BE$5</definedName>
    <definedName name="BLPH15" hidden="1">'[3]Bloomberg download'!$BB$5</definedName>
    <definedName name="BLPH16" hidden="1">'[3]Bloomberg download'!$AP$5</definedName>
    <definedName name="BLPH17" hidden="1">'[3]Bloomberg download'!$AY$5</definedName>
    <definedName name="BLPH18" hidden="1">'[3]Bloomberg download'!$C$5</definedName>
    <definedName name="BLPH19" hidden="1">'[3]Bloomberg download'!$F$5</definedName>
    <definedName name="BLPH2" hidden="1">'[4]Auto Sales BBG'!#REF!</definedName>
    <definedName name="BLPH20" hidden="1">'[3]Bloomberg download'!$L$5</definedName>
    <definedName name="BLPH21" hidden="1">'[3]Bloomberg download'!$O$5</definedName>
    <definedName name="BLPH22" hidden="1">'[3]Bloomberg download'!$I$5</definedName>
    <definedName name="BLPH23" hidden="1">'[3]Bloomberg download'!$U$5</definedName>
    <definedName name="BLPH24" hidden="1">'[3]Bloomberg download'!$R$5</definedName>
    <definedName name="BLPH25" hidden="1">'[3]Bloomberg download'!$X$5</definedName>
    <definedName name="BLPH26" hidden="1">'[3]Bloomberg download'!$AA$5</definedName>
    <definedName name="BLPH27" hidden="1">'[3]Bloomberg download'!$AD$5</definedName>
    <definedName name="BLPH28" hidden="1">'[3]Bloomberg download'!$AG$5</definedName>
    <definedName name="BLPH29" hidden="1">'[3]Bloomberg download'!$AM$5</definedName>
    <definedName name="BLPH3" localSheetId="4" hidden="1">#REF!</definedName>
    <definedName name="BLPH3" localSheetId="5" hidden="1">#REF!</definedName>
    <definedName name="BLPH3" localSheetId="6" hidden="1">#REF!</definedName>
    <definedName name="BLPH3" localSheetId="9" hidden="1">#REF!</definedName>
    <definedName name="BLPH3" hidden="1">#REF!</definedName>
    <definedName name="BLPH30" hidden="1">'[3]Bloomberg download'!$AJ$5</definedName>
    <definedName name="BLPH31" hidden="1">'[3]Bloomberg download'!$AS$5</definedName>
    <definedName name="BLPH32" hidden="1">'[3]Bloomberg download'!$AV$5</definedName>
    <definedName name="BLPH33" localSheetId="4" hidden="1">#REF!</definedName>
    <definedName name="BLPH33" localSheetId="5" hidden="1">#REF!</definedName>
    <definedName name="BLPH33" localSheetId="6" hidden="1">#REF!</definedName>
    <definedName name="BLPH33" localSheetId="9" hidden="1">#REF!</definedName>
    <definedName name="BLPH33" hidden="1">#REF!</definedName>
    <definedName name="BLPH34" localSheetId="4" hidden="1">#REF!</definedName>
    <definedName name="BLPH34" localSheetId="5" hidden="1">#REF!</definedName>
    <definedName name="BLPH34" localSheetId="6" hidden="1">#REF!</definedName>
    <definedName name="BLPH34" localSheetId="9" hidden="1">#REF!</definedName>
    <definedName name="BLPH34" hidden="1">#REF!</definedName>
    <definedName name="BLPH35" localSheetId="4" hidden="1">#REF!</definedName>
    <definedName name="BLPH35" localSheetId="5" hidden="1">#REF!</definedName>
    <definedName name="BLPH35" localSheetId="6" hidden="1">#REF!</definedName>
    <definedName name="BLPH35" localSheetId="9" hidden="1">#REF!</definedName>
    <definedName name="BLPH35" hidden="1">#REF!</definedName>
    <definedName name="BLPH36" localSheetId="9" hidden="1">#REF!</definedName>
    <definedName name="BLPH36" hidden="1">#REF!</definedName>
    <definedName name="BLPH37" localSheetId="9" hidden="1">#REF!</definedName>
    <definedName name="BLPH37" hidden="1">#REF!</definedName>
    <definedName name="BLPH38" localSheetId="9" hidden="1">#REF!</definedName>
    <definedName name="BLPH38" hidden="1">#REF!</definedName>
    <definedName name="BLPH39" localSheetId="9" hidden="1">#REF!</definedName>
    <definedName name="BLPH39" hidden="1">#REF!</definedName>
    <definedName name="BLPH4" localSheetId="9" hidden="1">#REF!</definedName>
    <definedName name="BLPH4" hidden="1">#REF!</definedName>
    <definedName name="BLPH40" localSheetId="9" hidden="1">#REF!</definedName>
    <definedName name="BLPH40" hidden="1">#REF!</definedName>
    <definedName name="BLPH5" hidden="1">'[3]Bloomberg download'!$CF$5</definedName>
    <definedName name="BLPH6" hidden="1">'[3]Bloomberg download'!$CC$5</definedName>
    <definedName name="BLPH7" hidden="1">'[3]Bloomberg download'!$BZ$5</definedName>
    <definedName name="BLPH8" hidden="1">'[3]Bloomberg download'!$BW$5</definedName>
    <definedName name="BLPH9" hidden="1">'[3]Bloomberg download'!$BQ$5</definedName>
    <definedName name="BLPH91" hidden="1">#REF!</definedName>
    <definedName name="BLPH92" hidden="1">#REF!</definedName>
    <definedName name="BLPH93" hidden="1">#REF!</definedName>
    <definedName name="BLPH94" hidden="1">#REF!</definedName>
    <definedName name="BLPH99" hidden="1">#REF!</definedName>
    <definedName name="CIQWBGuid" hidden="1">"355cc481-6b46-4893-b018-497a197d80e9"</definedName>
    <definedName name="cu102.ShareScalingFactor" hidden="1">1000000</definedName>
    <definedName name="cu103.EmployeeScalingFactor" hidden="1">1000</definedName>
    <definedName name="cu107.DPSSymbol" hidden="1">"€"</definedName>
    <definedName name="cu107.EPSSymbol" hidden="1">"€"</definedName>
    <definedName name="cu71.ScalingFactor" hidden="1">1000000</definedName>
    <definedName name="GDP" localSheetId="4" hidden="1">#REF!</definedName>
    <definedName name="GDP" localSheetId="5" hidden="1">#REF!</definedName>
    <definedName name="GDP" localSheetId="6" hidden="1">#REF!</definedName>
    <definedName name="GDP" localSheetId="9" hidden="1">#REF!</definedName>
    <definedName name="GDP" hidden="1">#REF!</definedName>
    <definedName name="graph" localSheetId="4" hidden="1">'[1]All road-work file'!#REF!</definedName>
    <definedName name="graph" localSheetId="5" hidden="1">'[1]All road-work file'!#REF!</definedName>
    <definedName name="graph" localSheetId="6" hidden="1">'[1]All road-work file'!#REF!</definedName>
    <definedName name="graph" hidden="1">'[1]All road-work file'!#REF!</definedName>
    <definedName name="GraphB" localSheetId="4" hidden="1">'[1]All road-work file'!#REF!</definedName>
    <definedName name="GraphB" localSheetId="5" hidden="1">'[1]All road-work file'!#REF!</definedName>
    <definedName name="GraphB" localSheetId="6" hidden="1">'[1]All road-work file'!#REF!</definedName>
    <definedName name="GraphB" hidden="1">'[1]All road-work file'!#REF!</definedName>
    <definedName name="HTML_CodePage" hidden="1">1252</definedName>
    <definedName name="HTML_Control" localSheetId="4" hidden="1">{"'Industry'!$A$1:$M$85","'Industry'!$I$20:$M$45"}</definedName>
    <definedName name="HTML_Control" localSheetId="5" hidden="1">{"'Industry'!$A$1:$M$85","'Industry'!$I$20:$M$45"}</definedName>
    <definedName name="HTML_Control" localSheetId="6" hidden="1">{"'Industry'!$A$1:$M$85","'Industry'!$I$20:$M$45"}</definedName>
    <definedName name="HTML_Control" localSheetId="9" hidden="1">{"'Industry'!$A$1:$M$85","'Industry'!$I$20:$M$45"}</definedName>
    <definedName name="HTML_Control" localSheetId="15" hidden="1">{"'Industry'!$A$1:$M$85","'Industry'!$I$20:$M$45"}</definedName>
    <definedName name="HTML_Control" hidden="1">{"'Industry'!$A$1:$M$85","'Industry'!$I$20:$M$45"}</definedName>
    <definedName name="HTML_Control1" localSheetId="4" hidden="1">{"'Industry'!$A$1:$M$85","'Industry'!$I$20:$M$45"}</definedName>
    <definedName name="HTML_Control1" localSheetId="5" hidden="1">{"'Industry'!$A$1:$M$85","'Industry'!$I$20:$M$45"}</definedName>
    <definedName name="HTML_Control1" localSheetId="6" hidden="1">{"'Industry'!$A$1:$M$85","'Industry'!$I$20:$M$45"}</definedName>
    <definedName name="HTML_Control1" localSheetId="9" hidden="1">{"'Industry'!$A$1:$M$85","'Industry'!$I$20:$M$45"}</definedName>
    <definedName name="HTML_Control1" localSheetId="15" hidden="1">{"'Industry'!$A$1:$M$85","'Industry'!$I$20:$M$45"}</definedName>
    <definedName name="HTML_Control1" hidden="1">{"'Industry'!$A$1:$M$85","'Industry'!$I$20:$M$45"}</definedName>
    <definedName name="HTML_Description" hidden="1">""</definedName>
    <definedName name="HTML_Email" hidden="1">""</definedName>
    <definedName name="HTML_Header" hidden="1">"Industry"</definedName>
    <definedName name="HTML_LastUpdate" hidden="1">"12/31/96"</definedName>
    <definedName name="HTML_LineAfter" hidden="1">FALSE</definedName>
    <definedName name="HTML_LineBefore" hidden="1">FALSE</definedName>
    <definedName name="HTML_Name" hidden="1">"Portable 3"</definedName>
    <definedName name="HTML_OBDlg2" hidden="1">TRUE</definedName>
    <definedName name="HTML_OBDlg4" hidden="1">TRUE</definedName>
    <definedName name="HTML_OS" hidden="1">0</definedName>
    <definedName name="HTML_PathFile" hidden="1">"p:\input\1996"</definedName>
    <definedName name="HTML_Title" hidden="1">"NEW_X"</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BS_PERIOD" hidden="1">"c13823"</definedName>
    <definedName name="IQ_ACCEPTANCES_OTHER_FOREIGN_BANKS_LL_REC_FFIEC" hidden="1">"c15293"</definedName>
    <definedName name="IQ_ACCEPTANCES_OTHER_US_BANKS_LL_REC_FFIEC" hidden="1">"c15292"</definedName>
    <definedName name="IQ_ACQUIRED_BY_REPORTING_BANK_FDIC" hidden="1">"c6535"</definedName>
    <definedName name="IQ_ADDIN" hidden="1">"AUTO"</definedName>
    <definedName name="IQ_ADDITIONAL_NON_INT_INC_FDIC" hidden="1">"c6574"</definedName>
    <definedName name="IQ_ADDITIONS_NON_ACCRUAL_ASSET_DURING_QTR_FFIEC" hidden="1">"c15349"</definedName>
    <definedName name="IQ_ADJUSTABLE_RATE_LOANS_FDIC" hidden="1">"c6375"</definedName>
    <definedName name="IQ_AE_BR" hidden="1">"c10"</definedName>
    <definedName name="IQ_AFTER_TAX_INCOME_FDIC" hidden="1">"c6583"</definedName>
    <definedName name="IQ_AG_PROD_FARM_LOANS_DOM_QUARTERLY_AVG_FFIEC" hidden="1">"c15477"</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_OTHER_DEPOSITS_FOREIGN_DEP_FFIEC" hidden="1">"c15347"</definedName>
    <definedName name="IQ_ALL_OTHER_INVEST_UNCONSOL_SUBS_FFIEC" hidden="1">"c15275"</definedName>
    <definedName name="IQ_AMENDED_BALANCE_PREVIOUS_YR_FDIC" hidden="1">"c6499"</definedName>
    <definedName name="IQ_AMORT_EXPENSE_FDIC" hidden="1">"c6677"</definedName>
    <definedName name="IQ_AMORTIZED_COST_FDIC" hidden="1">"c6426"</definedName>
    <definedName name="IQ_ANALYST_EMAIL" hidden="1">"c13738"</definedName>
    <definedName name="IQ_ANALYST_NAME" hidden="1">"c13736"</definedName>
    <definedName name="IQ_ANALYST_PHONE" hidden="1">"c13737"</definedName>
    <definedName name="IQ_ANALYST_START_DATE" hidden="1">"c13740"</definedName>
    <definedName name="IQ_AP_BR" hidden="1">"c34"</definedName>
    <definedName name="IQ_APPLICABLE_INCOME_TAXES_FTE_FFIEC" hidden="1">"c13853"</definedName>
    <definedName name="IQ_AR_BR" hidden="1">"c41"</definedName>
    <definedName name="IQ_ASSET_BACKED_FDIC" hidden="1">"c6301"</definedName>
    <definedName name="IQ_ASSET_WRITEDOWN_BR" hidden="1">"c50"</definedName>
    <definedName name="IQ_ASSET_WRITEDOWN_CF_BR" hidden="1">"c53"</definedName>
    <definedName name="IQ_ASSET_WRITEDOWN_SUPPLE" hidden="1">"c13812"</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ETTING_OTHER_ADJUSTMENTS" hidden="1">"c13842"</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ID" hidden="1">"c13756"</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NDRATING_FITCH" hidden="1">"c223"</definedName>
    <definedName name="IQ_BONDRATING_FITCH_DATE" hidden="1">"c241"</definedName>
    <definedName name="IQ_BONDRATING_SP" hidden="1">"c224"</definedName>
    <definedName name="IQ_BONDRATING_SP_DATE" hidden="1">"c242"</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STDDEV_EST_REUT" hidden="1">"c5408"</definedName>
    <definedName name="IQ_BV_STDDEV_EST_THOM" hidden="1">"c5152"</definedName>
    <definedName name="IQ_CAPEX_BR" hidden="1">"c111"</definedName>
    <definedName name="IQ_CAPITAL_ALLOCATION_ADJUSTMENT_FOREIGN_FFIEC" hidden="1">"c15389"</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DEPOSITORY_INSTIT_US_DOM_FFIEC" hidden="1">"c15288"</definedName>
    <definedName name="IQ_CASH_DIVIDENDS_NET_INCOME_FDIC" hidden="1">"c6738"</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FOREIGN_BRANCH_OTHER_US_BANKS_FFIEC" hidden="1">"c15282"</definedName>
    <definedName name="IQ_CASH_IN_PROCESS_FDIC" hidden="1">"c6386"</definedName>
    <definedName name="IQ_CASH_OPER_ACT_OR_EST" hidden="1">"c4164"</definedName>
    <definedName name="IQ_CASH_OTHER_BANKS_FOREIGN_COUNTRIES_FFIEC" hidden="1">"c15283"</definedName>
    <definedName name="IQ_CASH_OTHER_US_COMM_BANK_DEP_INSTIT_FFIEC" hidden="1">"c15281"</definedName>
    <definedName name="IQ_CASH_STRUCTURED_PRODUCTS_AVAIL_SALE_FFIEC" hidden="1">"c15263"</definedName>
    <definedName name="IQ_CASH_STRUCTURED_PRODUCTS_FFIEC" hidden="1">"c15260"</definedName>
    <definedName name="IQ_CCE_FDIC" hidden="1">"c6296"</definedName>
    <definedName name="IQ_CDS_COUPON" hidden="1">"c15234"</definedName>
    <definedName name="IQ_CDS_NEXT_SERIES_ID" hidden="1">"c15231"</definedName>
    <definedName name="IQ_CDS_PREV_SERIES_ID" hidden="1">"c15232"</definedName>
    <definedName name="IQ_CDS_PRICE_TYPE" hidden="1">"c15233"</definedName>
    <definedName name="IQ_CEO_ID" hidden="1">"c15210"</definedName>
    <definedName name="IQ_CEO_NAME" hidden="1">"c15209"</definedName>
    <definedName name="IQ_CERTIFIED_OFFICIAL_CHECKS_TRANS_ACCTS_FFIEC" hidden="1">"c15320"</definedName>
    <definedName name="IQ_CFO_ID" hidden="1">"c15212"</definedName>
    <definedName name="IQ_CFO_NAME" hidden="1">"c15211"</definedName>
    <definedName name="IQ_CH" hidden="1">110000</definedName>
    <definedName name="IQ_CHAIRMAN_ID" hidden="1">"c15218"</definedName>
    <definedName name="IQ_CHAIRMAN_NAME" hidden="1">"c15217"</definedName>
    <definedName name="IQ_CHANGE_AP_BR" hidden="1">"c135"</definedName>
    <definedName name="IQ_CHANGE_AR_BR" hidden="1">"c142"</definedName>
    <definedName name="IQ_CHANGE_DEF_TAX_TOTAL" hidden="1">"c15557"</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LASSB_OUTSTANDING_BS_DATE" hidden="1">"c1972"</definedName>
    <definedName name="IQ_CLASSB_OUTSTANDING_FILING_DATE" hidden="1">"c1974"</definedName>
    <definedName name="IQ_CLOSED_END_1_4_FAM_LOANS_TOT_LOANS_FFIEC" hidden="1">"c13866"</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MO_FDIC" hidden="1">"c6406"</definedName>
    <definedName name="IQ_COLLECTION_DOMESTIC_FDIC" hidden="1">"c6387"</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DOM_QUARTERLY_AVG_FFIEC" hidden="1">"c15478"</definedName>
    <definedName name="IQ_COMMERCIAL_INDUSTRIAL_LOANS_NET_FDIC" hidden="1">"c6317"</definedName>
    <definedName name="IQ_COMMERCIAL_INDUSTRIAL_NET_CHARGE_OFFS_FDIC" hidden="1">"c6636"</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RECOVERIES_FDIC" hidden="1">"c6617"</definedName>
    <definedName name="IQ_COMMERCIAL_INDUSTRIAL_TOTAL_LOANS_FOREIGN_FDIC" hidden="1">"c6451"</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MPANY_TICKER_NO_EXCH" hidden="1">"c15490"</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NSOLIDATED_NI_FOREIGN_FFIEC" hidden="1">"c15396"</definedName>
    <definedName name="IQ_CONST_LAND_DEV_LOANS_TOT_LOANS_FFIEC" hidden="1">"c13865"</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UMER_LOANS_TOT_LOANS_FFIEC" hidden="1">"c13875"</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RATE" hidden="1">"c2192"</definedName>
    <definedName name="IQ_CONVERT_DEBT" hidden="1">"c224"</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ORATE_OVER_TOTAL" hidden="1">"c13767"</definedName>
    <definedName name="IQ_COST_OF_FUNDING_ASSETS_FDIC" hidden="1">"c6725"</definedName>
    <definedName name="IQ_COVERAGE_RATIO" hidden="1">"c15243"</definedName>
    <definedName name="IQ_CQ" hidden="1">5000</definedName>
    <definedName name="IQ_CREDIT_CARD_CHARGE_OFFS_FDIC" hidden="1">"c6652"</definedName>
    <definedName name="IQ_CREDIT_CARD_FEE" hidden="1">"c231"</definedName>
    <definedName name="IQ_CREDIT_CARD_LINES_FDIC" hidden="1">"c6525"</definedName>
    <definedName name="IQ_CREDIT_CARD_LOANS_DOM_QUARTERLY_AVG_FFIEC" hidden="1">"c15480"</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_FFIEC" hidden="1">"c15287"</definedName>
    <definedName name="IQ_CURRENCY_COIN_DOMESTIC_FDIC" hidden="1">"c6388"</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OREIGN_BANKS_FOREIGN_AGENCIES_FFIEC" hidden="1">"c15344"</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IC" hidden="1">"c13834"</definedName>
    <definedName name="IQ_DIRECT_INDIRECT_RE_VENTURES_FFIEC" hidden="1">"c15266"</definedName>
    <definedName name="IQ_DIRECT_INDIRECT_RE_VENTURES_UNCONSOL_FFIEC" hidden="1">"c15274"</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M_OFFICE_DEPOSITS_TOT_DEPOSITS_FFIEC" hidden="1">"c13910"</definedName>
    <definedName name="IQ_DPAC" hidden="1">"c2801"</definedName>
    <definedName name="IQ_EARNING_ASSETS_FDIC" hidden="1">"c6360"</definedName>
    <definedName name="IQ_EARNING_ASSETS_YIELD_FDIC" hidden="1">"c6724"</definedName>
    <definedName name="IQ_EARNINGS_COVERAGE_NET_CHARGE_OFFS_FDIC" hidden="1">"c6735"</definedName>
    <definedName name="IQ_EBIT_10K" hidden="1">"IQ_EBIT_10K"</definedName>
    <definedName name="IQ_EBIT_10Q" hidden="1">"IQ_EBIT_10Q"</definedName>
    <definedName name="IQ_EBIT_10Q1" hidden="1">"IQ_EBIT_10Q1"</definedName>
    <definedName name="IQ_EBIT_GROWTH_1" hidden="1">"c157"</definedName>
    <definedName name="IQ_EBIT_GROWTH_2" hidden="1">"c161"</definedName>
    <definedName name="IQ_EBITDA_10K" hidden="1">"IQ_EBITDA_10K"</definedName>
    <definedName name="IQ_EBITDA_10Q" hidden="1">"IQ_EBITDA_10Q"</definedName>
    <definedName name="IQ_EBITDA_10Q1" hidden="1">"IQ_EBITDA_10Q1"</definedName>
    <definedName name="IQ_EBITDA_GROWTH_1" hidden="1">"c156"</definedName>
    <definedName name="IQ_EBITDA_GROWTH_2" hidden="1">"c160"</definedName>
    <definedName name="IQ_EBITDA_NO_EST" hidden="1">"c267"</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LIMINATIONS_CONSOL_OFFICES_FOREIGN_FFIEC" hidden="1">"c15395"</definedName>
    <definedName name="IQ_EPS" hidden="1">"IQ_EPS"</definedName>
    <definedName name="IQ_EPS_10K" hidden="1">"IQ_EPS_10K"</definedName>
    <definedName name="IQ_EPS_10Q" hidden="1">"IQ_EPS_10Q"</definedName>
    <definedName name="IQ_EPS_10Q1" hidden="1">"IQ_EPS_10Q1"</definedName>
    <definedName name="IQ_EPS_NO_EST" hidden="1">"c271"</definedName>
    <definedName name="IQ_EQUITY_CAPITAL_ASSETS_FDIC" hidden="1">"c6744"</definedName>
    <definedName name="IQ_EQUITY_FDIC" hidden="1">"c6353"</definedName>
    <definedName name="IQ_EQUITY_LIST" hidden="1">"c15158"</definedName>
    <definedName name="IQ_EQUITY_SECURITIES_FDIC" hidden="1">"c6304"</definedName>
    <definedName name="IQ_EQUITY_SECURITIES_QUARTERLY_AVG_FFIEC" hidden="1">"c15474"</definedName>
    <definedName name="IQ_EQUITY_SECURITY_EXPOSURES_FDIC" hidden="1">"c6664"</definedName>
    <definedName name="IQ_EQUITY_TIER_ONE_CAPITAL" hidden="1">"c15246"</definedName>
    <definedName name="IQ_EQUITY_TIER_ONE_CAPITAL_RATIO" hidden="1">"c15242"</definedName>
    <definedName name="IQ_ESOP_OVER_TOTAL" hidden="1">"c13768"</definedName>
    <definedName name="IQ_EST_ACT_BV_REUT" hidden="1">"c5409"</definedName>
    <definedName name="IQ_EST_ACT_BV_THOM" hidden="1">"c5153"</definedName>
    <definedName name="IQ_EST_ACT_FFO_THOM" hidden="1">"c4005"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EPS_SURPRISE" hidden="1">"c1635"</definedName>
    <definedName name="IQ_EST_FFO_DIFF_THOM" hidden="1">"c5186"</definedName>
    <definedName name="IQ_EST_FFO_SURPRISE_PERCENT_THOM" hidden="1">"c5187"</definedName>
    <definedName name="IQ_EST_NEXT_EARNINGS_DATE" hidden="1">"c13591"</definedName>
    <definedName name="IQ_EST_NUM_BUY_CIQ" hidden="1">"c3700"</definedName>
    <definedName name="IQ_EST_NUM_BUY_REUT" hidden="1">"c3869"</definedName>
    <definedName name="IQ_EST_NUM_BUY_THOM" hidden="1">"c5165"</definedName>
    <definedName name="IQ_EST_NUM_HOLD_CIQ" hidden="1">"c3702"</definedName>
    <definedName name="IQ_EST_NUM_HOLD_REUT" hidden="1">"c3871"</definedName>
    <definedName name="IQ_EST_NUM_HOLD_THOM" hidden="1">"c5167"</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IMATED_ASSESSABLE_DEPOSITS_FDIC" hidden="1">"c6490"</definedName>
    <definedName name="IQ_ESTIMATED_INSURED_DEPOSITS_FDIC" hidden="1">"c6491"</definedName>
    <definedName name="IQ_EV_OVER_REVENUE_EST" hidden="1">"c165"</definedName>
    <definedName name="IQ_EV_OVER_REVENUE_EST_1" hidden="1">"c166"</definedName>
    <definedName name="IQ_EVENT_DATE" hidden="1">"c13819"</definedName>
    <definedName name="IQ_EVENT_ID" hidden="1">"c13818"</definedName>
    <definedName name="IQ_EVENT_TIME" hidden="1">"c13820"</definedName>
    <definedName name="IQ_EVENT_TYPE" hidden="1">"c13821"</definedName>
    <definedName name="IQ_EXPENSE_CODE_" hidden="1">"C132814"</definedName>
    <definedName name="IQ_EXPLORE_DRILL_EXP_TOTAL" hidden="1">"c13850"</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_ITEMS_OTHER_ADJUSTMENTS_FOREIGN_FFIEC" hidden="1">"c15392"</definedName>
    <definedName name="IQ_EXTRAORDINARY_GAINS_FDIC" hidden="1">"c6586"</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FDIC" hidden="1">"c6343"</definedName>
    <definedName name="IQ_FED_FUNDS_SOLD_FDIC" hidden="1">"c6307"</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ES_OTHER_INCOME" hidden="1">"c15257"</definedName>
    <definedName name="IQ_FFO_EST_THOM" hidden="1">"c3999"</definedName>
    <definedName name="IQ_FFO_HIGH_EST_THOM" hidden="1">"c4001"</definedName>
    <definedName name="IQ_FFO_LOW_EST_THOM" hidden="1">"c4002"</definedName>
    <definedName name="IQ_FFO_MEDIAN_EST_THOM" hidden="1">"c4000"</definedName>
    <definedName name="IQ_FFO_NO_EST" hidden="1">"c276"</definedName>
    <definedName name="IQ_FFO_NUM_EST_THOM" hidden="1">"c4003"</definedName>
    <definedName name="IQ_FFO_STDDEV_EST_THOM" hidden="1">"c4004"</definedName>
    <definedName name="IQ_FH" hidden="1">100000</definedName>
    <definedName name="IQ_FHLB_ADVANCES_FDIC" hidden="1">"c6366"</definedName>
    <definedName name="IQ_FHLB_DUE_AFTER_FIVE" hidden="1">"c2086"</definedName>
    <definedName name="IQ_FIDUCIARY_ACTIVITIES_FDIC" hidden="1">"c6571"</definedName>
    <definedName name="IQ_FIFETEEN_YEAR_FIXED_AND_FLOATING_RATE_FDIC" hidden="1">"c6423"</definedName>
    <definedName name="IQ_FIFETEEN_YEAR_MORTGAGE_PASS_THROUGHS_FDIC" hidden="1">"c6415"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UNDATION_OVER_TOTAL" hidden="1">"c13769"</definedName>
    <definedName name="IQ_FQ" hidden="1">500</definedName>
    <definedName name="IQ_FULLY_INSURED_BROKERED_DEPOSITS_FFIEC" hidden="1">"c15305"</definedName>
    <definedName name="IQ_FULLY_INSURED_DEPOSITS_FDIC" hidden="1">"c6487"</definedName>
    <definedName name="IQ_FUND_NAV" hidden="1">"c15225"</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 hidden="1">1000</definedName>
    <definedName name="IQ_FY_DATE" hidden="1">"IQ_FY_DATE"</definedName>
    <definedName name="IQ_GAAP_EST_CIQ" hidden="1">"c13924"</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C_BNK" hidden="1">"c488"</definedName>
    <definedName name="IQ_GAIN_INVEST_REV_BR" hidden="1">"c496"</definedName>
    <definedName name="IQ_GAIN_LOSS_HTM_AFS_SECURITIES_FOREIGN_FFIEC" hidden="1">"c15384"</definedName>
    <definedName name="IQ_GAIN_SALE_LOANS_FDIC" hidden="1">"c6673"</definedName>
    <definedName name="IQ_GAIN_SALE_RE_FDIC" hidden="1">"c6674"</definedName>
    <definedName name="IQ_GAINS_SALE_ASSETS_FDIC" hidden="1">"c6675"</definedName>
    <definedName name="IQ_GENERAL_ALLOWANCE" hidden="1">"c15248"</definedName>
    <definedName name="IQ_GNMA_FDIC" hidden="1">"c6398"</definedName>
    <definedName name="IQ_GOODWILL_FDIC" hidden="1">"c6334"</definedName>
    <definedName name="IQ_GOODWILL_IMPAIRMENT_FDIC" hidden="1">"c6678"</definedName>
    <definedName name="IQ_GOODWILL_INTAN_FDIC" hidden="1">"c6333"</definedName>
    <definedName name="IQ_GROSS_GW" hidden="1">"c519"</definedName>
    <definedName name="IQ_GROSS_INTAN" hidden="1">"c520"</definedName>
    <definedName name="IQ_GW_AMORT_BR" hidden="1">"c532"</definedName>
    <definedName name="IQ_GW_INTAN_AMORT_BR" hidden="1">"c1470"</definedName>
    <definedName name="IQ_GW_INTAN_AMORT_CF_BR" hidden="1">"c1473"</definedName>
    <definedName name="IQ_HEDGEFUND_OVER_TOTAL" hidden="1">"c13771"</definedName>
    <definedName name="IQ_HELD_MATURITY_FDIC" hidden="1">"c6408"</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PAIRED_LOANS" hidden="1">"c15250"</definedName>
    <definedName name="IQ_IMPAIRMENT_GW_SUPPLE" hidden="1">"c13811"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_FOREIGN_FFIEC" hidden="1">"c15391"</definedName>
    <definedName name="IQ_INCOME_TAXES_FDIC" hidden="1">"c6582"</definedName>
    <definedName name="IQ_INDEX_CURRENCY" hidden="1">"c15224"</definedName>
    <definedName name="IQ_INDEX_TYPE" hidden="1">"c15223"</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_SETTLE_SUPPLE" hidden="1">"c13814"</definedName>
    <definedName name="IQ_INSIDER_3MTH_BOUGHT" hidden="1">"c1534"</definedName>
    <definedName name="IQ_INSIDER_3MTH_NET" hidden="1">"c1535"</definedName>
    <definedName name="IQ_INSIDER_3MTH_SOLD" hidden="1">"c1533"</definedName>
    <definedName name="IQ_INSIDER_6MTH_BOUGHT" hidden="1">"c1537"</definedName>
    <definedName name="IQ_INSIDER_6MTH_NET" hidden="1">"c1538"</definedName>
    <definedName name="IQ_INSIDER_6MTH_SOLD" hidden="1">"c1536"</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RE_LOANS_DOM_FFIEC" hidden="1">"c15353"</definedName>
    <definedName name="IQ_INT_FEE_INC_TAX_EXEMPT_OBLIGATIONS_DOM_FFIEC" hidden="1">"c15362"</definedName>
    <definedName name="IQ_INT_FEE_INC_TAXABLE_OBLIGATIONS_DOM_FFIEC" hidden="1">"c15361"</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INCOME_FTE_AVG_ASSETS_FFIEC" hidden="1">"c13856"</definedName>
    <definedName name="IQ_INT_INCOME_FTE_AVG_EARNING_ASSETS_FFIEC" hidden="1">"c13857"</definedName>
    <definedName name="IQ_INT_INCOME_FTE_FFIEC" hidden="1">"c13852"</definedName>
    <definedName name="IQ_INT_SAVINGS_DEPOSITS_MMDA_DOM_FFIEC" hidden="1">"c15364"</definedName>
    <definedName name="IQ_INT_SUB_NOTES_FDIC" hidden="1">"c6568"</definedName>
    <definedName name="IQ_INT_TRANSACTION_ACCOUNTS_DOM_FFIEC" hidden="1">"c15363"</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INC_10K" hidden="1">"IQ_INTEREST_INC_10K"</definedName>
    <definedName name="IQ_INTEREST_INC_10Q" hidden="1">"IQ_INTEREST_INC_10Q"</definedName>
    <definedName name="IQ_INTEREST_INC_10Q1" hidden="1">"IQ_INTEREST_INC_10Q1"</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REL_ID" hidden="1">"c15220"</definedName>
    <definedName name="IQ_INV_REL_NAME" hidden="1">"c15219"</definedName>
    <definedName name="IQ_INVEST_LOANS_CF_BR" hidden="1">"c630"</definedName>
    <definedName name="IQ_INVEST_SECURITY_CF_BR" hidden="1">"c639"</definedName>
    <definedName name="IQ_INVESTMENT_BANKING_OTHER_FEES_FDIC" hidden="1">"c6666"</definedName>
    <definedName name="IQ_IPRD_SUPPLE" hidden="1">"c13813"</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GAL_SETTLE_BR" hidden="1">"c649"</definedName>
    <definedName name="IQ_LEGAL_SETTLE_SUPPLE" hidden="1">"c13815"</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FE_INSURANCE_ASSETS_FDIC" hidden="1">"c6372"</definedName>
    <definedName name="IQ_LIQUIDATION_VALUE_PREFERRED_CONVERT" hidden="1">"c13835"</definedName>
    <definedName name="IQ_LIQUIDATION_VALUE_PREFERRED_NON_REDEEM" hidden="1">"c13836"</definedName>
    <definedName name="IQ_LIQUIDATION_VALUE_PREFERRED_REDEEM" hidden="1">"c13837"</definedName>
    <definedName name="IQ_LOAN_COMMITMENTS_REVOLVING_FDIC" hidden="1">"c6524"</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_SENIOR_DEBT" hidden="1">"c702"</definedName>
    <definedName name="IQ_LT_SUB_DEBT" hidden="1">"c703"</definedName>
    <definedName name="IQ_LTM" hidden="1">2000</definedName>
    <definedName name="IQ_LTM_DATE" hidden="1">"IQ_LTM_DATE"</definedName>
    <definedName name="IQ_LTMMONTH" hidden="1">120000</definedName>
    <definedName name="IQ_MAINT_CAPEX_ACT_OR_EST" hidden="1">"c4458"</definedName>
    <definedName name="IQ_MARKTCAP" hidden="1">"c258"</definedName>
    <definedName name="IQ_MATURITY_ONE_YEAR_LESS_FDIC" hidden="1">"c6425"</definedName>
    <definedName name="IQ_MBS_QUARTERLY_AVG_FFIEC" hidden="1">"c15471"</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ERGER_SUPPLE" hidden="1">"c13810"</definedName>
    <definedName name="IQ_MINORITY_INTEREST_BR" hidden="1">"c729"</definedName>
    <definedName name="IQ_MMDA_NON_TRANS_ACCTS_FFIEC" hidden="1">"c15330"</definedName>
    <definedName name="IQ_MMDA_SAVINGS_TOT_DEPOSITS_FFIEC" hidden="1">"c13905"</definedName>
    <definedName name="IQ_MONEY_MARKET_DEPOSIT_ACCOUNTS_FDIC" hidden="1">"c6553"</definedName>
    <definedName name="IQ_MONTH" hidden="1">15000</definedName>
    <definedName name="IQ_MORTGAGE_BACKED_SECURITIES_FDIC" hidden="1">"c6402"</definedName>
    <definedName name="IQ_MORTGAGE_DEBT_UNDER_CAPITAL_LEASES_FFIEC" hidden="1">"c15276"</definedName>
    <definedName name="IQ_MORTGAGE_SERVICING_FDIC" hidden="1">"c6335"</definedName>
    <definedName name="IQ_MTD" hidden="1">800000</definedName>
    <definedName name="IQ_MULTIFAM_5_LOANS_TOT_LOANS_FFIEC" hidden="1">"c13869"</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NAMES_REVISION_DATE_" hidden="1">41484.9726736111</definedName>
    <definedName name="IQ_NATIVE_COMPANY_NAME" hidden="1">"c13822"</definedName>
    <definedName name="IQ_NAV_ACT_OR_EST" hidden="1">"c2225"</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T_BOOKING_LOCATION_ADJUSTMENT_FOREIGN_FFIEC" hidden="1">"c15385"</definedName>
    <definedName name="IQ_NET_CHARGE_OFFS_FDIC" hidden="1">"c6641"</definedName>
    <definedName name="IQ_NET_CHARGE_OFFS_LOANS_FDIC" hidden="1">"c6751"</definedName>
    <definedName name="IQ_NET_DEBT_ISSUED_BR" hidden="1">"c753"</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_10K" hidden="1">"IQ_NET_INC_10K"</definedName>
    <definedName name="IQ_NET_INC_10Q" hidden="1">"IQ_NET_INC_10Q"</definedName>
    <definedName name="IQ_NET_INC_10Q1" hidden="1">"IQ_NET_INC_10Q1"</definedName>
    <definedName name="IQ_NET_INC_GROWTH_1" hidden="1">"c158"</definedName>
    <definedName name="IQ_NET_INC_GROWTH_2" hidden="1">"c162"</definedName>
    <definedName name="IQ_NET_INCOME_FDIC" hidden="1">"c6587"</definedName>
    <definedName name="IQ_NET_INT_INC_BNK_FDIC" hidden="1">"c6570"</definedName>
    <definedName name="IQ_NET_INT_INC_BR" hidden="1">"c765"</definedName>
    <definedName name="IQ_NET_INTEREST_INC_INTERNATIONAL_OPS_FFIEC" hidden="1">"c15375"</definedName>
    <definedName name="IQ_NET_INTEREST_MARGIN_FDIC" hidden="1">"c6726"</definedName>
    <definedName name="IQ_NET_LOANS_LEASES_CORE_DEPOSITS_FDIC" hidden="1">"c6743"</definedName>
    <definedName name="IQ_NET_LOANS_LEASES_DEPOSITS_FDIC" hidden="1">"c6742"</definedName>
    <definedName name="IQ_NET_NONINTEREST_INC_EXP_INTERNATIONAL_OPS_FFIEC" hidden="1">"c15387"</definedName>
    <definedName name="IQ_NET_OPERATING_INCOME_ASSETS_FDIC" hidden="1">"c6729"</definedName>
    <definedName name="IQ_NET_SECURITIZATION_INC_FOREIGN_FFIEC" hidden="1">"c15379"</definedName>
    <definedName name="IQ_NET_SECURITIZATION_INCOME_FDIC" hidden="1">"c6669"</definedName>
    <definedName name="IQ_NET_SERVICING_FEES_FDIC" hidden="1">"c6668"</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EARNINGS_DATE" hidden="1">"c13592"</definedName>
    <definedName name="IQ_NI_BANK_AND_NONCONTROLLING_INTEREST_FFIEC" hidden="1">"c15365"</definedName>
    <definedName name="IQ_NI_BEFORE_INTERNAL_ALLOCATIONS_FOREIGN_FFIEC" hidden="1">"c15393"</definedName>
    <definedName name="IQ_NI_NON_CONTROLLING_INTERESTS_FFIEC" hidden="1">"c15366"</definedName>
    <definedName name="IQ_NON_ACCRUAL_ASSET_SOLD_DURING_QTR_FFIEC" hidden="1">"c15350"</definedName>
    <definedName name="IQ_NON_CURRENT_LOANS_FFIEC" hidden="1">"c13860"</definedName>
    <definedName name="IQ_NON_INT_EXP_FDIC" hidden="1">"c6579"</definedName>
    <definedName name="IQ_NON_INT_INC_FDIC" hidden="1">"c6575"</definedName>
    <definedName name="IQ_NON_PERFORMING_ASSETS_FFIEC" hidden="1">"c13859"</definedName>
    <definedName name="IQ_NON_PERFORMING_LOANS_FFIEC" hidden="1">"c13861"</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DOM_FFIEC" hidden="1">"c15271"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OTHER_TRANS_ACCTS_TOT_DEPOSITS_FFIEC" hidden="1">"c13903"</definedName>
    <definedName name="IQ_NTM" hidden="1">6000</definedName>
    <definedName name="IQ_NUM_CONTRIBUTORS" hidden="1">"c13739"</definedName>
    <definedName name="IQ_NUM_OFFICES" hidden="1">"c2088"</definedName>
    <definedName name="IQ_NUMBER_DEPOSITS_LESS_THAN_100K_FDIC" hidden="1">"c6495"</definedName>
    <definedName name="IQ_NUMBER_DEPOSITS_MORE_THAN_100K_FDIC" hidden="1">"c6493"</definedName>
    <definedName name="IQ_NUMBER_SHAREHOLDERS_CLASSB"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G_OTHER_ADJ" hidden="1">"c1999"</definedName>
    <definedName name="IQ_OG_TOTAL_OIL_PRODUCTON" hidden="1">"c2059"</definedName>
    <definedName name="IQ_OPENED55" hidden="1">1</definedName>
    <definedName name="IQ_OPER_INC_BR" hidden="1">"c850"</definedName>
    <definedName name="IQ_OPTIONS_EXCERCISED" hidden="1">"c2116"</definedName>
    <definedName name="IQ_OPTIONS_OS" hidden="1">"c858"</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FOREIGN_FFIEC" hidden="1">"c15273"</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BORROWED_MONEY_FAIR_VALUE_TOT_FFIEC" hidden="1">"c15409"</definedName>
    <definedName name="IQ_OTHER_BORROWED_MONEY_LEVEL_1_FFIEC" hidden="1">"c15431"</definedName>
    <definedName name="IQ_OTHER_BORROWED_MONEY_LEVEL_2_FFIEC" hidden="1">"c15444"</definedName>
    <definedName name="IQ_OTHER_BORROWED_MONEY_LEVEL_3_FFIEC" hidden="1">"c15457"</definedName>
    <definedName name="IQ_OTHER_CA_SUPPL_BR" hidden="1">"c871"</definedName>
    <definedName name="IQ_OTHER_CL_SUPPL_BR" hidden="1">"c880"</definedName>
    <definedName name="IQ_OTHER_COMPREHENSIVE_INCOME_FDIC" hidden="1">"c6503"</definedName>
    <definedName name="IQ_OTHER_DEBT_SECURITIES_QUARTERLY_AVG_FFIEC" hidden="1">"c15473"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NONINTEREST_INC_FOREIGN_FFIEC" hidden="1">"c15380"</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OVER_TOTAL" hidden="1">"c13770"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SAVINGS_DEPOSITS_NON_TRANS_ACCTS_FFIEC" hidden="1">"c15331"</definedName>
    <definedName name="IQ_OTHER_SECURITIES_QUARTERLY_AVG_FFIEC" hidden="1">"c15472"</definedName>
    <definedName name="IQ_OTHER_TAX_EQUIVALENT_ADJUSTMENTS_FFIEC" hidden="1">"c13855"</definedName>
    <definedName name="IQ_OTHER_TRADING_ASSETS_FAIR_VALUE_TOT_FFIEC" hidden="1">"c15404"</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LIABILITIES_FAIR_VALUE_TOT_FFIEC" hidden="1">"c15408"</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THER_UNUSUAL_SUPPLE" hidden="1">"c13816"</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BV_FWD" hidden="1">"c15235"</definedName>
    <definedName name="IQ_PC_WRITTEN" hidden="1">"c1027"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WEEK" hidden="1">"c1823"</definedName>
    <definedName name="IQ_PERCENT_CHANGE_EST_FFO_WEEK_THOM" hidden="1">"c5274"</definedName>
    <definedName name="IQ_PERCENT_INSURED_FDIC" hidden="1">"c6374"</definedName>
    <definedName name="IQ_PERIODDATE_FDIC" hidden="1">"c13646"</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DEPOSITS_FFIEC" hidden="1">"c15312"</definedName>
    <definedName name="IQ_PREFERRED_FDIC" hidden="1">"c6349"</definedName>
    <definedName name="IQ_PREMISES_EQUIPMENT_FDIC" hidden="1">"c6577"</definedName>
    <definedName name="IQ_PRESIDENT_ID" hidden="1">"c15216"</definedName>
    <definedName name="IQ_PRESIDENT_NAME" hidden="1">"c15215"</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RETURN_ASSETS_FDIC" hidden="1">"c6731"</definedName>
    <definedName name="IQ_PRICE_OVER_EPS_EST" hidden="1">"c174"</definedName>
    <definedName name="IQ_PRICE_OVER_EPS_EST_1" hidden="1">"c175"</definedName>
    <definedName name="IQ_PRICEDATETIME" hidden="1">"IQ_PRICEDATETIME"</definedName>
    <definedName name="IQ_PRIMARY_EPS_TYPE_THOM" hidden="1">"c5297"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COMP" hidden="1">"c13750"</definedName>
    <definedName name="IQ_RE_FORECLOSURE_FDIC" hidden="1">"c6332"</definedName>
    <definedName name="IQ_RE_INVEST_FDIC" hidden="1">"c6331"</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_SUPPLE" hidden="1">"c13809"</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COMMON_EQUITY" hidden="1">"c13838"</definedName>
    <definedName name="IQ_RETURN_EQUITY_BROK" hidden="1">"c1120"</definedName>
    <definedName name="IQ_RETURN_EQUITY_FDIC" hidden="1">"c6732"</definedName>
    <definedName name="IQ_REV_BEFORE_LOAN_LOSS_FOREIGN_FFIEC" hidden="1">"c15381"</definedName>
    <definedName name="IQ_REVALUATION_GAINS_FDIC" hidden="1">"c6428"</definedName>
    <definedName name="IQ_REVALUATION_LOSSES_FDIC" hidden="1">"c6429"</definedName>
    <definedName name="IQ_REVENUE_10K" hidden="1">"IQ_REVENUE_10K"</definedName>
    <definedName name="IQ_REVENUE_10Q" hidden="1">"IQ_REVENUE_10Q"</definedName>
    <definedName name="IQ_REVENUE_10Q1" hidden="1">"IQ_REVENUE_10Q1"</definedName>
    <definedName name="IQ_REVENUE_GROWTH_1" hidden="1">"c155"</definedName>
    <definedName name="IQ_REVENUE_GROWTH_2" hidden="1">"c159"</definedName>
    <definedName name="IQ_REVENUE_NO_EST" hidden="1">"c263"</definedName>
    <definedName name="IQ_REVOLVING_SECURED_1_4_NON_ACCRUAL_FFIEC" hidden="1">"c13314"</definedName>
    <definedName name="IQ_RISK_WEIGHTED_ASSETS_FDIC" hidden="1">"c6370"</definedName>
    <definedName name="IQ_SALARY_FDIC" hidden="1">"c6576"</definedName>
    <definedName name="IQ_SALE_CONVERSION_ACQUISITION_NET_COMMON_FFIEC" hidden="1">"c15351"</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AVINGS_DEPOSITS_NON_TRANS_ACCTS_FFIEC" hidden="1">"c15329"</definedName>
    <definedName name="IQ_SAVINGS_DEPOSITS_QUARTERLY_AVG_FFIEC" hidden="1">"c15485"</definedName>
    <definedName name="IQ_SEC_OTHER_NONFARM_NONRES_NON_ACCRUAL_FFIEC" hidden="1">"c15462"</definedName>
    <definedName name="IQ_SEC_OWNER_NONFARM_NONRES_NON_ACCRUAL_FFIEC" hidden="1">"c15461"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STATE_POLI_SUBD_QUARTERLY_AVG_FFIEC" hidden="1">"c15470"</definedName>
    <definedName name="IQ_SECURITIES_UNDERWRITING_FDIC" hidden="1">"c6529"</definedName>
    <definedName name="IQ_SECURITY_ACTIVE_STATUS" hidden="1">"c15160"</definedName>
    <definedName name="IQ_SECURITY_NAME" hidden="1">"c15159"</definedName>
    <definedName name="IQ_SERVICE_CHARGES_FDIC" hidden="1">"c6572"</definedName>
    <definedName name="IQ_SHAREOUTSTANDING" hidden="1">"c1347"</definedName>
    <definedName name="IQ_SP_ISSUE_LC_ACTION" hidden="1">"c2644"</definedName>
    <definedName name="IQ_SP_ISSUE_LC_DATE" hidden="1">"c2643"</definedName>
    <definedName name="IQ_SP_ISSUE_LC_LT" hidden="1">"c2645"</definedName>
    <definedName name="IQ_SPECIAL_DIV_CF_BR" hidden="1">"c1171"</definedName>
    <definedName name="IQ_SPECIFIC_ALLOWANCE" hidden="1">"c15247"</definedName>
    <definedName name="IQ_ST_DEBT_BR" hidden="1">"c1178"</definedName>
    <definedName name="IQ_ST_DEBT_ISSUED_BR" hidden="1">"c1183"</definedName>
    <definedName name="IQ_ST_DEBT_REPAID_BR" hidden="1">"c1191"</definedName>
    <definedName name="IQ_STANDBY_LOC_FHLB_BANK_BEHALF_OFF_BS_FFIEC" hidden="1">"c15412"</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OCK_BASED_EXPLORE_DRILL" hidden="1">"c13851"</definedName>
    <definedName name="IQ_SUB_DEBT_FDIC" hidden="1">"c6346"</definedName>
    <definedName name="IQ_SUB_NOTES_DEBENTURES_FAIR_VALUE_TOT_FFIEC" hidden="1">"c15410"</definedName>
    <definedName name="IQ_SUB_NOTES_DEBENTURES_LEVEL_1_FFIEC" hidden="1">"c15432"</definedName>
    <definedName name="IQ_SUB_NOTES_DEBENTURES_LEVEL_2_FFIEC" hidden="1">"c15445"</definedName>
    <definedName name="IQ_SUB_NOTES_DEBENTURES_LEVEL_3_FFIEC" hidden="1">"c15458"</definedName>
    <definedName name="IQ_SURPLUS_FDIC" hidden="1">"c6351"</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FFIEC" hidden="1">"c13915"</definedName>
    <definedName name="IQ_TARGET_PRICE_LASTCLOSE" hidden="1">"c1855"</definedName>
    <definedName name="IQ_TAX_EQUIVALENT_ADJUSTMENTS_FFIEC" hidden="1">"c13854"</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TWO_CAPITAL_RATIO" hidden="1">"c15241"</definedName>
    <definedName name="IQ_TIME_DEPOSIT_LESS_100000_QUARTERLY_AVG_FFIEC" hidden="1">"c15487"</definedName>
    <definedName name="IQ_TIME_DEPOSIT_MORE_100000_QUARTERLY_AVG_FFIEC" hidden="1">"c15486"</definedName>
    <definedName name="IQ_TIME_DEPOSITS_LESS_100K_TOT_DEPOSITS_FFIEC" hidden="1">"c13907"</definedName>
    <definedName name="IQ_TIME_DEPOSITS_LESS_THAN_100K_FDIC" hidden="1">"c6465"</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SSETS_FAIR_VALUE_TOT_FFIEC" hidden="1">"c15405"</definedName>
    <definedName name="IQ_TOTAL_ASSETS_FDIC" hidden="1">"c6339"</definedName>
    <definedName name="IQ_TOTAL_ASSETS_LEVEL_1_FFIEC" hidden="1">"c15427"</definedName>
    <definedName name="IQ_TOTAL_ASSETS_LEVEL_2_FFIEC" hidden="1">"c15440"</definedName>
    <definedName name="IQ_TOTAL_ASSETS_LEVEL_3_FFIEC" hidden="1">"c15453"</definedName>
    <definedName name="IQ_TOTAL_BROKERED_DEPOSIT_FFIEC" hidden="1">"c15304"</definedName>
    <definedName name="IQ_TOTAL_CASH_DUE_DEPOSITORY_INSTIT_DOM_FFIEC" hidden="1">"c15291"</definedName>
    <definedName name="IQ_TOTAL_CASH_DUE_DEPOSITORY_INSTIT_FFIEC" hidden="1">"c15285"</definedName>
    <definedName name="IQ_TOTAL_CHARGE_OFFS_FDIC" hidden="1">"c6603"</definedName>
    <definedName name="IQ_TOTAL_COMMON_EQUITY_FFIEC" hidden="1">"c13913"</definedName>
    <definedName name="IQ_TOTAL_COMMON_EQUITY_TOTAL_ASSETS_FFIEC" hidden="1">"c13864"</definedName>
    <definedName name="IQ_TOTAL_DEBT_DUE" hidden="1">"c2509"</definedName>
    <definedName name="IQ_TOTAL_DEBT_ISSUED_BR" hidden="1">"c1253"</definedName>
    <definedName name="IQ_TOTAL_DEBT_REPAID_BR" hidden="1">"c1260"</definedName>
    <definedName name="IQ_TOTAL_DEBT_SECURITIES_FDIC" hidden="1">"c6410"</definedName>
    <definedName name="IQ_TOTAL_DEPOSITS_DOM_FFIEC" hidden="1">"c15313"</definedName>
    <definedName name="IQ_TOTAL_DEPOSITS_FDIC" hidden="1">"c6342"</definedName>
    <definedName name="IQ_TOTAL_DEPOSITS_SUPPLE" hidden="1">"c15253"</definedName>
    <definedName name="IQ_TOTAL_EMPLOYEES_FDIC" hidden="1">"c6355"</definedName>
    <definedName name="IQ_TOTAL_EQUITY_INCL_MINORITY_INTEREST_FFIEC" hidden="1">"c15278"</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EREST_EXP_FOREIGN_FFIEC" hidden="1">"c15374"</definedName>
    <definedName name="IQ_TOTAL_INTEREST_INC_FOREIGN_FFIEC" hidden="1">"c15373"</definedName>
    <definedName name="IQ_TOTAL_IRA_KEOGH_PLAN_ACCOUNTS_FFIEC" hidden="1">"c15303"</definedName>
    <definedName name="IQ_TOTAL_LIAB_BR" hidden="1">"c1278"</definedName>
    <definedName name="IQ_TOTAL_LIAB_EQUITY_FDIC" hidden="1">"c6354"</definedName>
    <definedName name="IQ_TOTAL_LIABILITIES_FAIR_VALUE_TOT_FFIEC" hidden="1">"c15411"</definedName>
    <definedName name="IQ_TOTAL_LIABILITIES_FDIC" hidden="1">"c6348"</definedName>
    <definedName name="IQ_TOTAL_LIABILITIES_LEVEL_1_FFIEC" hidden="1">"c15433"</definedName>
    <definedName name="IQ_TOTAL_LIABILITIES_LEVEL_2_FFIEC" hidden="1">"c15446"</definedName>
    <definedName name="IQ_TOTAL_LIABILITIES_LEVEL_3_FFIEC" hidden="1">"c15459"</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NON_ACCRUAL_FFIEC" hidden="1">"c13757"</definedName>
    <definedName name="IQ_TOTAL_NON_TRANS_ACCTS_FFIEC" hidden="1">"c15328"</definedName>
    <definedName name="IQ_TOTAL_NONINTEREST_EXPENSE_FOREIGN_FFIEC" hidden="1">"c15386"</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EVENUE_FOREIGN_FFIEC" hidden="1">"c15383"</definedName>
    <definedName name="IQ_TOTAL_RISK_BASED_CAPITAL_RATIO_FDIC" hidden="1">"c6747"</definedName>
    <definedName name="IQ_TOTAL_RISK_WEIGHTED_ASSETS_FFIEC" hidden="1">"c13858"</definedName>
    <definedName name="IQ_TOTAL_SECURITIES_FDIC" hidden="1">"c6306"</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LIAB_FOREIGN_FFIEC" hidden="1">"c15296"</definedName>
    <definedName name="IQ_TOTAL_TRANS_ACCTS_FFIEC" hidden="1">"c15321"</definedName>
    <definedName name="IQ_TOTAL_UNUSED_COMMITMENTS_FDIC" hidden="1">"c6536"</definedName>
    <definedName name="IQ_TOTAL_UNUSUAL_BR" hidden="1">"c5517"</definedName>
    <definedName name="IQ_TOTAL_UNUSUAL_SUPPLE" hidden="1">"c13817"</definedName>
    <definedName name="IQ_TR_BUY_ADVISORS" hidden="1">"c2387"</definedName>
    <definedName name="IQ_TR_BUYBACK_TO_CLOSE" hidden="1">"c13919"</definedName>
    <definedName name="IQ_TR_BUYBACK_TO_HIGH" hidden="1">"c13917"</definedName>
    <definedName name="IQ_TR_BUYBACK_TO_LOW" hidden="1">"c13918"</definedName>
    <definedName name="IQ_TR_SELL_ADVISORS" hidden="1">"c2388"</definedName>
    <definedName name="IQ_TR_SUBDEBT" hidden="1">"c2370"</definedName>
    <definedName name="IQ_TR_TARGET_ADVISORS" hidden="1">"c2386"</definedName>
    <definedName name="IQ_TRADING_ACCOUNT_GAINS_FEES_FDIC" hidden="1">"c6573"</definedName>
    <definedName name="IQ_TRADING_ASSETS_FDIC" hidden="1">"c6328"</definedName>
    <definedName name="IQ_TRADING_LIABILITIES_FDIC" hidden="1">"c6344"</definedName>
    <definedName name="IQ_TRADING_REV_FOREIGN_FFIEC" hidden="1">"c15377"</definedName>
    <definedName name="IQ_TRANS_ACCTS_TOT_DEPOSITS_FFIEC" hidden="1">"c13904"</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_OTHER_EQUITY_BR" hidden="1">"c1314"</definedName>
    <definedName name="IQ_TREASURY_STOCK_TRANSACTIONS_FDIC" hidden="1">"c6501"</definedName>
    <definedName name="IQ_TREASURY_STOCK_TRANSACTIONS_FFIEC" hidden="1">"c15352"</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ANKS_OTHER_INST_FOREIGN_DEP_FFIEC" hidden="1">"c15343"</definedName>
    <definedName name="IQ_US_BRANCHES_FOREIGN_BANK_LOANS_FDIC" hidden="1">"c6435"</definedName>
    <definedName name="IQ_US_BRANCHES_FOREIGN_BANKS_FDIC" hidden="1">"c6390"</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TREASURY_SECURITIES_FDIC" hidden="1">"c6298"</definedName>
    <definedName name="IQ_UST_SEC_GOVT_AGENCY_CORP_QUARTERLY_AVG_FFIEC" hidden="1">"c15469"</definedName>
    <definedName name="IQ_UST_SECURITIES_GOVT_AGENCY_QUARTERLY_AVG_FFIEC" hidden="1">"c15468"</definedName>
    <definedName name="IQ_VALUATION_ALLOWANCES_FDIC" hidden="1">"c6400"</definedName>
    <definedName name="IQ_VC_REVENUE_FDIC" hidden="1">"c6667"</definedName>
    <definedName name="IQ_VEHICLE_LOANS" hidden="1">"c15249"</definedName>
    <definedName name="IQ_VOLATILE_LIABILITIES_FDIC" hidden="1">"c6364"</definedName>
    <definedName name="IQ_WEEK" hidden="1">50000</definedName>
    <definedName name="IQ_WRITTEN_OPTION_CONTRACTS_FDIC" hidden="1">"c6509"</definedName>
    <definedName name="IQ_WRITTEN_OPTION_CONTRACTS_FX_RISK_FDIC" hidden="1">"c6514"</definedName>
    <definedName name="IQ_WRITTEN_OPTION_CONTRACTS_NON_FX_IR_FDIC" hidden="1">"c6519"</definedName>
    <definedName name="IQ_YTD" hidden="1">3000</definedName>
    <definedName name="IQ_YTDMONTH" hidden="1">130000</definedName>
    <definedName name="IQRA1" hidden="1">"$A$2"</definedName>
    <definedName name="IQRA2" hidden="1">"$A$3"</definedName>
    <definedName name="IQRA5" hidden="1">"$A$6:$A$43"</definedName>
    <definedName name="IQRA6" hidden="1">"$A$7:$A$44"</definedName>
    <definedName name="IQRA8" hidden="1">"$A$9:$A$260"</definedName>
    <definedName name="IQRAF17" hidden="1">"$AF$18:$AF$265"</definedName>
    <definedName name="IQRAG14" hidden="1">"$AG$15:$AG$262"</definedName>
    <definedName name="IQRAG17" hidden="1">"$AG$18:$AG$265"</definedName>
    <definedName name="IQRAG21" hidden="1">"$AG$22:$AG$269"</definedName>
    <definedName name="IQRAG25" hidden="1">"$AG$26:$AG$273"</definedName>
    <definedName name="IQRAG26" hidden="1">"$AG$27:$AG$274"</definedName>
    <definedName name="IQRAG27" hidden="1">"$AG$28:$AG$275"</definedName>
    <definedName name="IQRAG28" hidden="1">"$AG$29:$AG$276"</definedName>
    <definedName name="IQRAG29" hidden="1">"$AG$30:$AG$277"</definedName>
    <definedName name="IQRAG33" hidden="1">"$AG$34:$AG$281"</definedName>
    <definedName name="IQRAG35" hidden="1">"$AG$36:$AG$283"</definedName>
    <definedName name="IQRAG37" hidden="1">"$AG$38:$AG$285"</definedName>
    <definedName name="IQRAH35" hidden="1">"$AH$36:$AH$283"</definedName>
    <definedName name="IQRAN34" hidden="1">"$AN$35:$AN$286"</definedName>
    <definedName name="IQRAN35" hidden="1">"$AN$36:$AN$285"</definedName>
    <definedName name="IQRB1" hidden="1">"$B$2:$B$11"</definedName>
    <definedName name="IQRB10" hidden="1">"$B$11:$B$4090"</definedName>
    <definedName name="IQRB12" hidden="1">"$B$13:$B$4093"</definedName>
    <definedName name="IQRB2" hidden="1">"$B$3:$B$12"</definedName>
    <definedName name="IQRB5" hidden="1">"$B$6:$B$43"</definedName>
    <definedName name="IQRB6" hidden="1">"$B$7:$B$44"</definedName>
    <definedName name="IQRB60" hidden="1">"$B$61:$B$426"</definedName>
    <definedName name="IQRB8" hidden="1">"$B$9:$B$260"</definedName>
    <definedName name="IQRC1" hidden="1">"$C$2:$C$11"</definedName>
    <definedName name="IQRC5" hidden="1">"$C$6:$C$43"</definedName>
    <definedName name="IQRC6" hidden="1">"$C$7:$C$44"</definedName>
    <definedName name="IQRC8" hidden="1">"$C$9:$C$260"</definedName>
    <definedName name="IQRCoverAG35" localSheetId="4" hidden="1">#REF!</definedName>
    <definedName name="IQRCoverAG35" localSheetId="5" hidden="1">#REF!</definedName>
    <definedName name="IQRCoverAG35" localSheetId="6" hidden="1">#REF!</definedName>
    <definedName name="IQRCoverAG35" localSheetId="9" hidden="1">#REF!</definedName>
    <definedName name="IQRCoverAG35" hidden="1">#REF!</definedName>
    <definedName name="IQRCoverAN35" localSheetId="4" hidden="1">#REF!</definedName>
    <definedName name="IQRCoverAN35" localSheetId="5" hidden="1">#REF!</definedName>
    <definedName name="IQRCoverAN35" localSheetId="6" hidden="1">#REF!</definedName>
    <definedName name="IQRCoverAN35" localSheetId="9" hidden="1">#REF!</definedName>
    <definedName name="IQRCoverAN35" hidden="1">#REF!</definedName>
    <definedName name="IQRCoverAX35" localSheetId="4" hidden="1">#REF!</definedName>
    <definedName name="IQRCoverAX35" localSheetId="5" hidden="1">#REF!</definedName>
    <definedName name="IQRCoverAX35" localSheetId="6" hidden="1">#REF!</definedName>
    <definedName name="IQRCoverAX35" localSheetId="9" hidden="1">#REF!</definedName>
    <definedName name="IQRCoverAX35" hidden="1">#REF!</definedName>
    <definedName name="IQRD5" hidden="1">"$D$6:$D$43"</definedName>
    <definedName name="IQRD6" hidden="1">"$D$7:$D$44"</definedName>
    <definedName name="IQRE11" hidden="1">"$E$12:$E$3225"</definedName>
    <definedName name="IQRE5" hidden="1">"$E$6:$E$43"</definedName>
    <definedName name="IQRE6" hidden="1">"$E$7:$E$44"</definedName>
    <definedName name="IQREPSNumbersF15" localSheetId="4" hidden="1">#REF!</definedName>
    <definedName name="IQREPSNumbersF15" localSheetId="5" hidden="1">#REF!</definedName>
    <definedName name="IQREPSNumbersF15" localSheetId="6" hidden="1">#REF!</definedName>
    <definedName name="IQREPSNumbersF15" localSheetId="9" hidden="1">#REF!</definedName>
    <definedName name="IQREPSNumbersF15" hidden="1">#REF!</definedName>
    <definedName name="IQRF12" hidden="1">"$F$13:$F$3226"</definedName>
    <definedName name="IQRG12" hidden="1">"$G$13:$G$3226"</definedName>
    <definedName name="IQRL2" hidden="1">"$L$3:$L$21"</definedName>
    <definedName name="IQRL3" hidden="1">"$L$4:$L$22"</definedName>
    <definedName name="IQRL4" hidden="1">"$L$5:$L$23"</definedName>
    <definedName name="IQRL5" hidden="1">"$L$6:$L$24"</definedName>
    <definedName name="IQRL6" hidden="1">"$L$7:$L$25"</definedName>
    <definedName name="IQRP12" hidden="1">"$P$13:$P$4093"</definedName>
    <definedName name="IQRP16" hidden="1">"$P$17:$P$4099"</definedName>
    <definedName name="IQRU12" hidden="1">"$U$13:$U$3227"</definedName>
    <definedName name="IQRU16" hidden="1">"$U$17:$U$3233"</definedName>
    <definedName name="limcount" hidden="1">1</definedName>
    <definedName name="M_PlaceofPath" hidden="1">"F:\KBRAU\eric\ericy_vdf.xls"</definedName>
    <definedName name="new_name" localSheetId="4" hidden="1">{#N/A,#N/A,FALSE,"Aging Summary";#N/A,#N/A,FALSE,"Ratio Analysis";#N/A,#N/A,FALSE,"Test 120 Day Accts";#N/A,#N/A,FALSE,"Tickmarks"}</definedName>
    <definedName name="new_name" localSheetId="5" hidden="1">{#N/A,#N/A,FALSE,"Aging Summary";#N/A,#N/A,FALSE,"Ratio Analysis";#N/A,#N/A,FALSE,"Test 120 Day Accts";#N/A,#N/A,FALSE,"Tickmarks"}</definedName>
    <definedName name="new_name" localSheetId="6" hidden="1">{#N/A,#N/A,FALSE,"Aging Summary";#N/A,#N/A,FALSE,"Ratio Analysis";#N/A,#N/A,FALSE,"Test 120 Day Accts";#N/A,#N/A,FALSE,"Tickmarks"}</definedName>
    <definedName name="new_name" localSheetId="9" hidden="1">{#N/A,#N/A,FALSE,"Aging Summary";#N/A,#N/A,FALSE,"Ratio Analysis";#N/A,#N/A,FALSE,"Test 120 Day Accts";#N/A,#N/A,FALSE,"Tickmarks"}</definedName>
    <definedName name="new_name" localSheetId="15" hidden="1">{#N/A,#N/A,FALSE,"Aging Summary";#N/A,#N/A,FALSE,"Ratio Analysis";#N/A,#N/A,FALSE,"Test 120 Day Accts";#N/A,#N/A,FALSE,"Tickmarks"}</definedName>
    <definedName name="new_name" hidden="1">{#N/A,#N/A,FALSE,"Aging Summary";#N/A,#N/A,FALSE,"Ratio Analysis";#N/A,#N/A,FALSE,"Test 120 Day Accts";#N/A,#N/A,FALSE,"Tickmarks"}</definedName>
    <definedName name="Pal_Workbook_GUID" hidden="1">"DCLZGSK5YXKFWY64VNPEPQGL"</definedName>
    <definedName name="Pop" localSheetId="4" hidden="1">#REF!</definedName>
    <definedName name="Pop" localSheetId="5" hidden="1">#REF!</definedName>
    <definedName name="Pop" localSheetId="6" hidden="1">#REF!</definedName>
    <definedName name="Pop" localSheetId="9" hidden="1">#REF!</definedName>
    <definedName name="Pop" hidden="1">#REF!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FALSE</definedName>
    <definedName name="RiskNumIterations" hidden="1">5000</definedName>
    <definedName name="RiskNumSimulations" hidden="1">1</definedName>
    <definedName name="RiskPauseOnError" hidden="1">TRUE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sdd" localSheetId="4" hidden="1">'[1]All road-work file'!#REF!</definedName>
    <definedName name="sdd" localSheetId="5" hidden="1">'[1]All road-work file'!#REF!</definedName>
    <definedName name="sdd" localSheetId="6" hidden="1">'[1]All road-work file'!#REF!</definedName>
    <definedName name="sdd" localSheetId="9" hidden="1">'[1]All road-work file'!#REF!</definedName>
    <definedName name="sdd" hidden="1">'[1]All road-work file'!#REF!</definedName>
    <definedName name="sencount" hidden="1">5</definedName>
    <definedName name="sencount2" hidden="1">2</definedName>
    <definedName name="solver_adj" localSheetId="4" hidden="1">'[5]Net Interest'!#REF!</definedName>
    <definedName name="solver_adj" localSheetId="5" hidden="1">'[5]Net Interest'!#REF!</definedName>
    <definedName name="solver_adj" localSheetId="6" hidden="1">'[5]Net Interest'!#REF!</definedName>
    <definedName name="solver_adj" localSheetId="9" hidden="1">'[5]Net Interest'!#REF!</definedName>
    <definedName name="solver_adj" hidden="1">'[5]Net Interest'!#REF!</definedName>
    <definedName name="solver_lin" hidden="1">0</definedName>
    <definedName name="solver_ntri" hidden="1">1000</definedName>
    <definedName name="solver_num" hidden="1">0</definedName>
    <definedName name="solver_opt" localSheetId="4" hidden="1">'[5]Net Interest'!#REF!</definedName>
    <definedName name="solver_opt" localSheetId="5" hidden="1">'[5]Net Interest'!#REF!</definedName>
    <definedName name="solver_opt" localSheetId="6" hidden="1">'[5]Net Interest'!#REF!</definedName>
    <definedName name="solver_opt" hidden="1">'[5]Net Interest'!#REF!</definedName>
    <definedName name="solver_rsmp" hidden="1">1</definedName>
    <definedName name="solver_seed" hidden="1">0</definedName>
    <definedName name="solver_typ" hidden="1">3</definedName>
    <definedName name="solver_val" hidden="1">49</definedName>
    <definedName name="ssasd" localSheetId="4" hidden="1">#REF!</definedName>
    <definedName name="ssasd" localSheetId="5" hidden="1">#REF!</definedName>
    <definedName name="ssasd" localSheetId="6" hidden="1">#REF!</definedName>
    <definedName name="ssasd" localSheetId="9" hidden="1">#REF!</definedName>
    <definedName name="ssasd" hidden="1">#REF!</definedName>
    <definedName name="wrn.Aging._.and._.Trend._.Analysis." localSheetId="4"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localSheetId="15"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f." localSheetId="4" hidden="1">{"one",#N/A,FALSE,"cf";"two",#N/A,FALSE,"cf"}</definedName>
    <definedName name="wrn.cf." localSheetId="5" hidden="1">{"one",#N/A,FALSE,"cf";"two",#N/A,FALSE,"cf"}</definedName>
    <definedName name="wrn.cf." localSheetId="6" hidden="1">{"one",#N/A,FALSE,"cf";"two",#N/A,FALSE,"cf"}</definedName>
    <definedName name="wrn.cf." localSheetId="9" hidden="1">{"one",#N/A,FALSE,"cf";"two",#N/A,FALSE,"cf"}</definedName>
    <definedName name="wrn.cf." localSheetId="15" hidden="1">{"one",#N/A,FALSE,"cf";"two",#N/A,FALSE,"cf"}</definedName>
    <definedName name="wrn.cf." hidden="1">{"one",#N/A,FALSE,"cf";"two",#N/A,FALSE,"cf"}</definedName>
    <definedName name="wrn.euro." localSheetId="4" hidden="1">{#N/A,#N/A,FALSE,"Austria"}</definedName>
    <definedName name="wrn.euro." localSheetId="5" hidden="1">{#N/A,#N/A,FALSE,"Austria"}</definedName>
    <definedName name="wrn.euro." localSheetId="6" hidden="1">{#N/A,#N/A,FALSE,"Austria"}</definedName>
    <definedName name="wrn.euro." localSheetId="9" hidden="1">{#N/A,#N/A,FALSE,"Austria"}</definedName>
    <definedName name="wrn.euro." localSheetId="15" hidden="1">{#N/A,#N/A,FALSE,"Austria"}</definedName>
    <definedName name="wrn.euro." hidden="1">{#N/A,#N/A,FALSE,"Austria"}</definedName>
    <definedName name="wrn.full." localSheetId="4" hidden="1">{"ANNUAL",#N/A,FALSE,"DDCLINK";"DDC94",#N/A,FALSE,"DDCLINK"}</definedName>
    <definedName name="wrn.full." localSheetId="5" hidden="1">{"ANNUAL",#N/A,FALSE,"DDCLINK";"DDC94",#N/A,FALSE,"DDCLINK"}</definedName>
    <definedName name="wrn.full." localSheetId="6" hidden="1">{"ANNUAL",#N/A,FALSE,"DDCLINK";"DDC94",#N/A,FALSE,"DDCLINK"}</definedName>
    <definedName name="wrn.full." localSheetId="9" hidden="1">{"ANNUAL",#N/A,FALSE,"DDCLINK";"DDC94",#N/A,FALSE,"DDCLINK"}</definedName>
    <definedName name="wrn.full." localSheetId="15" hidden="1">{"ANNUAL",#N/A,FALSE,"DDCLINK";"DDC94",#N/A,FALSE,"DDCLINK"}</definedName>
    <definedName name="wrn.full." hidden="1">{"ANNUAL",#N/A,FALSE,"DDCLINK";"DDC94",#N/A,FALSE,"DDCLINK"}</definedName>
    <definedName name="wrn.Full._.Financials." localSheetId="5" hidden="1">{#N/A,#N/A,TRUE,"Financials";#N/A,#N/A,TRUE,"Operating Statistics";#N/A,#N/A,TRUE,"Capex &amp; Depreciation";#N/A,#N/A,TRUE,"Debt"}</definedName>
    <definedName name="wrn.Full._.Financials." hidden="1">{#N/A,#N/A,TRUE,"Financials";#N/A,#N/A,TRUE,"Operating Statistics";#N/A,#N/A,TRUE,"Capex &amp; Depreciation";#N/A,#N/A,TRUE,"Debt"}</definedName>
    <definedName name="wrn.One._.Pager._.plus._.Technicals." localSheetId="5" hidden="1">{#N/A,#N/A,FALSE,"One Pager";#N/A,#N/A,FALSE,"Technical"}</definedName>
    <definedName name="wrn.One._.Pager._.plus._.Technicals." hidden="1">{#N/A,#N/A,FALSE,"One Pager";#N/A,#N/A,FALSE,"Technical"}</definedName>
    <definedName name="wrn.Transport." localSheetId="4" hidden="1">{#N/A,#N/A,FALSE,"9.1A";#N/A,#N/A,FALSE,"9.1B";#N/A,#N/A,FALSE,"9.2A";#N/A,#N/A,FALSE,"9.2B";#N/A,#N/A,FALSE,"9.2C";#N/A,#N/A,FALSE,"9.3A";#N/A,#N/A,FALSE,"9.3B";#N/A,#N/A,FALSE,"9.3C";#N/A,#N/A,FALSE,"9.4";#N/A,#N/A,FALSE,"9.5A";#N/A,#N/A,FALSE,"9.5B"}</definedName>
    <definedName name="wrn.Transport." localSheetId="5" hidden="1">{#N/A,#N/A,FALSE,"9.1A";#N/A,#N/A,FALSE,"9.1B";#N/A,#N/A,FALSE,"9.2A";#N/A,#N/A,FALSE,"9.2B";#N/A,#N/A,FALSE,"9.2C";#N/A,#N/A,FALSE,"9.3A";#N/A,#N/A,FALSE,"9.3B";#N/A,#N/A,FALSE,"9.3C";#N/A,#N/A,FALSE,"9.4";#N/A,#N/A,FALSE,"9.5A";#N/A,#N/A,FALSE,"9.5B"}</definedName>
    <definedName name="wrn.Transport." localSheetId="6" hidden="1">{#N/A,#N/A,FALSE,"9.1A";#N/A,#N/A,FALSE,"9.1B";#N/A,#N/A,FALSE,"9.2A";#N/A,#N/A,FALSE,"9.2B";#N/A,#N/A,FALSE,"9.2C";#N/A,#N/A,FALSE,"9.3A";#N/A,#N/A,FALSE,"9.3B";#N/A,#N/A,FALSE,"9.3C";#N/A,#N/A,FALSE,"9.4";#N/A,#N/A,FALSE,"9.5A";#N/A,#N/A,FALSE,"9.5B"}</definedName>
    <definedName name="wrn.Transport." localSheetId="9" hidden="1">{#N/A,#N/A,FALSE,"9.1A";#N/A,#N/A,FALSE,"9.1B";#N/A,#N/A,FALSE,"9.2A";#N/A,#N/A,FALSE,"9.2B";#N/A,#N/A,FALSE,"9.2C";#N/A,#N/A,FALSE,"9.3A";#N/A,#N/A,FALSE,"9.3B";#N/A,#N/A,FALSE,"9.3C";#N/A,#N/A,FALSE,"9.4";#N/A,#N/A,FALSE,"9.5A";#N/A,#N/A,FALSE,"9.5B"}</definedName>
    <definedName name="wrn.Transport." localSheetId="15" hidden="1">{#N/A,#N/A,FALSE,"9.1A";#N/A,#N/A,FALSE,"9.1B";#N/A,#N/A,FALSE,"9.2A";#N/A,#N/A,FALSE,"9.2B";#N/A,#N/A,FALSE,"9.2C";#N/A,#N/A,FALSE,"9.3A";#N/A,#N/A,FALSE,"9.3B";#N/A,#N/A,FALSE,"9.3C";#N/A,#N/A,FALSE,"9.4";#N/A,#N/A,FALSE,"9.5A";#N/A,#N/A,FALSE,"9.5B"}</definedName>
    <definedName name="wrn.Transport." hidden="1">{#N/A,#N/A,FALSE,"9.1A";#N/A,#N/A,FALSE,"9.1B";#N/A,#N/A,FALSE,"9.2A";#N/A,#N/A,FALSE,"9.2B";#N/A,#N/A,FALSE,"9.2C";#N/A,#N/A,FALSE,"9.3A";#N/A,#N/A,FALSE,"9.3B";#N/A,#N/A,FALSE,"9.3C";#N/A,#N/A,FALSE,"9.4";#N/A,#N/A,FALSE,"9.5A";#N/A,#N/A,FALSE,"9.5B"}</definedName>
    <definedName name="wrn.Waste." localSheetId="4" hidden="1">{#N/A,#N/A,FALSE,"7.1A";#N/A,#N/A,FALSE,"7.1B";#N/A,#N/A,FALSE,"7.2A";#N/A,#N/A,FALSE,"7.2B";#N/A,#N/A,FALSE,"7.2C";#N/A,#N/A,FALSE,"7.3";#N/A,#N/A,FALSE,"7.4A";#N/A,#N/A,FALSE,"7.4B";#N/A,#N/A,FALSE,"7.5";#N/A,#N/A,FALSE,"7.6"}</definedName>
    <definedName name="wrn.Waste." localSheetId="5" hidden="1">{#N/A,#N/A,FALSE,"7.1A";#N/A,#N/A,FALSE,"7.1B";#N/A,#N/A,FALSE,"7.2A";#N/A,#N/A,FALSE,"7.2B";#N/A,#N/A,FALSE,"7.2C";#N/A,#N/A,FALSE,"7.3";#N/A,#N/A,FALSE,"7.4A";#N/A,#N/A,FALSE,"7.4B";#N/A,#N/A,FALSE,"7.5";#N/A,#N/A,FALSE,"7.6"}</definedName>
    <definedName name="wrn.Waste." localSheetId="6" hidden="1">{#N/A,#N/A,FALSE,"7.1A";#N/A,#N/A,FALSE,"7.1B";#N/A,#N/A,FALSE,"7.2A";#N/A,#N/A,FALSE,"7.2B";#N/A,#N/A,FALSE,"7.2C";#N/A,#N/A,FALSE,"7.3";#N/A,#N/A,FALSE,"7.4A";#N/A,#N/A,FALSE,"7.4B";#N/A,#N/A,FALSE,"7.5";#N/A,#N/A,FALSE,"7.6"}</definedName>
    <definedName name="wrn.Waste." localSheetId="9" hidden="1">{#N/A,#N/A,FALSE,"7.1A";#N/A,#N/A,FALSE,"7.1B";#N/A,#N/A,FALSE,"7.2A";#N/A,#N/A,FALSE,"7.2B";#N/A,#N/A,FALSE,"7.2C";#N/A,#N/A,FALSE,"7.3";#N/A,#N/A,FALSE,"7.4A";#N/A,#N/A,FALSE,"7.4B";#N/A,#N/A,FALSE,"7.5";#N/A,#N/A,FALSE,"7.6"}</definedName>
    <definedName name="wrn.Waste." localSheetId="15" hidden="1">{#N/A,#N/A,FALSE,"7.1A";#N/A,#N/A,FALSE,"7.1B";#N/A,#N/A,FALSE,"7.2A";#N/A,#N/A,FALSE,"7.2B";#N/A,#N/A,FALSE,"7.2C";#N/A,#N/A,FALSE,"7.3";#N/A,#N/A,FALSE,"7.4A";#N/A,#N/A,FALSE,"7.4B";#N/A,#N/A,FALSE,"7.5";#N/A,#N/A,FALSE,"7.6"}</definedName>
    <definedName name="wrn.Waste." hidden="1">{#N/A,#N/A,FALSE,"7.1A";#N/A,#N/A,FALSE,"7.1B";#N/A,#N/A,FALSE,"7.2A";#N/A,#N/A,FALSE,"7.2B";#N/A,#N/A,FALSE,"7.2C";#N/A,#N/A,FALSE,"7.3";#N/A,#N/A,FALSE,"7.4A";#N/A,#N/A,FALSE,"7.4B";#N/A,#N/A,FALSE,"7.5";#N/A,#N/A,FALSE,"7.6"}</definedName>
    <definedName name="XLSIMSIM" localSheetId="4" hidden="1">{"Sim",3,"Panamax in 2015","'Control'!$B$17","Bunkers in 2015","'Control'!$B$21","TransPacific in 2015","'Control'!$B$25","2","3","2,000","190946"}</definedName>
    <definedName name="XLSIMSIM" localSheetId="5" hidden="1">{"Sim",3,"Panamax in 2015","'Control'!$B$17","Bunkers in 2015","'Control'!$B$21","TransPacific in 2015","'Control'!$B$25","2","3","2,000","190946"}</definedName>
    <definedName name="XLSIMSIM" localSheetId="6" hidden="1">{"Sim",3,"Panamax in 2015","'Control'!$B$17","Bunkers in 2015","'Control'!$B$21","TransPacific in 2015","'Control'!$B$25","2","3","2,000","190946"}</definedName>
    <definedName name="XLSIMSIM" localSheetId="9" hidden="1">{"Sim",3,"Panamax in 2015","'Control'!$B$17","Bunkers in 2015","'Control'!$B$21","TransPacific in 2015","'Control'!$B$25","2","3","2,000","190946"}</definedName>
    <definedName name="XLSIMSIM" localSheetId="15" hidden="1">{"Sim",3,"Panamax in 2015","'Control'!$B$17","Bunkers in 2015","'Control'!$B$21","TransPacific in 2015","'Control'!$B$25","2","3","2,000","190946"}</definedName>
    <definedName name="XLSIMSIM" hidden="1">{"Sim",3,"Panamax in 2015","'Control'!$B$17","Bunkers in 2015","'Control'!$B$21","TransPacific in 2015","'Control'!$B$25","2","3","2,000","190946"}</definedName>
    <definedName name="XLSIMSIM_sub_1" hidden="1">"={""Sim"",6,""TC Trend 2005-10"",""'Control'!$B$15"",""TC Trend 2010-15"",""'Control'!$B$16"",""Container Trend 2005-10"",""'Control'!$B$21"",""Container Trend 2010-15"",""'Control'!$B$22"",""Panamax in 2015"",""'Control'!$B$17"",""TransPacific in 20"</definedName>
    <definedName name="XLSIMSIM_sub_2" hidden="1">"15"",""'Control'!$B$25"",""2"",""3"",""2,000"",""190946""}"</definedName>
    <definedName name="XLSIMSIM_sub_3" hidden="1">"ts'!$C$17"",""Smelter Cap by 2011"",""'MC Results'!$C$15"",""Primary Cons AGR 2005-2030"",""'MC Results'!$C$10"",""1"",""3"",""1,000"",""0""}"</definedName>
    <definedName name="yyyy" hidden="1">[6]Sheet1!$J$1028:$T$1043</definedName>
    <definedName name="zz" localSheetId="4" hidden="1">{"'MObitel Pricing'!$B$2:$G$12","'MObitel Pricing'!$G$15"}</definedName>
    <definedName name="zz" localSheetId="5" hidden="1">{"'MObitel Pricing'!$B$2:$G$12","'MObitel Pricing'!$G$15"}</definedName>
    <definedName name="zz" localSheetId="6" hidden="1">{"'MObitel Pricing'!$B$2:$G$12","'MObitel Pricing'!$G$15"}</definedName>
    <definedName name="zz" localSheetId="9" hidden="1">{"'MObitel Pricing'!$B$2:$G$12","'MObitel Pricing'!$G$15"}</definedName>
    <definedName name="zz" localSheetId="15" hidden="1">{"'MObitel Pricing'!$B$2:$G$12","'MObitel Pricing'!$G$15"}</definedName>
    <definedName name="zz" hidden="1">{"'MObitel Pricing'!$B$2:$G$12","'MObitel Pricing'!$G$15"}</definedName>
    <definedName name="法国刺激政策" localSheetId="4" hidden="1">{#N/A,#N/A,FALSE,"Aging Summary";#N/A,#N/A,FALSE,"Ratio Analysis";#N/A,#N/A,FALSE,"Test 120 Day Accts";#N/A,#N/A,FALSE,"Tickmarks"}</definedName>
    <definedName name="法国刺激政策" localSheetId="5" hidden="1">{#N/A,#N/A,FALSE,"Aging Summary";#N/A,#N/A,FALSE,"Ratio Analysis";#N/A,#N/A,FALSE,"Test 120 Day Accts";#N/A,#N/A,FALSE,"Tickmarks"}</definedName>
    <definedName name="法国刺激政策" localSheetId="6" hidden="1">{#N/A,#N/A,FALSE,"Aging Summary";#N/A,#N/A,FALSE,"Ratio Analysis";#N/A,#N/A,FALSE,"Test 120 Day Accts";#N/A,#N/A,FALSE,"Tickmarks"}</definedName>
    <definedName name="法国刺激政策" localSheetId="9" hidden="1">{#N/A,#N/A,FALSE,"Aging Summary";#N/A,#N/A,FALSE,"Ratio Analysis";#N/A,#N/A,FALSE,"Test 120 Day Accts";#N/A,#N/A,FALSE,"Tickmarks"}</definedName>
    <definedName name="法国刺激政策" localSheetId="15" hidden="1">{#N/A,#N/A,FALSE,"Aging Summary";#N/A,#N/A,FALSE,"Ratio Analysis";#N/A,#N/A,FALSE,"Test 120 Day Accts";#N/A,#N/A,FALSE,"Tickmarks"}</definedName>
    <definedName name="法国刺激政策" hidden="1">{#N/A,#N/A,FALSE,"Aging Summary";#N/A,#N/A,FALSE,"Ratio Analysis";#N/A,#N/A,FALSE,"Test 120 Day Accts";#N/A,#N/A,FALSE,"Tickmarks"}</definedName>
  </definedNames>
  <calcPr calcId="191029" iterate="1" iterateCount="1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51" i="55" l="1"/>
  <c r="I51" i="55" s="1"/>
  <c r="H53" i="55"/>
  <c r="I53" i="55" s="1"/>
  <c r="H19" i="55"/>
  <c r="I19" i="55"/>
  <c r="H22" i="55"/>
  <c r="I22" i="55"/>
  <c r="H13" i="55"/>
  <c r="I13" i="55"/>
  <c r="H16" i="55"/>
  <c r="I16" i="55"/>
  <c r="L45" i="81"/>
  <c r="H32" i="81"/>
  <c r="C26" i="81"/>
  <c r="N16" i="81"/>
  <c r="L9" i="81"/>
  <c r="O9" i="81"/>
  <c r="C45" i="81"/>
  <c r="N31" i="81"/>
  <c r="P24" i="81"/>
  <c r="M16" i="81"/>
  <c r="D11" i="81"/>
  <c r="M48" i="81"/>
  <c r="I44" i="81"/>
  <c r="E31" i="81"/>
  <c r="N23" i="81"/>
  <c r="L14" i="81"/>
  <c r="P22" i="81"/>
  <c r="I45" i="81"/>
  <c r="E32" i="81"/>
  <c r="H26" i="81"/>
  <c r="C21" i="81"/>
  <c r="H48" i="81"/>
  <c r="J47" i="81"/>
  <c r="F42" i="81"/>
  <c r="B30" i="81"/>
  <c r="K22" i="81"/>
  <c r="J11" i="81"/>
  <c r="O16" i="81"/>
  <c r="G45" i="81"/>
  <c r="C32" i="81"/>
  <c r="L24" i="81"/>
  <c r="I11" i="81"/>
  <c r="H47" i="81"/>
  <c r="D42" i="81"/>
  <c r="O29" i="81"/>
  <c r="I22" i="81"/>
  <c r="H11" i="81"/>
  <c r="F69" i="68"/>
  <c r="B50" i="68"/>
  <c r="D23" i="68"/>
  <c r="C71" i="68"/>
  <c r="B56" i="68"/>
  <c r="D26" i="68"/>
  <c r="F43" i="68"/>
  <c r="C43" i="68"/>
  <c r="F67" i="68"/>
  <c r="E48" i="68"/>
  <c r="E24" i="68"/>
  <c r="C42" i="68"/>
  <c r="F44" i="68"/>
  <c r="C69" i="68"/>
  <c r="B26" i="68"/>
  <c r="D68" i="68"/>
  <c r="C63" i="68"/>
  <c r="B42" i="68"/>
  <c r="C9" i="68"/>
  <c r="C25" i="68"/>
  <c r="C53" i="68"/>
  <c r="E25" i="68"/>
  <c r="C22" i="68"/>
  <c r="D45" i="81"/>
  <c r="O31" i="81"/>
  <c r="I24" i="81"/>
  <c r="F16" i="81"/>
  <c r="C9" i="81"/>
  <c r="N48" i="81"/>
  <c r="J44" i="81"/>
  <c r="F31" i="81"/>
  <c r="H24" i="81"/>
  <c r="E16" i="81"/>
  <c r="B9" i="81"/>
  <c r="E48" i="81"/>
  <c r="P42" i="81"/>
  <c r="L30" i="81"/>
  <c r="F23" i="81"/>
  <c r="D14" i="81"/>
  <c r="G14" i="81"/>
  <c r="P44" i="81"/>
  <c r="L31" i="81"/>
  <c r="N24" i="81"/>
  <c r="K16" i="81"/>
  <c r="C42" i="81"/>
  <c r="B47" i="81"/>
  <c r="M41" i="81"/>
  <c r="I29" i="81"/>
  <c r="C22" i="81"/>
  <c r="B11" i="81"/>
  <c r="G9" i="81"/>
  <c r="N44" i="81"/>
  <c r="J31" i="81"/>
  <c r="D24" i="81"/>
  <c r="G47" i="81"/>
  <c r="O46" i="81"/>
  <c r="C68" i="68"/>
  <c r="D52" i="68"/>
  <c r="B44" i="68"/>
  <c r="C21" i="68"/>
  <c r="D70" i="68"/>
  <c r="O48" i="81"/>
  <c r="K44" i="81"/>
  <c r="G31" i="81"/>
  <c r="P23" i="81"/>
  <c r="N14" i="81"/>
  <c r="I9" i="81"/>
  <c r="F48" i="81"/>
  <c r="B44" i="81"/>
  <c r="M30" i="81"/>
  <c r="O23" i="81"/>
  <c r="M14" i="81"/>
  <c r="N46" i="81"/>
  <c r="L47" i="81"/>
  <c r="H42" i="81"/>
  <c r="D30" i="81"/>
  <c r="M22" i="81"/>
  <c r="L11" i="81"/>
  <c r="L48" i="81"/>
  <c r="H44" i="81"/>
  <c r="D31" i="81"/>
  <c r="F24" i="81"/>
  <c r="C16" i="81"/>
  <c r="H31" i="81"/>
  <c r="I46" i="81"/>
  <c r="E41" i="81"/>
  <c r="O26" i="81"/>
  <c r="J21" i="81"/>
  <c r="J9" i="81"/>
  <c r="J48" i="81"/>
  <c r="F44" i="81"/>
  <c r="B31" i="81"/>
  <c r="K23" i="81"/>
  <c r="M45" i="81"/>
  <c r="G46" i="81"/>
  <c r="C41" i="81"/>
  <c r="M26" i="81"/>
  <c r="H21" i="81"/>
  <c r="H9" i="81"/>
  <c r="E66" i="68"/>
  <c r="F42" i="68"/>
  <c r="C18" i="68"/>
  <c r="B68" i="68"/>
  <c r="F48" i="68"/>
  <c r="C23" i="68"/>
  <c r="E27" i="68"/>
  <c r="B16" i="68"/>
  <c r="E63" i="68"/>
  <c r="D42" i="68"/>
  <c r="D21" i="68"/>
  <c r="D24" i="68"/>
  <c r="E18" i="68"/>
  <c r="B66" i="68"/>
  <c r="D9" i="68"/>
  <c r="B43" i="68"/>
  <c r="B60" i="68"/>
  <c r="E31" i="68"/>
  <c r="E59" i="68"/>
  <c r="F68" i="68"/>
  <c r="B48" i="68"/>
  <c r="D22" i="68"/>
  <c r="B70" i="68"/>
  <c r="B62" i="68"/>
  <c r="F16" i="68"/>
  <c r="E71" i="68"/>
  <c r="F11" i="68"/>
  <c r="D57" i="68"/>
  <c r="B30" i="68"/>
  <c r="C67" i="68"/>
  <c r="F18" i="68"/>
  <c r="F14" i="68"/>
  <c r="F23" i="68"/>
  <c r="E11" i="68"/>
  <c r="F47" i="81"/>
  <c r="G22" i="81"/>
  <c r="G30" i="81"/>
  <c r="D29" i="81"/>
  <c r="F29" i="81"/>
  <c r="I26" i="81"/>
  <c r="P48" i="81"/>
  <c r="J29" i="81"/>
  <c r="K11" i="81"/>
  <c r="K31" i="81"/>
  <c r="E45" i="81"/>
  <c r="H29" i="81"/>
  <c r="M44" i="81"/>
  <c r="P14" i="81"/>
  <c r="F30" i="68"/>
  <c r="B41" i="68"/>
  <c r="B22" i="68"/>
  <c r="D30" i="68"/>
  <c r="E44" i="68"/>
  <c r="E70" i="68"/>
  <c r="D61" i="68"/>
  <c r="E23" i="68"/>
  <c r="E30" i="68"/>
  <c r="C26" i="68"/>
  <c r="F70" i="68"/>
  <c r="E43" i="68"/>
  <c r="C27" i="68"/>
  <c r="G29" i="81"/>
  <c r="D44" i="68"/>
  <c r="D25" i="68"/>
  <c r="C30" i="68"/>
  <c r="E61" i="68"/>
  <c r="A6" i="68"/>
  <c r="G48" i="81"/>
  <c r="C44" i="81"/>
  <c r="N30" i="81"/>
  <c r="H23" i="81"/>
  <c r="F14" i="81"/>
  <c r="O47" i="81"/>
  <c r="M47" i="81"/>
  <c r="I42" i="81"/>
  <c r="E30" i="81"/>
  <c r="G23" i="81"/>
  <c r="E14" i="81"/>
  <c r="L44" i="81"/>
  <c r="D47" i="81"/>
  <c r="O41" i="81"/>
  <c r="K29" i="81"/>
  <c r="E22" i="81"/>
  <c r="D9" i="81"/>
  <c r="D48" i="81"/>
  <c r="O42" i="81"/>
  <c r="K30" i="81"/>
  <c r="M23" i="81"/>
  <c r="K14" i="81"/>
  <c r="L26" i="81"/>
  <c r="P45" i="81"/>
  <c r="L32" i="81"/>
  <c r="G26" i="81"/>
  <c r="B21" i="81"/>
  <c r="A6" i="81"/>
  <c r="B48" i="81"/>
  <c r="M42" i="81"/>
  <c r="I30" i="81"/>
  <c r="C23" i="81"/>
  <c r="B41" i="81"/>
  <c r="N45" i="81"/>
  <c r="J32" i="81"/>
  <c r="E26" i="81"/>
  <c r="P16" i="81"/>
  <c r="D44" i="81"/>
  <c r="D62" i="68"/>
  <c r="C41" i="68"/>
  <c r="E14" i="68"/>
  <c r="D66" i="68"/>
  <c r="C44" i="68"/>
  <c r="E21" i="68"/>
  <c r="F22" i="68"/>
  <c r="F52" i="68"/>
  <c r="F33" i="68"/>
  <c r="E16" i="68"/>
  <c r="D63" i="68"/>
  <c r="F26" i="68"/>
  <c r="C31" i="68"/>
  <c r="D43" i="68"/>
  <c r="D59" i="68"/>
  <c r="D27" i="68"/>
  <c r="F41" i="68"/>
  <c r="M29" i="81"/>
  <c r="F11" i="81"/>
  <c r="H41" i="81"/>
  <c r="E11" i="81"/>
  <c r="N32" i="81"/>
  <c r="C47" i="81"/>
  <c r="L22" i="81"/>
  <c r="O44" i="81"/>
  <c r="B16" i="81"/>
  <c r="L41" i="81"/>
  <c r="G16" i="81"/>
  <c r="C24" i="81"/>
  <c r="C59" i="68"/>
  <c r="C62" i="68"/>
  <c r="D16" i="68"/>
  <c r="E9" i="68"/>
  <c r="E53" i="68"/>
  <c r="F50" i="68"/>
  <c r="F66" i="68"/>
  <c r="E68" i="68"/>
  <c r="D18" i="68"/>
  <c r="B53" i="68"/>
  <c r="C61" i="68"/>
  <c r="D67" i="68"/>
  <c r="F56" i="68"/>
  <c r="P21" i="81"/>
  <c r="E69" i="68"/>
  <c r="C66" i="68"/>
  <c r="E67" i="68"/>
  <c r="B67" i="68"/>
  <c r="N47" i="81"/>
  <c r="J42" i="81"/>
  <c r="F30" i="81"/>
  <c r="O22" i="81"/>
  <c r="N11" i="81"/>
  <c r="K42" i="81"/>
  <c r="E47" i="81"/>
  <c r="P41" i="81"/>
  <c r="L29" i="81"/>
  <c r="N22" i="81"/>
  <c r="M11" i="81"/>
  <c r="I32" i="81"/>
  <c r="K46" i="81"/>
  <c r="G41" i="81"/>
  <c r="C29" i="81"/>
  <c r="L21" i="81"/>
  <c r="I14" i="81"/>
  <c r="K47" i="81"/>
  <c r="G42" i="81"/>
  <c r="C30" i="81"/>
  <c r="E23" i="81"/>
  <c r="C14" i="81"/>
  <c r="O21" i="81"/>
  <c r="H45" i="81"/>
  <c r="D32" i="81"/>
  <c r="M24" i="81"/>
  <c r="J16" i="81"/>
  <c r="F46" i="81"/>
  <c r="I47" i="81"/>
  <c r="E42" i="81"/>
  <c r="P29" i="81"/>
  <c r="J22" i="81"/>
  <c r="B24" i="81"/>
  <c r="F45" i="81"/>
  <c r="B32" i="81"/>
  <c r="K24" i="81"/>
  <c r="H16" i="81"/>
  <c r="O30" i="81"/>
  <c r="F60" i="68"/>
  <c r="E32" i="68"/>
  <c r="B11" i="68"/>
  <c r="F63" i="68"/>
  <c r="E42" i="68"/>
  <c r="B18" i="68"/>
  <c r="B14" i="68"/>
  <c r="B31" i="68"/>
  <c r="D60" i="68"/>
  <c r="C32" i="68"/>
  <c r="C14" i="68"/>
  <c r="B21" i="68"/>
  <c r="E62" i="68"/>
  <c r="F61" i="68"/>
  <c r="F71" i="68"/>
  <c r="D53" i="68"/>
  <c r="B63" i="68"/>
  <c r="F32" i="68"/>
  <c r="B42" i="81"/>
  <c r="L46" i="81"/>
  <c r="F22" i="81"/>
  <c r="C46" i="81"/>
  <c r="D21" i="81"/>
  <c r="N41" i="81"/>
  <c r="G11" i="81"/>
  <c r="E24" i="81"/>
  <c r="P46" i="81"/>
  <c r="B22" i="81"/>
  <c r="I31" i="81"/>
  <c r="H22" i="81"/>
  <c r="E41" i="68"/>
  <c r="D14" i="68"/>
  <c r="F57" i="68"/>
  <c r="C16" i="68"/>
  <c r="F62" i="68"/>
  <c r="F25" i="68"/>
  <c r="C33" i="68"/>
  <c r="B59" i="68"/>
  <c r="C52" i="68"/>
  <c r="F31" i="68"/>
  <c r="E22" i="68"/>
  <c r="B33" i="68"/>
  <c r="P9" i="81"/>
  <c r="F24" i="68"/>
  <c r="B23" i="68"/>
  <c r="B61" i="68"/>
  <c r="B24" i="68"/>
  <c r="M46" i="81"/>
  <c r="I41" i="81"/>
  <c r="E29" i="81"/>
  <c r="N21" i="81"/>
  <c r="N9" i="81"/>
  <c r="D26" i="81"/>
  <c r="D46" i="81"/>
  <c r="O32" i="81"/>
  <c r="J26" i="81"/>
  <c r="M21" i="81"/>
  <c r="M9" i="81"/>
  <c r="I23" i="81"/>
  <c r="J45" i="81"/>
  <c r="F32" i="81"/>
  <c r="O24" i="81"/>
  <c r="L16" i="81"/>
  <c r="J41" i="81"/>
  <c r="J46" i="81"/>
  <c r="F41" i="81"/>
  <c r="B29" i="81"/>
  <c r="D22" i="81"/>
  <c r="C11" i="81"/>
  <c r="K48" i="81"/>
  <c r="G44" i="81"/>
  <c r="C31" i="81"/>
  <c r="L23" i="81"/>
  <c r="J14" i="81"/>
  <c r="P31" i="81"/>
  <c r="H46" i="81"/>
  <c r="D41" i="81"/>
  <c r="N26" i="81"/>
  <c r="I21" i="81"/>
  <c r="I48" i="81"/>
  <c r="E44" i="81"/>
  <c r="P30" i="81"/>
  <c r="J23" i="81"/>
  <c r="H14" i="81"/>
  <c r="O11" i="81"/>
  <c r="C56" i="68"/>
  <c r="E26" i="68"/>
  <c r="C50" i="68"/>
  <c r="E60" i="68"/>
  <c r="D32" i="68"/>
  <c r="F9" i="68"/>
  <c r="B9" i="68"/>
  <c r="B71" i="68"/>
  <c r="F53" i="68"/>
  <c r="F27" i="68"/>
  <c r="C60" i="68"/>
  <c r="C70" i="68"/>
  <c r="C11" i="68"/>
  <c r="D48" i="68"/>
  <c r="D50" i="68"/>
  <c r="B69" i="68"/>
  <c r="C48" i="68"/>
  <c r="C24" i="68"/>
  <c r="D56" i="68"/>
  <c r="F59" i="68"/>
  <c r="D31" i="68"/>
  <c r="E56" i="68"/>
  <c r="E46" i="81"/>
  <c r="P32" i="81"/>
  <c r="K26" i="81"/>
  <c r="F21" i="81"/>
  <c r="F9" i="81"/>
  <c r="G21" i="81"/>
  <c r="K45" i="81"/>
  <c r="G32" i="81"/>
  <c r="B26" i="81"/>
  <c r="E21" i="81"/>
  <c r="E9" i="81"/>
  <c r="O14" i="81"/>
  <c r="B45" i="81"/>
  <c r="M31" i="81"/>
  <c r="G24" i="81"/>
  <c r="D16" i="81"/>
  <c r="N29" i="81"/>
  <c r="B46" i="81"/>
  <c r="M32" i="81"/>
  <c r="P26" i="81"/>
  <c r="K21" i="81"/>
  <c r="K9" i="81"/>
  <c r="C48" i="81"/>
  <c r="N42" i="81"/>
  <c r="J30" i="81"/>
  <c r="D23" i="81"/>
  <c r="B14" i="81"/>
  <c r="J24" i="81"/>
  <c r="O45" i="81"/>
  <c r="K32" i="81"/>
  <c r="F26" i="81"/>
  <c r="I16" i="81"/>
  <c r="P47" i="81"/>
  <c r="L42" i="81"/>
  <c r="H30" i="81"/>
  <c r="B23" i="81"/>
  <c r="P11" i="81"/>
  <c r="D71" i="68"/>
  <c r="E52" i="68"/>
  <c r="B25" i="68"/>
  <c r="E57" i="68"/>
  <c r="D69" i="68"/>
  <c r="B52" i="68"/>
  <c r="D11" i="68"/>
  <c r="D41" i="68"/>
  <c r="K41" i="81"/>
  <c r="F21" i="68"/>
  <c r="E33" i="68"/>
  <c r="B27" i="68"/>
  <c r="D33" i="68"/>
  <c r="E50" i="68"/>
  <c r="H40" i="55" l="1"/>
  <c r="I40" i="55"/>
  <c r="D44" i="44"/>
  <c r="E44" i="44"/>
  <c r="F44" i="44"/>
  <c r="D42" i="44"/>
  <c r="E42" i="44"/>
  <c r="F42" i="44"/>
  <c r="G36" i="44"/>
  <c r="F67" i="55"/>
  <c r="B44" i="55"/>
  <c r="C44" i="55"/>
  <c r="D44" i="55"/>
  <c r="E44" i="55"/>
  <c r="F44" i="55"/>
  <c r="C78" i="55"/>
  <c r="D78" i="55"/>
  <c r="E78" i="55"/>
  <c r="F78" i="55"/>
  <c r="B78" i="55"/>
  <c r="C76" i="55"/>
  <c r="D76" i="55"/>
  <c r="E76" i="55"/>
  <c r="F76" i="55"/>
  <c r="B76" i="55"/>
  <c r="C74" i="55"/>
  <c r="D74" i="55"/>
  <c r="E74" i="55"/>
  <c r="F74" i="55"/>
  <c r="B74" i="55"/>
  <c r="C72" i="55"/>
  <c r="D72" i="55"/>
  <c r="E72" i="55"/>
  <c r="F72" i="55"/>
  <c r="B72" i="55"/>
  <c r="C70" i="55"/>
  <c r="D70" i="55"/>
  <c r="E70" i="55"/>
  <c r="F70" i="55"/>
  <c r="B70" i="55"/>
  <c r="C69" i="55"/>
  <c r="D69" i="55"/>
  <c r="E69" i="55"/>
  <c r="F69" i="55"/>
  <c r="B69" i="55"/>
  <c r="C68" i="55"/>
  <c r="D68" i="55"/>
  <c r="E68" i="55"/>
  <c r="F68" i="55"/>
  <c r="B68" i="55"/>
  <c r="C67" i="55"/>
  <c r="D67" i="55"/>
  <c r="E67" i="55"/>
  <c r="B67" i="55"/>
  <c r="C66" i="55"/>
  <c r="D66" i="55"/>
  <c r="E66" i="55"/>
  <c r="F66" i="55"/>
  <c r="B66" i="55"/>
  <c r="C64" i="55"/>
  <c r="D64" i="55"/>
  <c r="E64" i="55"/>
  <c r="F64" i="55"/>
  <c r="B64" i="55"/>
  <c r="C62" i="55"/>
  <c r="D62" i="55"/>
  <c r="E62" i="55"/>
  <c r="F62" i="55"/>
  <c r="B62" i="55"/>
  <c r="C61" i="55"/>
  <c r="D61" i="55"/>
  <c r="E61" i="55"/>
  <c r="F61" i="55"/>
  <c r="B61" i="55"/>
  <c r="C60" i="55"/>
  <c r="D60" i="55"/>
  <c r="E60" i="55"/>
  <c r="F60" i="55"/>
  <c r="B60" i="55"/>
  <c r="C59" i="55"/>
  <c r="D59" i="55"/>
  <c r="E59" i="55"/>
  <c r="F59" i="55"/>
  <c r="B59" i="55"/>
  <c r="C56" i="55"/>
  <c r="D56" i="55"/>
  <c r="E56" i="55"/>
  <c r="F56" i="55"/>
  <c r="B56" i="55"/>
  <c r="C54" i="55"/>
  <c r="D54" i="55"/>
  <c r="E54" i="55"/>
  <c r="F54" i="55"/>
  <c r="B54" i="55"/>
  <c r="C52" i="55"/>
  <c r="D52" i="55"/>
  <c r="E52" i="55"/>
  <c r="F52" i="55"/>
  <c r="B52" i="55"/>
  <c r="C50" i="55"/>
  <c r="D50" i="55"/>
  <c r="E50" i="55"/>
  <c r="F50" i="55"/>
  <c r="B50" i="55"/>
  <c r="C48" i="55"/>
  <c r="D48" i="55"/>
  <c r="E48" i="55"/>
  <c r="F48" i="55"/>
  <c r="B48" i="55"/>
  <c r="C42" i="55"/>
  <c r="D42" i="55"/>
  <c r="E42" i="55"/>
  <c r="F42" i="55"/>
  <c r="B42" i="55"/>
  <c r="G28" i="55"/>
  <c r="H28" i="55"/>
  <c r="I28" i="55"/>
  <c r="G25" i="55"/>
  <c r="H25" i="55"/>
  <c r="I25" i="55"/>
  <c r="G22" i="55"/>
  <c r="G19" i="55"/>
  <c r="G16" i="55"/>
  <c r="G13" i="55"/>
  <c r="H47" i="44"/>
  <c r="I47" i="44"/>
  <c r="G25" i="44"/>
  <c r="H25" i="44" s="1"/>
  <c r="G14" i="44"/>
  <c r="I54" i="44"/>
  <c r="I52" i="44" s="1"/>
  <c r="I51" i="44" s="1"/>
  <c r="I38" i="55" s="1"/>
  <c r="H54" i="44"/>
  <c r="H52" i="44" s="1"/>
  <c r="H51" i="44" s="1"/>
  <c r="H38" i="55" s="1"/>
  <c r="H25" i="81"/>
  <c r="G27" i="81"/>
  <c r="C49" i="81"/>
  <c r="G49" i="81"/>
  <c r="L25" i="81"/>
  <c r="B64" i="68"/>
  <c r="F28" i="68"/>
  <c r="C64" i="68"/>
  <c r="F25" i="81"/>
  <c r="J49" i="81"/>
  <c r="B28" i="68"/>
  <c r="G25" i="81"/>
  <c r="P49" i="81"/>
  <c r="M27" i="81"/>
  <c r="I49" i="81"/>
  <c r="N27" i="81"/>
  <c r="F64" i="68"/>
  <c r="B49" i="81"/>
  <c r="O27" i="81"/>
  <c r="D64" i="68"/>
  <c r="D49" i="81"/>
  <c r="H49" i="81"/>
  <c r="I27" i="81"/>
  <c r="P27" i="81"/>
  <c r="F49" i="81"/>
  <c r="E25" i="81"/>
  <c r="E28" i="68"/>
  <c r="E49" i="81"/>
  <c r="N49" i="81"/>
  <c r="E27" i="81"/>
  <c r="P25" i="81"/>
  <c r="J27" i="81"/>
  <c r="L27" i="81"/>
  <c r="K27" i="81"/>
  <c r="E64" i="68"/>
  <c r="K49" i="81"/>
  <c r="H27" i="81"/>
  <c r="K25" i="81"/>
  <c r="I25" i="81"/>
  <c r="J25" i="81"/>
  <c r="D25" i="81"/>
  <c r="M49" i="81"/>
  <c r="B25" i="81"/>
  <c r="C28" i="68"/>
  <c r="O25" i="81"/>
  <c r="L49" i="81"/>
  <c r="F27" i="81"/>
  <c r="B27" i="81"/>
  <c r="N25" i="81"/>
  <c r="D27" i="81"/>
  <c r="C25" i="81"/>
  <c r="O49" i="81"/>
  <c r="D28" i="68"/>
  <c r="M25" i="81"/>
  <c r="C27" i="81"/>
  <c r="G17" i="44" l="1"/>
  <c r="G15" i="55" s="1"/>
  <c r="H14" i="44"/>
  <c r="H18" i="55"/>
  <c r="I25" i="44"/>
  <c r="H28" i="44"/>
  <c r="H21" i="55" s="1"/>
  <c r="E73" i="55"/>
  <c r="H36" i="44"/>
  <c r="I36" i="44" s="1"/>
  <c r="G11" i="44"/>
  <c r="C77" i="55"/>
  <c r="F77" i="55"/>
  <c r="G77" i="55" s="1"/>
  <c r="H77" i="55" s="1"/>
  <c r="I77" i="55" s="1"/>
  <c r="D55" i="55"/>
  <c r="G28" i="44"/>
  <c r="G21" i="55" s="1"/>
  <c r="E77" i="55"/>
  <c r="C55" i="55"/>
  <c r="D77" i="55"/>
  <c r="G39" i="44"/>
  <c r="G27" i="55" s="1"/>
  <c r="B77" i="55"/>
  <c r="G18" i="55"/>
  <c r="G12" i="55"/>
  <c r="G24" i="55"/>
  <c r="F55" i="55"/>
  <c r="E55" i="55"/>
  <c r="I48" i="44"/>
  <c r="H53" i="44"/>
  <c r="H39" i="55" s="1"/>
  <c r="I53" i="44"/>
  <c r="I39" i="55" s="1"/>
  <c r="G16" i="44" l="1"/>
  <c r="G14" i="55" s="1"/>
  <c r="H27" i="44"/>
  <c r="H20" i="55" s="1"/>
  <c r="I18" i="55"/>
  <c r="I28" i="44"/>
  <c r="I21" i="55" s="1"/>
  <c r="H39" i="44"/>
  <c r="H27" i="55" s="1"/>
  <c r="H17" i="44"/>
  <c r="H12" i="55"/>
  <c r="I14" i="44"/>
  <c r="I39" i="44"/>
  <c r="I27" i="55" s="1"/>
  <c r="H24" i="55"/>
  <c r="H11" i="44"/>
  <c r="G27" i="44"/>
  <c r="G20" i="55" s="1"/>
  <c r="G38" i="44"/>
  <c r="G26" i="55" s="1"/>
  <c r="H38" i="44"/>
  <c r="H26" i="55" s="1"/>
  <c r="I24" i="55"/>
  <c r="D20" i="44"/>
  <c r="E20" i="44"/>
  <c r="F20" i="44"/>
  <c r="D22" i="44"/>
  <c r="E22" i="44"/>
  <c r="F22" i="44"/>
  <c r="I27" i="44" l="1"/>
  <c r="I20" i="55" s="1"/>
  <c r="I38" i="44"/>
  <c r="I26" i="55" s="1"/>
  <c r="I12" i="55"/>
  <c r="I17" i="44"/>
  <c r="I15" i="55" s="1"/>
  <c r="I16" i="44"/>
  <c r="I14" i="55" s="1"/>
  <c r="H16" i="44"/>
  <c r="H14" i="55" s="1"/>
  <c r="H15" i="55"/>
  <c r="I11" i="44"/>
  <c r="C26" i="55"/>
  <c r="D26" i="55"/>
  <c r="E26" i="55"/>
  <c r="F26" i="55"/>
  <c r="B26" i="55"/>
  <c r="B25" i="55"/>
  <c r="C24" i="55"/>
  <c r="D24" i="55"/>
  <c r="E24" i="55"/>
  <c r="F24" i="55"/>
  <c r="B24" i="55"/>
  <c r="C20" i="55"/>
  <c r="D20" i="55"/>
  <c r="E20" i="55"/>
  <c r="F20" i="55"/>
  <c r="B20" i="55"/>
  <c r="B19" i="55"/>
  <c r="C18" i="55"/>
  <c r="D18" i="55"/>
  <c r="E18" i="55"/>
  <c r="F18" i="55"/>
  <c r="B18" i="55"/>
  <c r="C14" i="55"/>
  <c r="D14" i="55"/>
  <c r="E14" i="55"/>
  <c r="F14" i="55"/>
  <c r="B14" i="55"/>
  <c r="B13" i="55"/>
  <c r="C12" i="55"/>
  <c r="D12" i="55"/>
  <c r="E12" i="55"/>
  <c r="F12" i="55"/>
  <c r="B12" i="55"/>
  <c r="D30" i="55" l="1"/>
  <c r="E30" i="55"/>
  <c r="F30" i="55"/>
  <c r="F32" i="55"/>
  <c r="E32" i="55"/>
  <c r="D32" i="55"/>
  <c r="F33" i="44"/>
  <c r="F31" i="55" l="1"/>
  <c r="G30" i="55"/>
  <c r="G33" i="55" s="1"/>
  <c r="F33" i="55"/>
  <c r="F34" i="55" s="1"/>
  <c r="E31" i="55"/>
  <c r="E33" i="55"/>
  <c r="E34" i="55" s="1"/>
  <c r="D33" i="55"/>
  <c r="D34" i="55" s="1"/>
  <c r="I37" i="55"/>
  <c r="H36" i="55"/>
  <c r="I36" i="55"/>
  <c r="G42" i="55" l="1"/>
  <c r="G43" i="55" s="1"/>
  <c r="H30" i="55"/>
  <c r="H42" i="55" s="1"/>
  <c r="H13" i="81"/>
  <c r="F34" i="81"/>
  <c r="F33" i="81"/>
  <c r="F38" i="81" s="1"/>
  <c r="G36" i="81"/>
  <c r="F36" i="81"/>
  <c r="G13" i="81"/>
  <c r="F13" i="81"/>
  <c r="G40" i="81"/>
  <c r="B33" i="81"/>
  <c r="B38" i="81" s="1"/>
  <c r="B34" i="81"/>
  <c r="D40" i="81"/>
  <c r="C36" i="81"/>
  <c r="E13" i="81"/>
  <c r="H40" i="81"/>
  <c r="E34" i="81"/>
  <c r="E33" i="81"/>
  <c r="E38" i="81" s="1"/>
  <c r="D18" i="81"/>
  <c r="D34" i="81"/>
  <c r="D33" i="81"/>
  <c r="D38" i="81" s="1"/>
  <c r="C18" i="81"/>
  <c r="F40" i="81"/>
  <c r="E36" i="81"/>
  <c r="C33" i="81"/>
  <c r="C38" i="81" s="1"/>
  <c r="C34" i="81"/>
  <c r="B18" i="81"/>
  <c r="E40" i="81"/>
  <c r="D36" i="81"/>
  <c r="C40" i="81"/>
  <c r="B36" i="81"/>
  <c r="D13" i="81"/>
  <c r="C13" i="81"/>
  <c r="G35" i="81"/>
  <c r="B13" i="81"/>
  <c r="B40" i="81"/>
  <c r="F35" i="81"/>
  <c r="H36" i="81"/>
  <c r="E18" i="81"/>
  <c r="H37" i="81"/>
  <c r="G37" i="81"/>
  <c r="E35" i="81"/>
  <c r="F37" i="81"/>
  <c r="D35" i="81"/>
  <c r="E37" i="81"/>
  <c r="C35" i="81"/>
  <c r="H35" i="81"/>
  <c r="D37" i="81"/>
  <c r="B35" i="81"/>
  <c r="H18" i="81"/>
  <c r="C37" i="81"/>
  <c r="H34" i="81"/>
  <c r="H33" i="81"/>
  <c r="H38" i="81" s="1"/>
  <c r="G18" i="81"/>
  <c r="B37" i="81"/>
  <c r="G34" i="81"/>
  <c r="G33" i="81"/>
  <c r="G38" i="81" s="1"/>
  <c r="F18" i="81"/>
  <c r="H33" i="55" l="1"/>
  <c r="H46" i="55" s="1"/>
  <c r="I30" i="55"/>
  <c r="H43" i="55"/>
  <c r="N41" i="44"/>
  <c r="M41" i="44"/>
  <c r="N19" i="44"/>
  <c r="M19" i="44"/>
  <c r="N30" i="44"/>
  <c r="M30" i="44"/>
  <c r="E33" i="44"/>
  <c r="D33" i="44"/>
  <c r="F31" i="44"/>
  <c r="E31" i="44"/>
  <c r="D31" i="44"/>
  <c r="C26" i="44"/>
  <c r="C19" i="55" s="1"/>
  <c r="D26" i="44"/>
  <c r="D19" i="55" s="1"/>
  <c r="E26" i="44"/>
  <c r="E19" i="55" s="1"/>
  <c r="F26" i="44"/>
  <c r="F19" i="55" s="1"/>
  <c r="B28" i="44"/>
  <c r="B21" i="55" s="1"/>
  <c r="C28" i="44"/>
  <c r="C21" i="55" s="1"/>
  <c r="D28" i="44"/>
  <c r="D21" i="55" s="1"/>
  <c r="E28" i="44"/>
  <c r="E21" i="55" s="1"/>
  <c r="F28" i="44"/>
  <c r="F21" i="55" s="1"/>
  <c r="H32" i="55" l="1"/>
  <c r="H44" i="55" s="1"/>
  <c r="I33" i="55"/>
  <c r="I46" i="55" s="1"/>
  <c r="I42" i="55"/>
  <c r="I43" i="55" s="1"/>
  <c r="H47" i="55"/>
  <c r="C39" i="48"/>
  <c r="C38" i="48"/>
  <c r="C37" i="48"/>
  <c r="C36" i="48"/>
  <c r="C35" i="48"/>
  <c r="C34" i="48"/>
  <c r="I32" i="55" l="1"/>
  <c r="I44" i="55" s="1"/>
  <c r="I45" i="55" s="1"/>
  <c r="I47" i="55"/>
  <c r="D37" i="60"/>
  <c r="C37" i="60"/>
  <c r="B47" i="60"/>
  <c r="C19" i="60"/>
  <c r="B37" i="60"/>
  <c r="B19" i="60"/>
  <c r="D37" i="44" l="1"/>
  <c r="D25" i="55" s="1"/>
  <c r="E37" i="44"/>
  <c r="E25" i="55" s="1"/>
  <c r="F37" i="44"/>
  <c r="F25" i="55" s="1"/>
  <c r="C37" i="44"/>
  <c r="C25" i="55" s="1"/>
  <c r="C39" i="44"/>
  <c r="D39" i="44"/>
  <c r="E39" i="44"/>
  <c r="F39" i="44"/>
  <c r="B39" i="44"/>
  <c r="C29" i="44"/>
  <c r="C22" i="55" s="1"/>
  <c r="D29" i="44"/>
  <c r="D22" i="55" s="1"/>
  <c r="E29" i="44"/>
  <c r="E22" i="55" s="1"/>
  <c r="F29" i="44"/>
  <c r="F22" i="55" s="1"/>
  <c r="B29" i="44"/>
  <c r="B22" i="55" s="1"/>
  <c r="D15" i="44"/>
  <c r="D13" i="55" s="1"/>
  <c r="E15" i="44"/>
  <c r="E13" i="55" s="1"/>
  <c r="F15" i="44"/>
  <c r="F13" i="55" s="1"/>
  <c r="C15" i="44"/>
  <c r="C13" i="55" s="1"/>
  <c r="C17" i="44"/>
  <c r="D17" i="44"/>
  <c r="E17" i="44"/>
  <c r="F17" i="44"/>
  <c r="B17" i="44"/>
  <c r="B18" i="44" l="1"/>
  <c r="B16" i="55" s="1"/>
  <c r="B15" i="55"/>
  <c r="D40" i="44"/>
  <c r="D28" i="55" s="1"/>
  <c r="D27" i="55"/>
  <c r="F40" i="44"/>
  <c r="F28" i="55" s="1"/>
  <c r="F27" i="55"/>
  <c r="F18" i="44"/>
  <c r="F16" i="55" s="1"/>
  <c r="F15" i="55"/>
  <c r="C40" i="44"/>
  <c r="C28" i="55" s="1"/>
  <c r="C27" i="55"/>
  <c r="B40" i="44"/>
  <c r="B28" i="55" s="1"/>
  <c r="B27" i="55"/>
  <c r="E40" i="44"/>
  <c r="E28" i="55" s="1"/>
  <c r="E27" i="55"/>
  <c r="E18" i="44"/>
  <c r="E16" i="55" s="1"/>
  <c r="E15" i="55"/>
  <c r="D18" i="44"/>
  <c r="D16" i="55" s="1"/>
  <c r="D15" i="55"/>
  <c r="C18" i="44"/>
  <c r="C16" i="55" s="1"/>
  <c r="C15" i="55"/>
  <c r="P40" i="81"/>
  <c r="P13" i="81"/>
  <c r="O35" i="81"/>
  <c r="O13" i="81"/>
  <c r="P33" i="81"/>
  <c r="P38" i="81" s="1"/>
  <c r="P34" i="81"/>
  <c r="O18" i="81"/>
  <c r="P37" i="81"/>
  <c r="O37" i="81"/>
  <c r="O36" i="81"/>
  <c r="O33" i="81"/>
  <c r="O38" i="81" s="1"/>
  <c r="O34" i="81"/>
  <c r="P18" i="81"/>
  <c r="P35" i="81"/>
  <c r="O40" i="81"/>
  <c r="P36" i="81"/>
  <c r="Q7" i="81" l="1"/>
  <c r="E79" i="55"/>
  <c r="G69" i="55"/>
  <c r="G66" i="55"/>
  <c r="G61" i="55"/>
  <c r="G60" i="55"/>
  <c r="H60" i="55" s="1"/>
  <c r="I60" i="55" s="1"/>
  <c r="Q12" i="81"/>
  <c r="Q17" i="81"/>
  <c r="Q10" i="81"/>
  <c r="Q15" i="81"/>
  <c r="H66" i="55" l="1"/>
  <c r="I66" i="55" s="1"/>
  <c r="H61" i="55"/>
  <c r="I61" i="55" s="1"/>
  <c r="E71" i="55"/>
  <c r="H69" i="55"/>
  <c r="I69" i="55" s="1"/>
  <c r="G59" i="55"/>
  <c r="H59" i="55" s="1"/>
  <c r="G68" i="55"/>
  <c r="H68" i="55" s="1"/>
  <c r="I68" i="55" s="1"/>
  <c r="E65" i="55"/>
  <c r="B49" i="55"/>
  <c r="E49" i="55"/>
  <c r="E57" i="55"/>
  <c r="K43" i="60"/>
  <c r="K14" i="60"/>
  <c r="K46" i="60"/>
  <c r="K42" i="60"/>
  <c r="K15" i="60"/>
  <c r="K12" i="60"/>
  <c r="K41" i="60"/>
  <c r="K16" i="60"/>
  <c r="K30" i="60"/>
  <c r="K9" i="60"/>
  <c r="K10" i="60"/>
  <c r="K44" i="60"/>
  <c r="K36" i="60"/>
  <c r="K17" i="60"/>
  <c r="K25" i="60"/>
  <c r="K35" i="60"/>
  <c r="K27" i="60"/>
  <c r="K34" i="60"/>
  <c r="K33" i="60"/>
  <c r="K7" i="60"/>
  <c r="K26" i="60"/>
  <c r="K32" i="60"/>
  <c r="K18" i="60"/>
  <c r="K31" i="60"/>
  <c r="K45" i="60"/>
  <c r="K29" i="60"/>
  <c r="K8" i="60"/>
  <c r="K28" i="60"/>
  <c r="K11" i="60"/>
  <c r="K13" i="60"/>
  <c r="F51" i="55"/>
  <c r="L43" i="60"/>
  <c r="L8" i="60"/>
  <c r="L9" i="60"/>
  <c r="L25" i="60"/>
  <c r="L34" i="60"/>
  <c r="L10" i="60"/>
  <c r="L41" i="60"/>
  <c r="L35" i="60"/>
  <c r="L33" i="60"/>
  <c r="L11" i="60"/>
  <c r="L42" i="60"/>
  <c r="L7" i="60"/>
  <c r="L45" i="60"/>
  <c r="L32" i="60"/>
  <c r="L12" i="60"/>
  <c r="L44" i="60"/>
  <c r="L31" i="60"/>
  <c r="L13" i="60"/>
  <c r="L30" i="60"/>
  <c r="L14" i="60"/>
  <c r="L17" i="60"/>
  <c r="L29" i="60"/>
  <c r="L15" i="60"/>
  <c r="L28" i="60"/>
  <c r="L16" i="60"/>
  <c r="L46" i="60"/>
  <c r="L27" i="60"/>
  <c r="L26" i="60"/>
  <c r="J45" i="60"/>
  <c r="J44" i="60"/>
  <c r="J13" i="60"/>
  <c r="J43" i="60"/>
  <c r="J14" i="60"/>
  <c r="J42" i="60"/>
  <c r="J31" i="60"/>
  <c r="J25" i="60"/>
  <c r="J12" i="60"/>
  <c r="J16" i="60"/>
  <c r="J32" i="60"/>
  <c r="J33" i="60"/>
  <c r="J10" i="60"/>
  <c r="J7" i="60"/>
  <c r="J26" i="60"/>
  <c r="J46" i="60"/>
  <c r="J17" i="60"/>
  <c r="J36" i="60"/>
  <c r="J27" i="60"/>
  <c r="J15" i="60"/>
  <c r="J35" i="60"/>
  <c r="J41" i="60"/>
  <c r="J34" i="60"/>
  <c r="J8" i="60"/>
  <c r="J9" i="60"/>
  <c r="J11" i="60"/>
  <c r="J30" i="60"/>
  <c r="J28" i="60"/>
  <c r="J18" i="60"/>
  <c r="J29" i="60"/>
  <c r="E63" i="55"/>
  <c r="C51" i="55"/>
  <c r="E51" i="55"/>
  <c r="E75" i="55"/>
  <c r="D51" i="55"/>
  <c r="E53" i="55"/>
  <c r="I59" i="55" l="1"/>
  <c r="G50" i="55"/>
  <c r="E58" i="55"/>
  <c r="J37" i="60"/>
  <c r="J47" i="60"/>
  <c r="C10" i="44"/>
  <c r="C11" i="44" s="1"/>
  <c r="C10" i="55" s="1"/>
  <c r="B10" i="44"/>
  <c r="B11" i="44" s="1"/>
  <c r="B10" i="55" s="1"/>
  <c r="C8" i="44"/>
  <c r="C7" i="55" s="1"/>
  <c r="B6" i="55"/>
  <c r="C6" i="55"/>
  <c r="C30" i="55" s="1"/>
  <c r="B8" i="55"/>
  <c r="C8" i="55"/>
  <c r="C32" i="55" s="1"/>
  <c r="B30" i="55" l="1"/>
  <c r="B33" i="55" s="1"/>
  <c r="B34" i="55" s="1"/>
  <c r="C33" i="55"/>
  <c r="C34" i="55" s="1"/>
  <c r="D31" i="55"/>
  <c r="H50" i="55"/>
  <c r="P15" i="81"/>
  <c r="P10" i="81"/>
  <c r="O17" i="81"/>
  <c r="P12" i="81"/>
  <c r="O15" i="81"/>
  <c r="P17" i="81"/>
  <c r="O10" i="81"/>
  <c r="O12" i="81"/>
  <c r="J17" i="81"/>
  <c r="L10" i="81"/>
  <c r="L12" i="81"/>
  <c r="J15" i="81"/>
  <c r="K17" i="81"/>
  <c r="K12" i="81"/>
  <c r="L15" i="81"/>
  <c r="J10" i="81"/>
  <c r="K15" i="81"/>
  <c r="J12" i="81"/>
  <c r="L17" i="81"/>
  <c r="K10" i="81"/>
  <c r="B9" i="55"/>
  <c r="C57" i="55"/>
  <c r="C9" i="55"/>
  <c r="C71" i="55"/>
  <c r="C53" i="55"/>
  <c r="B46" i="55"/>
  <c r="B47" i="55" s="1"/>
  <c r="C45" i="55"/>
  <c r="C49" i="55"/>
  <c r="C63" i="55"/>
  <c r="B75" i="55"/>
  <c r="B51" i="55"/>
  <c r="B63" i="55"/>
  <c r="B65" i="55"/>
  <c r="B53" i="55"/>
  <c r="B55" i="55"/>
  <c r="C79" i="55"/>
  <c r="B73" i="55"/>
  <c r="C75" i="55"/>
  <c r="C65" i="55"/>
  <c r="C73" i="55"/>
  <c r="C46" i="55"/>
  <c r="C47" i="55" s="1"/>
  <c r="B57" i="55"/>
  <c r="C43" i="55"/>
  <c r="C31" i="55" l="1"/>
  <c r="I50" i="55"/>
  <c r="C58" i="55"/>
  <c r="B58" i="55"/>
  <c r="N12" i="81" l="1"/>
  <c r="M12" i="81"/>
  <c r="N10" i="81"/>
  <c r="M10" i="81"/>
  <c r="N13" i="81"/>
  <c r="M13" i="81"/>
  <c r="L13" i="81"/>
  <c r="K13" i="81"/>
  <c r="J13" i="81"/>
  <c r="I13" i="81"/>
  <c r="M15" i="81"/>
  <c r="N15" i="81"/>
  <c r="M35" i="81" l="1"/>
  <c r="N17" i="81"/>
  <c r="N18" i="81"/>
  <c r="L35" i="81"/>
  <c r="M18" i="81"/>
  <c r="M17" i="81"/>
  <c r="K35" i="81"/>
  <c r="L18" i="81"/>
  <c r="L36" i="81"/>
  <c r="K18" i="81"/>
  <c r="M37" i="81"/>
  <c r="K36" i="81"/>
  <c r="I35" i="81"/>
  <c r="J18" i="81"/>
  <c r="N35" i="81"/>
  <c r="I37" i="81"/>
  <c r="N36" i="81"/>
  <c r="I34" i="81"/>
  <c r="I33" i="81"/>
  <c r="I38" i="81" s="1"/>
  <c r="L37" i="81"/>
  <c r="J36" i="81"/>
  <c r="N34" i="81"/>
  <c r="N33" i="81"/>
  <c r="N38" i="81" s="1"/>
  <c r="I18" i="81"/>
  <c r="J37" i="81"/>
  <c r="L34" i="81"/>
  <c r="L33" i="81"/>
  <c r="L38" i="81" s="1"/>
  <c r="K34" i="81"/>
  <c r="K33" i="81"/>
  <c r="K38" i="81" s="1"/>
  <c r="J34" i="81"/>
  <c r="J33" i="81"/>
  <c r="J38" i="81" s="1"/>
  <c r="M36" i="81"/>
  <c r="N37" i="81"/>
  <c r="J35" i="81"/>
  <c r="K37" i="81"/>
  <c r="I36" i="81"/>
  <c r="M33" i="81"/>
  <c r="M38" i="81" s="1"/>
  <c r="M34" i="81"/>
  <c r="N40" i="81"/>
  <c r="M40" i="81"/>
  <c r="L40" i="81"/>
  <c r="K40" i="81"/>
  <c r="J40" i="81"/>
  <c r="I40" i="81"/>
  <c r="B37" i="68" l="1"/>
  <c r="E17" i="68"/>
  <c r="D12" i="68"/>
  <c r="D13" i="68"/>
  <c r="F17" i="68"/>
  <c r="B35" i="68"/>
  <c r="B34" i="68"/>
  <c r="B39" i="68" s="1"/>
  <c r="E13" i="68"/>
  <c r="E12" i="68"/>
  <c r="B38" i="68"/>
  <c r="F13" i="68"/>
  <c r="F12" i="68"/>
  <c r="D46" i="68"/>
  <c r="D45" i="68"/>
  <c r="F36" i="68"/>
  <c r="E45" i="68"/>
  <c r="E46" i="68"/>
  <c r="C37" i="68"/>
  <c r="D37" i="68"/>
  <c r="F45" i="68"/>
  <c r="F46" i="68"/>
  <c r="D55" i="68"/>
  <c r="D10" i="68"/>
  <c r="D15" i="68"/>
  <c r="D34" i="68"/>
  <c r="D39" i="68" s="1"/>
  <c r="D35" i="68"/>
  <c r="B36" i="68"/>
  <c r="F37" i="68"/>
  <c r="D38" i="68"/>
  <c r="D51" i="68"/>
  <c r="D49" i="68"/>
  <c r="F55" i="68"/>
  <c r="B49" i="68"/>
  <c r="B51" i="68"/>
  <c r="C10" i="68"/>
  <c r="E37" i="68"/>
  <c r="C51" i="68"/>
  <c r="C49" i="68"/>
  <c r="E10" i="68"/>
  <c r="E34" i="68"/>
  <c r="E39" i="68" s="1"/>
  <c r="E35" i="68"/>
  <c r="C36" i="68"/>
  <c r="E38" i="68"/>
  <c r="E51" i="68"/>
  <c r="E49" i="68"/>
  <c r="C15" i="68"/>
  <c r="C35" i="68"/>
  <c r="C34" i="68"/>
  <c r="C39" i="68" s="1"/>
  <c r="C38" i="68"/>
  <c r="E55" i="68"/>
  <c r="B13" i="68"/>
  <c r="E15" i="68"/>
  <c r="F10" i="68"/>
  <c r="C12" i="68"/>
  <c r="C13" i="68"/>
  <c r="F15" i="68"/>
  <c r="C17" i="68"/>
  <c r="F35" i="68"/>
  <c r="F34" i="68"/>
  <c r="F39" i="68" s="1"/>
  <c r="D36" i="68"/>
  <c r="F38" i="68"/>
  <c r="B46" i="68"/>
  <c r="F49" i="68"/>
  <c r="F51" i="68"/>
  <c r="D17" i="68"/>
  <c r="E36" i="68"/>
  <c r="C46" i="68"/>
  <c r="C45" i="68"/>
  <c r="D45" i="55" l="1"/>
  <c r="D43" i="55" l="1"/>
  <c r="D71" i="55"/>
  <c r="K19" i="60" l="1"/>
  <c r="D19" i="60"/>
  <c r="J19" i="60"/>
  <c r="L18" i="60" l="1"/>
  <c r="L19" i="60" s="1"/>
  <c r="K37" i="60"/>
  <c r="L36" i="60"/>
  <c r="L37" i="60" s="1"/>
  <c r="D79" i="55"/>
  <c r="F45" i="55" l="1"/>
  <c r="E45" i="55"/>
  <c r="D49" i="55"/>
  <c r="E43" i="55"/>
  <c r="D73" i="55"/>
  <c r="F46" i="55"/>
  <c r="F47" i="55" s="1"/>
  <c r="F57" i="55"/>
  <c r="D65" i="55"/>
  <c r="G65" i="55" s="1"/>
  <c r="F71" i="55"/>
  <c r="F43" i="55"/>
  <c r="F49" i="55"/>
  <c r="F65" i="55"/>
  <c r="D57" i="55"/>
  <c r="F73" i="55"/>
  <c r="D63" i="55"/>
  <c r="G63" i="55" s="1"/>
  <c r="H63" i="55" s="1"/>
  <c r="I63" i="55" s="1"/>
  <c r="F79" i="55"/>
  <c r="D46" i="55"/>
  <c r="D47" i="55" s="1"/>
  <c r="D53" i="55"/>
  <c r="D75" i="55"/>
  <c r="E46" i="55"/>
  <c r="E47" i="55" s="1"/>
  <c r="F53" i="55"/>
  <c r="F63" i="55"/>
  <c r="F75" i="55"/>
  <c r="H65" i="55" l="1"/>
  <c r="I65" i="55" s="1"/>
  <c r="G62" i="55"/>
  <c r="G56" i="55"/>
  <c r="G64" i="55"/>
  <c r="G54" i="55"/>
  <c r="H49" i="55"/>
  <c r="G48" i="55"/>
  <c r="G52" i="55"/>
  <c r="D58" i="55"/>
  <c r="F58" i="55"/>
  <c r="G58" i="55" l="1"/>
  <c r="I56" i="55"/>
  <c r="H64" i="55"/>
  <c r="H52" i="55"/>
  <c r="H48" i="55"/>
  <c r="I49" i="55"/>
  <c r="I48" i="55" s="1"/>
  <c r="I62" i="55"/>
  <c r="H62" i="55"/>
  <c r="I64" i="55"/>
  <c r="I54" i="55"/>
  <c r="H54" i="55"/>
  <c r="C47" i="60"/>
  <c r="K47" i="60" s="1"/>
  <c r="D47" i="60"/>
  <c r="L47" i="60" s="1"/>
  <c r="H56" i="55" l="1"/>
  <c r="H58" i="55"/>
  <c r="H67" i="55"/>
  <c r="H70" i="55" s="1"/>
  <c r="I52" i="55"/>
  <c r="I67" i="55" s="1"/>
  <c r="I70" i="55" s="1"/>
  <c r="I58" i="55"/>
  <c r="H72" i="55" l="1"/>
  <c r="H74" i="55" s="1"/>
  <c r="I72" i="55"/>
  <c r="I74" i="55" s="1"/>
  <c r="I76" i="55" s="1"/>
  <c r="I71" i="55"/>
  <c r="H76" i="55" l="1"/>
  <c r="H78" i="55" s="1"/>
  <c r="H75" i="55"/>
  <c r="I75" i="55"/>
  <c r="I78" i="55"/>
  <c r="I79" i="55" l="1"/>
  <c r="G32" i="55" l="1"/>
  <c r="G44" i="55" s="1"/>
  <c r="G46" i="55"/>
  <c r="G47" i="55" s="1"/>
  <c r="G45" i="55" l="1"/>
  <c r="H45" i="55"/>
  <c r="G67" i="55"/>
  <c r="G70" i="55" s="1"/>
  <c r="H71" i="55" l="1"/>
  <c r="G72" i="55"/>
  <c r="G74" i="55" s="1"/>
  <c r="G76" i="55" s="1"/>
  <c r="G71" i="55"/>
  <c r="G75" i="55" l="1"/>
  <c r="G78" i="55"/>
  <c r="G79" i="55" l="1"/>
  <c r="H79"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A59" authorId="0" shapeId="0" xr:uid="{00000000-0006-0000-0100-000001000000}">
      <text>
        <r>
          <rPr>
            <b/>
            <sz val="9"/>
            <color indexed="81"/>
            <rFont val="宋体"/>
            <family val="3"/>
            <charset val="134"/>
          </rPr>
          <t>HP:</t>
        </r>
        <r>
          <rPr>
            <sz val="9"/>
            <color indexed="81"/>
            <rFont val="宋体"/>
            <family val="3"/>
            <charset val="134"/>
          </rPr>
          <t xml:space="preserve">
主要为政府补助</t>
        </r>
      </text>
    </comment>
    <comment ref="A62" authorId="0" shapeId="0" xr:uid="{00000000-0006-0000-0100-000002000000}">
      <text>
        <r>
          <rPr>
            <b/>
            <sz val="9"/>
            <color indexed="81"/>
            <rFont val="宋体"/>
            <family val="3"/>
            <charset val="134"/>
          </rPr>
          <t>HP:</t>
        </r>
        <r>
          <rPr>
            <sz val="9"/>
            <color indexed="81"/>
            <rFont val="宋体"/>
            <family val="3"/>
            <charset val="134"/>
          </rPr>
          <t xml:space="preserve">
主要为存货减值</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洪小雯</author>
  </authors>
  <commentList>
    <comment ref="A5" authorId="0" shapeId="0" xr:uid="{B120C392-5E8F-4744-9A82-D2CBFCDC70FA}">
      <text>
        <r>
          <rPr>
            <b/>
            <sz val="9"/>
            <rFont val="宋体"/>
            <family val="3"/>
            <charset val="134"/>
          </rPr>
          <t>洪小雯:</t>
        </r>
        <r>
          <rPr>
            <sz val="9"/>
            <rFont val="宋体"/>
            <family val="3"/>
            <charset val="134"/>
          </rPr>
          <t xml:space="preserve">
carbontech，光大证券研究所</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天风电新</author>
    <author>天风新电</author>
  </authors>
  <commentList>
    <comment ref="A41" authorId="0" shapeId="0" xr:uid="{1DDEBE38-580D-4364-9F85-368FF4964D1B}">
      <text>
        <r>
          <rPr>
            <b/>
            <sz val="9"/>
            <color indexed="81"/>
            <rFont val="宋体"/>
            <family val="3"/>
            <charset val="134"/>
          </rPr>
          <t>HP:</t>
        </r>
        <r>
          <rPr>
            <sz val="9"/>
            <color indexed="81"/>
            <rFont val="宋体"/>
            <family val="3"/>
            <charset val="134"/>
          </rPr>
          <t xml:space="preserve">
现金流量表中投资表的购置固定资产支出</t>
        </r>
      </text>
    </comment>
    <comment ref="A48" authorId="0" shapeId="0" xr:uid="{E31201B2-E783-491D-9194-43E39F152054}">
      <text>
        <r>
          <rPr>
            <b/>
            <sz val="9"/>
            <color indexed="81"/>
            <rFont val="宋体"/>
            <family val="3"/>
            <charset val="134"/>
          </rPr>
          <t>HP:</t>
        </r>
        <r>
          <rPr>
            <sz val="9"/>
            <color indexed="81"/>
            <rFont val="宋体"/>
            <family val="3"/>
            <charset val="134"/>
          </rPr>
          <t xml:space="preserve">
现金流量表中支付职工薪酬+资产负债表期末应付职工薪酬-期初应付职工薪酬</t>
        </r>
      </text>
    </comment>
    <comment ref="A64" authorId="1" shapeId="0" xr:uid="{A2F9302F-7229-476A-999E-890B7B0B2122}">
      <text>
        <r>
          <rPr>
            <b/>
            <sz val="9"/>
            <color indexed="81"/>
            <rFont val="宋体"/>
            <family val="3"/>
            <charset val="134"/>
          </rPr>
          <t>HP:</t>
        </r>
        <r>
          <rPr>
            <sz val="9"/>
            <color indexed="81"/>
            <rFont val="宋体"/>
            <family val="3"/>
            <charset val="134"/>
          </rPr>
          <t xml:space="preserve">
（短期借款+长期借款+应付债券）/总资产</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天风新电</author>
  </authors>
  <commentList>
    <comment ref="A49" authorId="0" shapeId="0" xr:uid="{00000000-0006-0000-0F00-000001000000}">
      <text>
        <r>
          <rPr>
            <b/>
            <sz val="9"/>
            <color indexed="81"/>
            <rFont val="宋体"/>
            <family val="3"/>
            <charset val="134"/>
          </rPr>
          <t>HP:</t>
        </r>
        <r>
          <rPr>
            <sz val="9"/>
            <color indexed="81"/>
            <rFont val="宋体"/>
            <family val="3"/>
            <charset val="134"/>
          </rPr>
          <t xml:space="preserve">
（短期借款+长期借款+应付债券）/总资产</t>
        </r>
      </text>
    </comment>
  </commentList>
</comments>
</file>

<file path=xl/sharedStrings.xml><?xml version="1.0" encoding="utf-8"?>
<sst xmlns="http://schemas.openxmlformats.org/spreadsheetml/2006/main" count="1440" uniqueCount="829">
  <si>
    <t>2022E</t>
    <phoneticPr fontId="11" type="noConversion"/>
  </si>
  <si>
    <t>2023E</t>
  </si>
  <si>
    <r>
      <t>2019年</t>
    </r>
    <r>
      <rPr>
        <b/>
        <sz val="11"/>
        <color theme="1"/>
        <rFont val="宋体"/>
        <family val="3"/>
        <charset val="134"/>
      </rPr>
      <t/>
    </r>
  </si>
  <si>
    <t>2020年</t>
    <phoneticPr fontId="11" type="noConversion"/>
  </si>
  <si>
    <t>其他业务</t>
    <phoneticPr fontId="11" type="noConversion"/>
  </si>
  <si>
    <t>YOY</t>
    <phoneticPr fontId="11" type="noConversion"/>
  </si>
  <si>
    <t>毛利</t>
    <phoneticPr fontId="11" type="noConversion"/>
  </si>
  <si>
    <t>净利率</t>
    <phoneticPr fontId="11" type="noConversion"/>
  </si>
  <si>
    <t>2019-12-31</t>
  </si>
  <si>
    <t>报告期</t>
  </si>
  <si>
    <t>年报</t>
  </si>
  <si>
    <t>报表类型</t>
  </si>
  <si>
    <t>合并报表</t>
  </si>
  <si>
    <t>营业总成本</t>
  </si>
  <si>
    <t>营业收入</t>
  </si>
  <si>
    <t>营业利润</t>
  </si>
  <si>
    <t>利润总额</t>
  </si>
  <si>
    <t>净利润</t>
  </si>
  <si>
    <t>综合收益总额</t>
  </si>
  <si>
    <t>每股收益：</t>
  </si>
  <si>
    <t>显示币种</t>
  </si>
  <si>
    <t>CNY</t>
  </si>
  <si>
    <t>原始币种</t>
  </si>
  <si>
    <t>转换汇率</t>
  </si>
  <si>
    <t>期末汇率</t>
  </si>
  <si>
    <t>税率</t>
  </si>
  <si>
    <t>税率说明</t>
  </si>
  <si>
    <t>审计意见(境内)</t>
  </si>
  <si>
    <t>审计意见(境外)</t>
  </si>
  <si>
    <t>调整原因</t>
  </si>
  <si>
    <t>调整说明</t>
  </si>
  <si>
    <t>公告日期</t>
  </si>
  <si>
    <t>数据来源</t>
  </si>
  <si>
    <t>公司公告值</t>
  </si>
  <si>
    <t>毛利</t>
  </si>
  <si>
    <t>数据来源：Wind</t>
  </si>
  <si>
    <t>2023E</t>
    <phoneticPr fontId="11" type="noConversion"/>
  </si>
  <si>
    <t>2024E</t>
    <phoneticPr fontId="11" type="noConversion"/>
  </si>
  <si>
    <t>合计</t>
  </si>
  <si>
    <t>YOY</t>
  </si>
  <si>
    <t>毛利率</t>
  </si>
  <si>
    <t>本科</t>
  </si>
  <si>
    <t>收入</t>
    <phoneticPr fontId="11" type="noConversion"/>
  </si>
  <si>
    <t>成本</t>
    <phoneticPr fontId="11" type="noConversion"/>
  </si>
  <si>
    <t>毛利率（%）</t>
    <phoneticPr fontId="11" type="noConversion"/>
  </si>
  <si>
    <t>减：所得税</t>
  </si>
  <si>
    <t>营业成本</t>
  </si>
  <si>
    <t>%营业收入</t>
  </si>
  <si>
    <t>-</t>
    <phoneticPr fontId="11" type="noConversion"/>
  </si>
  <si>
    <t>税率</t>
    <phoneticPr fontId="11" type="noConversion"/>
  </si>
  <si>
    <t>2024E</t>
  </si>
  <si>
    <t>2020-12-31</t>
  </si>
  <si>
    <t>2021-12-31</t>
  </si>
  <si>
    <r>
      <t>2021年</t>
    </r>
    <r>
      <rPr>
        <b/>
        <sz val="11"/>
        <color theme="1"/>
        <rFont val="宋体"/>
        <family val="3"/>
        <charset val="134"/>
      </rPr>
      <t/>
    </r>
  </si>
  <si>
    <t>业绩相关</t>
    <phoneticPr fontId="20" type="noConversion"/>
  </si>
  <si>
    <t>财务信息</t>
    <phoneticPr fontId="20" type="noConversion"/>
  </si>
  <si>
    <t>季度财务数据</t>
    <phoneticPr fontId="11" type="noConversion"/>
  </si>
  <si>
    <t>其他信息</t>
    <phoneticPr fontId="20" type="noConversion"/>
  </si>
  <si>
    <t>公司简介</t>
    <phoneticPr fontId="11" type="noConversion"/>
  </si>
  <si>
    <t>人事</t>
    <phoneticPr fontId="11" type="noConversion"/>
  </si>
  <si>
    <t>2022E</t>
  </si>
  <si>
    <t>客户信息</t>
    <phoneticPr fontId="11" type="noConversion"/>
  </si>
  <si>
    <t>客户与供应商</t>
    <phoneticPr fontId="11" type="noConversion"/>
  </si>
  <si>
    <t xml:space="preserve">                                 华泰电新－客户与供应商            </t>
    <phoneticPr fontId="11" type="noConversion"/>
  </si>
  <si>
    <t>供应商信息</t>
    <phoneticPr fontId="11" type="noConversion"/>
  </si>
  <si>
    <t>费用分析</t>
    <phoneticPr fontId="11" type="noConversion"/>
  </si>
  <si>
    <t>资本开支</t>
    <phoneticPr fontId="11" type="noConversion"/>
  </si>
  <si>
    <t xml:space="preserve">                                 华泰电新－公司简介                   </t>
    <phoneticPr fontId="11" type="noConversion"/>
  </si>
  <si>
    <t>营业收入</t>
    <phoneticPr fontId="20" type="noConversion"/>
  </si>
  <si>
    <t>YoY</t>
    <phoneticPr fontId="20" type="noConversion"/>
  </si>
  <si>
    <t>归母利润</t>
    <phoneticPr fontId="20" type="noConversion"/>
  </si>
  <si>
    <t>非经常性损益</t>
    <phoneticPr fontId="20" type="noConversion"/>
  </si>
  <si>
    <t>扣非利润</t>
    <phoneticPr fontId="20" type="noConversion"/>
  </si>
  <si>
    <t>经营活动现金净流量</t>
    <phoneticPr fontId="20" type="noConversion"/>
  </si>
  <si>
    <t>经营活动现金净流量/归母净利润(%)</t>
    <phoneticPr fontId="20" type="noConversion"/>
  </si>
  <si>
    <t>盈利能力</t>
    <phoneticPr fontId="20" type="noConversion"/>
  </si>
  <si>
    <t>ROE(摊薄)(%)</t>
    <phoneticPr fontId="20" type="noConversion"/>
  </si>
  <si>
    <t>ROE(扣非摊薄)(%)</t>
    <phoneticPr fontId="20" type="noConversion"/>
  </si>
  <si>
    <t>综合毛利率（%）</t>
    <phoneticPr fontId="20" type="noConversion"/>
  </si>
  <si>
    <t>销售净利率（%）</t>
    <phoneticPr fontId="20" type="noConversion"/>
  </si>
  <si>
    <t>扣非净利率（%）</t>
    <phoneticPr fontId="20" type="noConversion"/>
  </si>
  <si>
    <t>ROIC（%）</t>
    <phoneticPr fontId="20" type="noConversion"/>
  </si>
  <si>
    <t>ROA（%）</t>
    <phoneticPr fontId="20" type="noConversion"/>
  </si>
  <si>
    <t>EBITDA margin（%）</t>
    <phoneticPr fontId="20" type="noConversion"/>
  </si>
  <si>
    <t>期间费用</t>
    <phoneticPr fontId="20" type="noConversion"/>
  </si>
  <si>
    <t>销售费用</t>
    <phoneticPr fontId="20" type="noConversion"/>
  </si>
  <si>
    <t>管理费用</t>
    <phoneticPr fontId="20" type="noConversion"/>
  </si>
  <si>
    <t>研发费用</t>
    <phoneticPr fontId="20" type="noConversion"/>
  </si>
  <si>
    <t>财务费用</t>
    <phoneticPr fontId="20" type="noConversion"/>
  </si>
  <si>
    <t>销售费用率</t>
    <phoneticPr fontId="20" type="noConversion"/>
  </si>
  <si>
    <t>管理费用率</t>
    <phoneticPr fontId="20" type="noConversion"/>
  </si>
  <si>
    <t>研发费用率</t>
    <phoneticPr fontId="20" type="noConversion"/>
  </si>
  <si>
    <t>财务费用率</t>
    <phoneticPr fontId="20" type="noConversion"/>
  </si>
  <si>
    <t>期间费用率</t>
    <phoneticPr fontId="20" type="noConversion"/>
  </si>
  <si>
    <t>资本开支</t>
    <phoneticPr fontId="20" type="noConversion"/>
  </si>
  <si>
    <t>在建工程</t>
    <phoneticPr fontId="20" type="noConversion"/>
  </si>
  <si>
    <t>固定资产</t>
    <phoneticPr fontId="20" type="noConversion"/>
  </si>
  <si>
    <t>折旧与摊销</t>
    <phoneticPr fontId="20" type="noConversion"/>
  </si>
  <si>
    <t>折旧净利润比</t>
    <phoneticPr fontId="20" type="noConversion"/>
  </si>
  <si>
    <t>人工费用相关</t>
    <phoneticPr fontId="20" type="noConversion"/>
  </si>
  <si>
    <t>职工薪酬</t>
    <phoneticPr fontId="20" type="noConversion"/>
  </si>
  <si>
    <t>职工薪酬收入比</t>
    <phoneticPr fontId="20" type="noConversion"/>
  </si>
  <si>
    <t>员工数</t>
    <phoneticPr fontId="20" type="noConversion"/>
  </si>
  <si>
    <t>单位职工薪酬（万元）</t>
    <phoneticPr fontId="20" type="noConversion"/>
  </si>
  <si>
    <t>研发人员数</t>
    <phoneticPr fontId="20" type="noConversion"/>
  </si>
  <si>
    <t>研发人员占比</t>
    <phoneticPr fontId="20" type="noConversion"/>
  </si>
  <si>
    <t>减值相关</t>
    <phoneticPr fontId="20" type="noConversion"/>
  </si>
  <si>
    <t>减值损失</t>
    <phoneticPr fontId="20" type="noConversion"/>
  </si>
  <si>
    <t>资产减值损失</t>
    <phoneticPr fontId="20" type="noConversion"/>
  </si>
  <si>
    <t>信用减值损失</t>
    <phoneticPr fontId="20" type="noConversion"/>
  </si>
  <si>
    <t>资产结构</t>
    <phoneticPr fontId="20" type="noConversion"/>
  </si>
  <si>
    <t>总资产</t>
    <phoneticPr fontId="20" type="noConversion"/>
  </si>
  <si>
    <t>货币资金</t>
    <phoneticPr fontId="11" type="noConversion"/>
  </si>
  <si>
    <t>存货</t>
    <phoneticPr fontId="20" type="noConversion"/>
  </si>
  <si>
    <t>应收账款</t>
    <phoneticPr fontId="20" type="noConversion"/>
  </si>
  <si>
    <t>资产负债率</t>
    <phoneticPr fontId="20" type="noConversion"/>
  </si>
  <si>
    <t>有息负债率（%）</t>
    <phoneticPr fontId="20" type="noConversion"/>
  </si>
  <si>
    <t>运营效率</t>
    <phoneticPr fontId="20" type="noConversion"/>
  </si>
  <si>
    <t>应收账款周转天数</t>
    <phoneticPr fontId="20" type="noConversion"/>
  </si>
  <si>
    <t>应付账款周转天数</t>
    <phoneticPr fontId="20" type="noConversion"/>
  </si>
  <si>
    <t>存货周转天数</t>
    <phoneticPr fontId="20" type="noConversion"/>
  </si>
  <si>
    <t>净营业天数</t>
    <phoneticPr fontId="11" type="noConversion"/>
  </si>
  <si>
    <t>固定资产周转天数</t>
    <phoneticPr fontId="20" type="noConversion"/>
  </si>
  <si>
    <t>总资产周转率</t>
    <phoneticPr fontId="20" type="noConversion"/>
  </si>
  <si>
    <t>主要财务数据</t>
    <phoneticPr fontId="20" type="noConversion"/>
  </si>
  <si>
    <t>单位：亿元</t>
    <phoneticPr fontId="20" type="noConversion"/>
  </si>
  <si>
    <t>4Q20</t>
    <phoneticPr fontId="20" type="noConversion"/>
  </si>
  <si>
    <t>1Q21</t>
    <phoneticPr fontId="20" type="noConversion"/>
  </si>
  <si>
    <t>2Q21</t>
    <phoneticPr fontId="20" type="noConversion"/>
  </si>
  <si>
    <t>3Q21</t>
    <phoneticPr fontId="20" type="noConversion"/>
  </si>
  <si>
    <t>4Q21</t>
    <phoneticPr fontId="20" type="noConversion"/>
  </si>
  <si>
    <t>ROE(%)</t>
    <phoneticPr fontId="20" type="noConversion"/>
  </si>
  <si>
    <t>ROE(扣非)(%)</t>
    <phoneticPr fontId="20" type="noConversion"/>
  </si>
  <si>
    <t xml:space="preserve">                                 华泰电新－费用分析                   </t>
    <phoneticPr fontId="11" type="noConversion"/>
  </si>
  <si>
    <t>销售费用</t>
    <phoneticPr fontId="11" type="noConversion"/>
  </si>
  <si>
    <t>万元</t>
    <phoneticPr fontId="11" type="noConversion"/>
  </si>
  <si>
    <t>其他</t>
  </si>
  <si>
    <t xml:space="preserve">    稀释每股收益</t>
  </si>
  <si>
    <t xml:space="preserve">    基本每股收益</t>
  </si>
  <si>
    <t xml:space="preserve">    归属于母公司普通股东综合收益总额</t>
  </si>
  <si>
    <t xml:space="preserve">    减：归属于少数股东的综合收益总额</t>
  </si>
  <si>
    <t xml:space="preserve">    加：其他综合收益</t>
  </si>
  <si>
    <t xml:space="preserve">    归属于母公司所有者的净利润</t>
  </si>
  <si>
    <t xml:space="preserve">    减：少数股东损益</t>
  </si>
  <si>
    <t xml:space="preserve">    终止经营净利润</t>
  </si>
  <si>
    <t xml:space="preserve">    持续经营净利润</t>
  </si>
  <si>
    <t xml:space="preserve">            净利润差额(合计平衡项目)</t>
  </si>
  <si>
    <t xml:space="preserve">    加：净利润差额(特殊报表科目)</t>
  </si>
  <si>
    <t xml:space="preserve">    加：未确认的投资损失</t>
  </si>
  <si>
    <t xml:space="preserve">    减：所得税</t>
  </si>
  <si>
    <t xml:space="preserve">            利润总额差额(合计平衡项目)</t>
  </si>
  <si>
    <t xml:space="preserve">    加：利润总额差额(特殊报表科目)</t>
  </si>
  <si>
    <t xml:space="preserve">            其中：非流动资产处置净损失</t>
  </si>
  <si>
    <t xml:space="preserve">    减：营业外支出</t>
  </si>
  <si>
    <t xml:space="preserve">    加：营业外收入</t>
  </si>
  <si>
    <t xml:space="preserve">            营业利润差额(合计平衡项目)</t>
  </si>
  <si>
    <t xml:space="preserve">    加：营业利润差额(特殊报表科目)</t>
  </si>
  <si>
    <t xml:space="preserve">    汇兑净收益</t>
  </si>
  <si>
    <t xml:space="preserve">    资产处置收益</t>
  </si>
  <si>
    <t xml:space="preserve">    信用减值损失</t>
  </si>
  <si>
    <t xml:space="preserve">    资产减值损失</t>
  </si>
  <si>
    <t xml:space="preserve">    公允价值变动净收益</t>
  </si>
  <si>
    <t xml:space="preserve">    净敞口套期收益</t>
  </si>
  <si>
    <t xml:space="preserve">                    以摊余成本计量的金融资产终止确认收益</t>
  </si>
  <si>
    <t xml:space="preserve">        其中：对联营企业和合营企业的投资收益</t>
  </si>
  <si>
    <t xml:space="preserve">    投资净收益</t>
  </si>
  <si>
    <t xml:space="preserve">    加：其他收益</t>
  </si>
  <si>
    <t xml:space="preserve">        其他业务成本(金融类)</t>
  </si>
  <si>
    <t xml:space="preserve">                    减：利息收入</t>
  </si>
  <si>
    <t xml:space="preserve">        其中：利息费用</t>
  </si>
  <si>
    <t xml:space="preserve">    财务费用</t>
  </si>
  <si>
    <t xml:space="preserve">    研发费用</t>
  </si>
  <si>
    <t xml:space="preserve">    管理费用</t>
  </si>
  <si>
    <t xml:space="preserve">    销售费用</t>
  </si>
  <si>
    <t xml:space="preserve">    税金及附加</t>
  </si>
  <si>
    <t xml:space="preserve">        营业成本</t>
  </si>
  <si>
    <t xml:space="preserve">        其他类金融业务收入</t>
  </si>
  <si>
    <t xml:space="preserve">    营业收入</t>
  </si>
  <si>
    <t xml:space="preserve">    营业总收入</t>
  </si>
  <si>
    <t>财务费用</t>
    <phoneticPr fontId="11" type="noConversion"/>
  </si>
  <si>
    <t xml:space="preserve">                                 华泰电新－资本开支                  </t>
    <phoneticPr fontId="11" type="noConversion"/>
  </si>
  <si>
    <t>高管</t>
    <phoneticPr fontId="20" type="noConversion"/>
  </si>
  <si>
    <t>姓名</t>
  </si>
  <si>
    <t>职务</t>
  </si>
  <si>
    <t>学历</t>
  </si>
  <si>
    <t>简介</t>
  </si>
  <si>
    <t>股东信息</t>
    <phoneticPr fontId="20" type="noConversion"/>
  </si>
  <si>
    <t>股东名称</t>
  </si>
  <si>
    <t>员工信息</t>
    <phoneticPr fontId="20" type="noConversion"/>
  </si>
  <si>
    <t>控股比例</t>
    <phoneticPr fontId="11" type="noConversion"/>
  </si>
  <si>
    <t>主营业务</t>
    <phoneticPr fontId="11" type="noConversion"/>
  </si>
  <si>
    <r>
      <t xml:space="preserve">                              </t>
    </r>
    <r>
      <rPr>
        <b/>
        <sz val="16"/>
        <color theme="0"/>
        <rFont val="微软雅黑"/>
        <family val="2"/>
        <charset val="134"/>
      </rPr>
      <t xml:space="preserve">   华泰电新－参股公司</t>
    </r>
    <phoneticPr fontId="11" type="noConversion"/>
  </si>
  <si>
    <t>铺底流动资金</t>
  </si>
  <si>
    <t>华泰电新研究团队</t>
  </si>
  <si>
    <t>年度财务数据</t>
    <phoneticPr fontId="11" type="noConversion"/>
  </si>
  <si>
    <t>参股公司</t>
    <phoneticPr fontId="11" type="noConversion"/>
  </si>
  <si>
    <t>营业总收入</t>
    <phoneticPr fontId="20" type="noConversion"/>
  </si>
  <si>
    <t>2021年</t>
    <phoneticPr fontId="20" type="noConversion"/>
  </si>
  <si>
    <t>2020年</t>
    <phoneticPr fontId="20" type="noConversion"/>
  </si>
  <si>
    <t>2019年</t>
    <phoneticPr fontId="20" type="noConversion"/>
  </si>
  <si>
    <t>2018年</t>
    <phoneticPr fontId="20" type="noConversion"/>
  </si>
  <si>
    <t xml:space="preserve">                                                     华泰电新－年度财务数据                       </t>
    <phoneticPr fontId="11" type="noConversion"/>
  </si>
  <si>
    <t xml:space="preserve">                                                     华泰电新－季度财务数据                       </t>
    <phoneticPr fontId="11" type="noConversion"/>
  </si>
  <si>
    <t>后置列可忽略</t>
    <phoneticPr fontId="20" type="noConversion"/>
  </si>
  <si>
    <t>以下单位均为万元</t>
    <phoneticPr fontId="11" type="noConversion"/>
  </si>
  <si>
    <t>业绩汇总</t>
  </si>
  <si>
    <t>管理费用</t>
  </si>
  <si>
    <t>研发费用</t>
  </si>
  <si>
    <t>公允价值变动净收益</t>
  </si>
  <si>
    <t>资产减值损失</t>
  </si>
  <si>
    <t>信用减值损失</t>
  </si>
  <si>
    <t>资产处置收益</t>
  </si>
  <si>
    <t>税金及附加</t>
    <phoneticPr fontId="11" type="noConversion"/>
  </si>
  <si>
    <t>费用率</t>
    <phoneticPr fontId="11" type="noConversion"/>
  </si>
  <si>
    <t>加：其他收益</t>
    <phoneticPr fontId="11" type="noConversion"/>
  </si>
  <si>
    <t>投资净收益</t>
    <phoneticPr fontId="11" type="noConversion"/>
  </si>
  <si>
    <t>营业利润</t>
    <phoneticPr fontId="11" type="noConversion"/>
  </si>
  <si>
    <t>净利润</t>
    <phoneticPr fontId="11" type="noConversion"/>
  </si>
  <si>
    <t>减：少数股东损益</t>
    <phoneticPr fontId="11" type="noConversion"/>
  </si>
  <si>
    <t>归母净利润</t>
    <phoneticPr fontId="11" type="noConversion"/>
  </si>
  <si>
    <t xml:space="preserve">                                 华泰电新－人事</t>
    <phoneticPr fontId="11" type="noConversion"/>
  </si>
  <si>
    <t>公司基本信息介绍</t>
    <phoneticPr fontId="11" type="noConversion"/>
  </si>
  <si>
    <t>工资薪酬</t>
  </si>
  <si>
    <t>折旧摊销</t>
  </si>
  <si>
    <t>销售费用</t>
    <phoneticPr fontId="50" type="noConversion"/>
  </si>
  <si>
    <t>合计</t>
    <phoneticPr fontId="50" type="noConversion"/>
  </si>
  <si>
    <t>管理费用</t>
    <phoneticPr fontId="50" type="noConversion"/>
  </si>
  <si>
    <t>研发费用</t>
    <phoneticPr fontId="50" type="noConversion"/>
  </si>
  <si>
    <t>截至2021年12月31日，公司员工专业结构的情况如下：</t>
  </si>
  <si>
    <t>专业结构</t>
  </si>
  <si>
    <t>员工人数（人）</t>
  </si>
  <si>
    <t>总资产</t>
  </si>
  <si>
    <t>单位：万元</t>
    <phoneticPr fontId="39" type="noConversion"/>
  </si>
  <si>
    <t>2022E</t>
    <phoneticPr fontId="39" type="noConversion"/>
  </si>
  <si>
    <t>营业收入</t>
    <phoneticPr fontId="11" type="noConversion"/>
  </si>
  <si>
    <t>预测-假设数据</t>
  </si>
  <si>
    <t xml:space="preserve">                                                            华泰电新－业绩拆分                       </t>
    <phoneticPr fontId="11" type="noConversion"/>
  </si>
  <si>
    <t>序号</t>
    <phoneticPr fontId="50" type="noConversion"/>
  </si>
  <si>
    <t>发展历程</t>
    <phoneticPr fontId="11" type="noConversion"/>
  </si>
  <si>
    <t>时间</t>
    <phoneticPr fontId="11" type="noConversion"/>
  </si>
  <si>
    <t>注：1.减值损失2019年符号变化</t>
  </si>
  <si>
    <t>2017年</t>
    <phoneticPr fontId="20" type="noConversion"/>
  </si>
  <si>
    <t>3Q20</t>
    <phoneticPr fontId="20" type="noConversion"/>
  </si>
  <si>
    <t>项目名称</t>
    <phoneticPr fontId="11" type="noConversion"/>
  </si>
  <si>
    <t>投资金额</t>
    <phoneticPr fontId="11" type="noConversion"/>
  </si>
  <si>
    <t>募集资金投资金额</t>
    <phoneticPr fontId="11" type="noConversion"/>
  </si>
  <si>
    <t>募集资金投资进度</t>
    <phoneticPr fontId="11" type="noConversion"/>
  </si>
  <si>
    <t>合计</t>
    <phoneticPr fontId="11" type="noConversion"/>
  </si>
  <si>
    <t>序号</t>
    <phoneticPr fontId="11" type="noConversion"/>
  </si>
  <si>
    <t>项目</t>
    <phoneticPr fontId="11" type="noConversion"/>
  </si>
  <si>
    <t>投资总额（万元）</t>
    <phoneticPr fontId="11" type="noConversion"/>
  </si>
  <si>
    <t>（单位：万元）</t>
    <phoneticPr fontId="11" type="noConversion"/>
  </si>
  <si>
    <t>占投资额比例（%）</t>
    <phoneticPr fontId="11" type="noConversion"/>
  </si>
  <si>
    <t>股权激励</t>
    <phoneticPr fontId="11" type="noConversion"/>
  </si>
  <si>
    <t>董事长,董事</t>
  </si>
  <si>
    <t>董事、副总经理</t>
    <phoneticPr fontId="20" type="noConversion"/>
  </si>
  <si>
    <t>排名</t>
  </si>
  <si>
    <t>持股数量(股)</t>
  </si>
  <si>
    <t>占总股本比例(%)</t>
  </si>
  <si>
    <t>合    计</t>
  </si>
  <si>
    <t>生产人员</t>
    <phoneticPr fontId="20" type="noConversion"/>
  </si>
  <si>
    <t>销售人员</t>
    <phoneticPr fontId="20" type="noConversion"/>
  </si>
  <si>
    <t>技术人员</t>
    <phoneticPr fontId="20" type="noConversion"/>
  </si>
  <si>
    <t>财务人员</t>
    <phoneticPr fontId="20" type="noConversion"/>
  </si>
  <si>
    <t>行政人员</t>
    <phoneticPr fontId="20" type="noConversion"/>
  </si>
  <si>
    <t>硕士</t>
    <phoneticPr fontId="20" type="noConversion"/>
  </si>
  <si>
    <t>利率类型</t>
  </si>
  <si>
    <t>标准无保留意见</t>
  </si>
  <si>
    <t xml:space="preserve">                                 华泰电新－股权激励      </t>
    <phoneticPr fontId="11" type="noConversion"/>
  </si>
  <si>
    <t>2017-12-31</t>
  </si>
  <si>
    <t>2018-12-31</t>
  </si>
  <si>
    <t>2017年</t>
    <phoneticPr fontId="11" type="noConversion"/>
  </si>
  <si>
    <t>2018年</t>
    <phoneticPr fontId="11" type="noConversion"/>
  </si>
  <si>
    <r>
      <t>2019年</t>
    </r>
    <r>
      <rPr>
        <b/>
        <sz val="11"/>
        <color theme="1"/>
        <rFont val="宋体"/>
        <family val="3"/>
        <charset val="134"/>
      </rPr>
      <t/>
    </r>
    <phoneticPr fontId="11" type="noConversion"/>
  </si>
  <si>
    <t>备注：2019年报告期內纺织业务完成剥离</t>
    <phoneticPr fontId="11" type="noConversion"/>
  </si>
  <si>
    <t xml:space="preserve">                                         华泰电新-业务拆分                       </t>
    <phoneticPr fontId="11" type="noConversion"/>
  </si>
  <si>
    <t xml:space="preserve">纺织业务   </t>
    <phoneticPr fontId="11" type="noConversion"/>
  </si>
  <si>
    <t xml:space="preserve">                       华泰电新－维科技术数据库目录</t>
    <phoneticPr fontId="11" type="noConversion"/>
  </si>
  <si>
    <t>600152.SH</t>
    <phoneticPr fontId="20" type="noConversion"/>
  </si>
  <si>
    <t>纺织业务</t>
    <phoneticPr fontId="11" type="noConversion"/>
  </si>
  <si>
    <t>何承命</t>
  </si>
  <si>
    <t>杨东文</t>
  </si>
  <si>
    <t>硕士</t>
  </si>
  <si>
    <t>副董事长,董事，总经理</t>
    <phoneticPr fontId="20" type="noConversion"/>
  </si>
  <si>
    <t>陈良琴</t>
  </si>
  <si>
    <t>陶德瑜</t>
  </si>
  <si>
    <t>副总经理</t>
    <phoneticPr fontId="20" type="noConversion"/>
  </si>
  <si>
    <t>薛春林</t>
  </si>
  <si>
    <t>财务总监，董事会秘书</t>
    <phoneticPr fontId="20" type="noConversion"/>
  </si>
  <si>
    <t>中职</t>
    <phoneticPr fontId="20" type="noConversion"/>
  </si>
  <si>
    <t>1965年9月出生,硕士,高级工程师.曾任宁波维科投资发展有限公司副总经理,宁波维科丝网有限公司总经理,维科控股集团股份有限公司总裁办主任兼战略投资部部长,总裁助理,维科技术监事.现任宁波维科电池有限公司董事长,宁波维科新能源科技有限公司董事长,本公司董事兼副总经理.</t>
  </si>
  <si>
    <t>1975年9月出生,本科.曾任东莞赣锋电子有限公司总经理,现任公司副总经理,公司制造总部总经理兼研究院院长.</t>
  </si>
  <si>
    <t>1963年4月出生,中专,会计师.曾任公司财务管理部经理.现任公司财务总监兼董事会秘书.</t>
  </si>
  <si>
    <t>1964年9月出生,硕士.曾任创维数字股份有限公司董事长,创维数码控股有限公司执行董事,创维数码控股有限公司CEO,创维集团总裁.现任本公司副董事长兼总经理.2017年10月16日起任总经理一职至今。</t>
    <phoneticPr fontId="20" type="noConversion"/>
  </si>
  <si>
    <t>1960年2月出生,硕士,工程师.维科控股集团股份有限公司董事长,维科技术股份有限公司董事长。1997年2月28日至2001年12月17日曾任公司董事长，后于2009年4月20日重新任董事长至今。现担任中国纺织企业家联合会副会长，宁波市企业家协会副会长.</t>
    <phoneticPr fontId="20" type="noConversion"/>
  </si>
  <si>
    <t>2022中报</t>
    <phoneticPr fontId="11" type="noConversion"/>
  </si>
  <si>
    <t>维科控股集团股份有限公司</t>
  </si>
  <si>
    <t>宁波市工业投资有限责任公司</t>
  </si>
  <si>
    <t>杨龙勇</t>
  </si>
  <si>
    <t>张伟</t>
  </si>
  <si>
    <t>李优良</t>
  </si>
  <si>
    <t>李婷</t>
  </si>
  <si>
    <t>肖道志</t>
  </si>
  <si>
    <t>瑞士联合银行集团</t>
  </si>
  <si>
    <t>孔凡波</t>
  </si>
  <si>
    <t>1Q22</t>
    <phoneticPr fontId="20" type="noConversion"/>
  </si>
  <si>
    <t>2Q22</t>
    <phoneticPr fontId="20" type="noConversion"/>
  </si>
  <si>
    <t>单位：百万元</t>
    <phoneticPr fontId="11" type="noConversion"/>
  </si>
  <si>
    <t>主要产品</t>
    <phoneticPr fontId="11" type="noConversion"/>
  </si>
  <si>
    <t>业绩拆分</t>
  </si>
  <si>
    <t>产品名称</t>
    <phoneticPr fontId="50" type="noConversion"/>
  </si>
  <si>
    <t>720Wh/L高能量密度手机电池</t>
    <phoneticPr fontId="50" type="noConversion"/>
  </si>
  <si>
    <t xml:space="preserve">700Wh/L高能量密度手机电池
</t>
    <phoneticPr fontId="50" type="noConversion"/>
  </si>
  <si>
    <t>使用维科技术第三代LiCoO2高能量密度体系，能量密度700Wh/L。高温性能优异，同时满足1.2C阶梯快充。</t>
    <phoneticPr fontId="50" type="noConversion"/>
  </si>
  <si>
    <t>此产品应用于B公司高端智能手机上。</t>
    <phoneticPr fontId="50" type="noConversion"/>
  </si>
  <si>
    <t>680Wh/L高能量密度快充电池</t>
    <phoneticPr fontId="50" type="noConversion"/>
  </si>
  <si>
    <t>670Wh/L高能量密度平板和笔记本电池</t>
    <phoneticPr fontId="50" type="noConversion"/>
  </si>
  <si>
    <t>低速车&amp;叉车（23Kwh低速车锂电池组、6Kwh低速车锂电池组、2.6Kwh清洁车锂电池组、960wh保洁车锂电池组）</t>
    <phoneticPr fontId="50" type="noConversion"/>
  </si>
  <si>
    <t>应用在A客户的高端智能手机中。</t>
    <phoneticPr fontId="50" type="noConversion"/>
  </si>
  <si>
    <t>此产品应用于H客户笔记本电池上。</t>
    <phoneticPr fontId="50" type="noConversion"/>
  </si>
  <si>
    <t>此产品应用于C客户的快充智能手机上。</t>
    <phoneticPr fontId="50" type="noConversion"/>
  </si>
  <si>
    <t>性能参数或应用场景</t>
    <phoneticPr fontId="50" type="noConversion"/>
  </si>
  <si>
    <t>维科叉车及低速车电池系统主要应用在电动叉车、电动低速电动车动力系统上；主要是为整车提供充足的动力，满足整车对于经济性、动力性、安全性、舒适性等要求。每一套电池PACK中都有一套完整的BMS。实现对锂电池的智能管理，过充保护、过放保护、短路保护、过压保护、负载保护、高温保护、过功率保护。</t>
    <phoneticPr fontId="50" type="noConversion"/>
  </si>
  <si>
    <t>AGV锂离子动力系统具有高寿命，轻质量，能适应浅充浅放和深度循环2种工作环境,配备专用接插件，可提供485、232、CAN口各类通讯功能。可按要求定制，容量50-300AH，三元和铁锂各类AGV动力系统成熟设计方案。</t>
    <phoneticPr fontId="50" type="noConversion"/>
  </si>
  <si>
    <t>AGV（1.4Kwh AGV小车锂电池包）</t>
    <phoneticPr fontId="50" type="noConversion"/>
  </si>
  <si>
    <t>维科AGV动力系统主要应用在AGV智能搬运系统。</t>
    <phoneticPr fontId="50" type="noConversion"/>
  </si>
  <si>
    <t>主要客户有杭州同筑、浙江国自机器人有限公司等</t>
    <phoneticPr fontId="50" type="noConversion"/>
  </si>
  <si>
    <t>工业机器人电池</t>
    <phoneticPr fontId="50" type="noConversion"/>
  </si>
  <si>
    <t xml:space="preserve">额定容量：4050mAh        电压平台：3.85，充电截止电压4.4V
最大充电电流：0.7C       最大放电电流：1.0C
倍率性能：1.0C放电时间≥54min
循环寿命：0.5C/0.5C,循环500次，容量保持率≧80%
高温性能：55度1.0C放电时间≧51min </t>
    <phoneticPr fontId="50" type="noConversion"/>
  </si>
  <si>
    <t>额定容量：4120mAh        电压平台：3.85V
最大充电电流：0.7C       最大放电电流：1.0C
倍率性能：1.0C放电时间大于等于54min
循环寿命：0.7C/0.7C,循环500次，容量保持率≥80%，厚度膨胀率≤8%
高温性能：55℃，1.0C放电时间≥51min</t>
    <phoneticPr fontId="50" type="noConversion"/>
  </si>
  <si>
    <t>额定容量：4050mAh        电压平台：3.85V
最大充电电流：1.3C         最大放电电流：1.0C
循环寿命：0.5C/0.5C,循环500次，容量保持率≥80%，厚度膨胀率≤8%
高温性能：55℃，1.0C放电时间≥51min</t>
    <phoneticPr fontId="50" type="noConversion"/>
  </si>
  <si>
    <t>额定容量：4210mAh        电压平台：3.85，充电截止电压4.4V
最大充电电流：0.7C       最大放电电流：1.0C
倍率性能：1.0C放电时间大于等于54min
循环寿命：0.5C/0.5C,循环1000次，容量保持率&gt;=60%
高温性能：55度1.0C放电时间&gt;=51min</t>
    <phoneticPr fontId="50" type="noConversion"/>
  </si>
  <si>
    <t xml:space="preserve"> 储能（691wh路灯储能锂电池、电池组）</t>
    <phoneticPr fontId="50" type="noConversion"/>
  </si>
  <si>
    <t>笔记本电池主要出口海外客户，能量密度达到670Wh/L,循环寿命为1000次。容量、电压、内阻一致性高。且支持1.0C阶梯快充。</t>
    <phoneticPr fontId="50" type="noConversion"/>
  </si>
  <si>
    <t>可应用场景不间断电源 (UPS)，社区储能系统 (CES)集装箱储能系统，并网储能系统，离网储能系统，微网系统。</t>
    <phoneticPr fontId="50" type="noConversion"/>
  </si>
  <si>
    <t>电动自行车电池（161wh助力自行车锂电池组、236wh助力自行车平衡车锂电池组、智能头盔锂电池组）</t>
    <phoneticPr fontId="50" type="noConversion"/>
  </si>
  <si>
    <t>助力自行车锂离子电池组具有高寿命，轻质量，能适应浅充浅放和深度循环的工作模式,配备专用接插件，可提供485、232通讯功能。可按要求定制，能提供功率100-350W，容量2-20AH，三元材料成熟设计方案。</t>
    <phoneticPr fontId="50" type="noConversion"/>
  </si>
  <si>
    <t>吸尘器电池（162wh吸尘器锂电池组、360wh吸尘器锂电池组、移动冰箱锂电池组）</t>
    <phoneticPr fontId="50" type="noConversion"/>
  </si>
  <si>
    <t>产品简介</t>
    <phoneticPr fontId="50" type="noConversion"/>
  </si>
  <si>
    <t>电动智能吸尘器的刷子是用来提高吸尘器效率的，与吸口及垃圾盒是两个独立的单元。吸尘器的电机转速非常高，一般超过13000转，因此电池采用环保锂离子电池组。</t>
    <phoneticPr fontId="50" type="noConversion"/>
  </si>
  <si>
    <t>可应用于家用智能吸尘器以及扫地机器人等智能家居电器中。</t>
    <phoneticPr fontId="50" type="noConversion"/>
  </si>
  <si>
    <t>主要应用情况或客户</t>
    <phoneticPr fontId="50" type="noConversion"/>
  </si>
  <si>
    <t>东莞维科电池有限公司</t>
    <phoneticPr fontId="11" type="noConversion"/>
  </si>
  <si>
    <t xml:space="preserve">    2022H1</t>
    <phoneticPr fontId="11" type="noConversion"/>
  </si>
  <si>
    <t>营业总收入</t>
    <phoneticPr fontId="11" type="noConversion"/>
  </si>
  <si>
    <t xml:space="preserve">宁波维科电池有限公司
</t>
    <phoneticPr fontId="11" type="noConversion"/>
  </si>
  <si>
    <t>宁波维科新能源科技有限公司</t>
  </si>
  <si>
    <t>江西维科技术有限公司</t>
  </si>
  <si>
    <t>锂离子电池</t>
    <phoneticPr fontId="11" type="noConversion"/>
  </si>
  <si>
    <t>宁波维科能源科技投资有限公司</t>
  </si>
  <si>
    <t>投资咨询</t>
    <phoneticPr fontId="11" type="noConversion"/>
  </si>
  <si>
    <t>宁波维科新能源有限公司</t>
  </si>
  <si>
    <t>间接全资</t>
    <phoneticPr fontId="11" type="noConversion"/>
  </si>
  <si>
    <t>維科新能源科技有限公司</t>
  </si>
  <si>
    <t>新能源技术开发和咨询</t>
    <phoneticPr fontId="11" type="noConversion"/>
  </si>
  <si>
    <t>东莞维科新能源有限公司</t>
  </si>
  <si>
    <t>深圳一维山科技有限公司</t>
  </si>
  <si>
    <t>电子产品</t>
    <phoneticPr fontId="11" type="noConversion"/>
  </si>
  <si>
    <t>间接控股子公司</t>
    <phoneticPr fontId="11" type="noConversion"/>
  </si>
  <si>
    <t>深圳维科技术有限公司</t>
  </si>
  <si>
    <t>东莞市甬维科技有限公司</t>
  </si>
  <si>
    <t>间接全资子公司</t>
    <phoneticPr fontId="11" type="noConversion"/>
  </si>
  <si>
    <t>深圳维科新能源科技有限公司</t>
  </si>
  <si>
    <t>技术咨询</t>
    <phoneticPr fontId="11" type="noConversion"/>
  </si>
  <si>
    <t>南昌维科电池有限公司</t>
  </si>
  <si>
    <t>上海维蕴新能源科技有限公司</t>
  </si>
  <si>
    <t>技术咨询服务</t>
    <phoneticPr fontId="11" type="noConversion"/>
  </si>
  <si>
    <t>维科电池控股有限公司</t>
    <phoneticPr fontId="11" type="noConversion"/>
  </si>
  <si>
    <t>东莞联志企业管理有限公司</t>
  </si>
  <si>
    <t>管理咨询</t>
    <phoneticPr fontId="11" type="noConversion"/>
  </si>
  <si>
    <t>东莞忠信企业管理有限公司</t>
  </si>
  <si>
    <t>产量</t>
    <phoneticPr fontId="11" type="noConversion"/>
  </si>
  <si>
    <t>销量</t>
    <phoneticPr fontId="11" type="noConversion"/>
  </si>
  <si>
    <t>单位：百万元,万支</t>
    <phoneticPr fontId="11" type="noConversion"/>
  </si>
  <si>
    <t>运输费</t>
    <phoneticPr fontId="11" type="noConversion"/>
  </si>
  <si>
    <t>办公、差旅、业务招待</t>
    <phoneticPr fontId="11" type="noConversion"/>
  </si>
  <si>
    <t>租赁</t>
    <phoneticPr fontId="11" type="noConversion"/>
  </si>
  <si>
    <t>商场、专柜费用</t>
    <phoneticPr fontId="11" type="noConversion"/>
  </si>
  <si>
    <t>维修费用</t>
    <phoneticPr fontId="11" type="noConversion"/>
  </si>
  <si>
    <t>检验检疫费用</t>
    <phoneticPr fontId="11" type="noConversion"/>
  </si>
  <si>
    <t>广告展览策划</t>
    <phoneticPr fontId="11" type="noConversion"/>
  </si>
  <si>
    <t>办公差旅</t>
    <phoneticPr fontId="11" type="noConversion"/>
  </si>
  <si>
    <t>修理物料</t>
    <phoneticPr fontId="11" type="noConversion"/>
  </si>
  <si>
    <t>检测认证</t>
    <phoneticPr fontId="11" type="noConversion"/>
  </si>
  <si>
    <t>安全生产</t>
    <phoneticPr fontId="11" type="noConversion"/>
  </si>
  <si>
    <t>物业租赁</t>
    <phoneticPr fontId="11" type="noConversion"/>
  </si>
  <si>
    <t>董事会费用</t>
    <phoneticPr fontId="50" type="noConversion"/>
  </si>
  <si>
    <t>排污</t>
    <phoneticPr fontId="11" type="noConversion"/>
  </si>
  <si>
    <t>中介服务</t>
    <phoneticPr fontId="11" type="noConversion"/>
  </si>
  <si>
    <t>运输、汽车</t>
    <phoneticPr fontId="11" type="noConversion"/>
  </si>
  <si>
    <t>人员人工</t>
    <phoneticPr fontId="11" type="noConversion"/>
  </si>
  <si>
    <t>直接投入</t>
    <phoneticPr fontId="11" type="noConversion"/>
  </si>
  <si>
    <t>折旧</t>
    <phoneticPr fontId="11" type="noConversion"/>
  </si>
  <si>
    <t>无形资产摊销</t>
    <phoneticPr fontId="11" type="noConversion"/>
  </si>
  <si>
    <t>新产品设计、工艺规程制定等</t>
    <phoneticPr fontId="11" type="noConversion"/>
  </si>
  <si>
    <t>折旧及其他</t>
    <phoneticPr fontId="11" type="noConversion"/>
  </si>
  <si>
    <t>保险</t>
    <phoneticPr fontId="11" type="noConversion"/>
  </si>
  <si>
    <t>修理、物料</t>
    <phoneticPr fontId="11" type="noConversion"/>
  </si>
  <si>
    <t>2020年度非公开发行A股股票</t>
    <phoneticPr fontId="11" type="noConversion"/>
  </si>
  <si>
    <t>年产6000万支聚合物锂电池智能化工厂扩产项目</t>
  </si>
  <si>
    <t>年产6000万支聚合物锂电池智能化工厂扩产项目</t>
    <phoneticPr fontId="11" type="noConversion"/>
  </si>
  <si>
    <t>补充流动性资金</t>
    <phoneticPr fontId="11" type="noConversion"/>
  </si>
  <si>
    <t>2021年</t>
    <phoneticPr fontId="11" type="noConversion"/>
  </si>
  <si>
    <t>2022年H1</t>
    <phoneticPr fontId="11" type="noConversion"/>
  </si>
  <si>
    <t>厂房装修及公共配套</t>
  </si>
  <si>
    <t>设备及技术投资</t>
  </si>
  <si>
    <t xml:space="preserve">	69,004.00</t>
    <phoneticPr fontId="11" type="noConversion"/>
  </si>
  <si>
    <t>本项目预计投资总额为 69004.00 万元，项目投资构成如下：</t>
    <phoneticPr fontId="11" type="noConversion"/>
  </si>
  <si>
    <t>使用募集资金金额</t>
  </si>
  <si>
    <t>-</t>
  </si>
  <si>
    <t>2017年度宁波维科精华集团股份有限公司发行股份购买资产并募集配套资金</t>
    <phoneticPr fontId="11" type="noConversion"/>
  </si>
  <si>
    <t>年产3800万只聚合物锂电池建设项目</t>
  </si>
  <si>
    <t>聚合物锂电池产线技术升级项目</t>
  </si>
  <si>
    <t>研发中心建设项目</t>
  </si>
  <si>
    <t>实施主体</t>
    <phoneticPr fontId="11" type="noConversion"/>
  </si>
  <si>
    <t>东莞维科电池有限公司</t>
  </si>
  <si>
    <t>宁波维科电池有限公司</t>
  </si>
  <si>
    <t>宁波维科电池有限公司</t>
    <phoneticPr fontId="11" type="noConversion"/>
  </si>
  <si>
    <t>永久性补充流动资金</t>
  </si>
  <si>
    <t>维科技术股份有限公司</t>
  </si>
  <si>
    <t>2019年</t>
    <phoneticPr fontId="11" type="noConversion"/>
  </si>
  <si>
    <t xml:space="preserve">12,618.70	</t>
    <phoneticPr fontId="11" type="noConversion"/>
  </si>
  <si>
    <t>本项目预计投资总额为 49961.49 万元，项目投资构成如下：</t>
    <phoneticPr fontId="11" type="noConversion"/>
  </si>
  <si>
    <t>交易对价 （万元）</t>
  </si>
  <si>
    <t>维科电池71.40%股权</t>
  </si>
  <si>
    <t>维科控股</t>
  </si>
  <si>
    <t>耀宝投资</t>
  </si>
  <si>
    <t>标的资产</t>
    <phoneticPr fontId="11" type="noConversion"/>
  </si>
  <si>
    <t>交易对方</t>
    <phoneticPr fontId="11" type="noConversion"/>
  </si>
  <si>
    <t>发行股份数量 （股）</t>
    <phoneticPr fontId="11" type="noConversion"/>
  </si>
  <si>
    <t>维科能源60%股权</t>
    <phoneticPr fontId="11" type="noConversion"/>
  </si>
  <si>
    <t>维科新能源100%股权</t>
    <phoneticPr fontId="11" type="noConversion"/>
  </si>
  <si>
    <t>维科控股</t>
    <phoneticPr fontId="11" type="noConversion"/>
  </si>
  <si>
    <t>2022年7月12日股权激励</t>
    <phoneticPr fontId="20" type="noConversion"/>
  </si>
  <si>
    <t>2018年6月12日股权激励</t>
    <phoneticPr fontId="11" type="noConversion"/>
  </si>
  <si>
    <t>公司与实际控制人之间的产权及控制关系的方框图</t>
    <phoneticPr fontId="20" type="noConversion"/>
  </si>
  <si>
    <t>占比</t>
    <phoneticPr fontId="20" type="noConversion"/>
  </si>
  <si>
    <t>核心竞争力</t>
    <phoneticPr fontId="11" type="noConversion"/>
  </si>
  <si>
    <t>生产优势</t>
    <phoneticPr fontId="11" type="noConversion"/>
  </si>
  <si>
    <t>产品优势</t>
  </si>
  <si>
    <t>研发优势</t>
    <phoneticPr fontId="11" type="noConversion"/>
  </si>
  <si>
    <t>客户优势</t>
  </si>
  <si>
    <t>人才优势</t>
  </si>
  <si>
    <t>材料</t>
    <phoneticPr fontId="11" type="noConversion"/>
  </si>
  <si>
    <t>人工</t>
    <phoneticPr fontId="11" type="noConversion"/>
  </si>
  <si>
    <t>聚合物电池成本分析</t>
    <phoneticPr fontId="11" type="noConversion"/>
  </si>
  <si>
    <t>能源</t>
    <phoneticPr fontId="11" type="noConversion"/>
  </si>
  <si>
    <t>制造</t>
    <phoneticPr fontId="11" type="noConversion"/>
  </si>
  <si>
    <t>能源业务成本分析</t>
    <phoneticPr fontId="11" type="noConversion"/>
  </si>
  <si>
    <t>铝壳电池成本分析</t>
    <phoneticPr fontId="11" type="noConversion"/>
  </si>
  <si>
    <t>小动力电池成本分析</t>
    <phoneticPr fontId="11" type="noConversion"/>
  </si>
  <si>
    <t>钠离子电池</t>
    <phoneticPr fontId="11" type="noConversion"/>
  </si>
  <si>
    <t>钠离子电池业务</t>
    <phoneticPr fontId="11" type="noConversion"/>
  </si>
  <si>
    <t>1993年-2003年</t>
    <phoneticPr fontId="11" type="noConversion"/>
  </si>
  <si>
    <t>1993年公司由宁波线带集团公司独家发起成立并于1998年6月29日在上海证券交易所挂牌交易，股票代码600152。1999年维科集团收购4025.96万股国家股成为第一大股东，2000年公司更名为维科精华。期间公司主营业务为纺织业务，建立自有品牌并多年实现盈利。</t>
    <phoneticPr fontId="11" type="noConversion"/>
  </si>
  <si>
    <t>2003年-2018年</t>
    <phoneticPr fontId="11" type="noConversion"/>
  </si>
  <si>
    <t>2003年公司与宁波维科集团股份有限公司共同出资成立宁波维科能源科技投资有限公司。并于2004年出资成立宁波维科电池有限公司，正式进军锂电池生产业务，开始向新能源电池业务转型。2005年4月首只产品线建成，首批1万只电池产品下线。其后公司于2006年-2011年逐步扩大铝壳电池产能，达到20万只/日。2012年公司成功开拓聚合物电池生产业务，2013年成立宁波第一家院士工作站。2015年公司重新淘汰整合一部分铝壳电池产能并扩大聚合物电池产能。2016年公司开启动力电池项目建设。2018年公司完全剥离纺织业务，并设立东莞维科电池有限公本公司，开拓华南市场业务。</t>
    <phoneticPr fontId="11" type="noConversion"/>
  </si>
  <si>
    <t>2019年-至今</t>
    <phoneticPr fontId="50" type="noConversion"/>
  </si>
  <si>
    <t>使用维科自主研发的第三代高能量密度比体系，产品能量密度达720Wh/L，较上一代产品提升了8%，处于行业领先水平。</t>
    <phoneticPr fontId="50" type="noConversion"/>
  </si>
  <si>
    <t>使用维科快充体系，能量密度达680Wh/L, 支持1.3C直充； 30分钟充电60%以上电量。</t>
    <phoneticPr fontId="50" type="noConversion"/>
  </si>
  <si>
    <t>锂离子电动叉车电动系统及低速车电动系统动力输出强，可接受快速充电与大电流放电，一致性好；锂电池配置独立的管理系统，无需维护，环保节能；具有长寿命、高效率、可快充、免维护、无污染的特点。</t>
    <phoneticPr fontId="50" type="noConversion"/>
  </si>
  <si>
    <t>广州白云清洁、广州京成轩保洁车、广州朗晴电动车、华信三轮车、宁波海迈克动力有限公司、山东特朗斯新能源有限公司、苏州新欣电动车等客户。</t>
    <phoneticPr fontId="50" type="noConversion"/>
  </si>
  <si>
    <t>应用于电动机器人，主要从事维护保养、修理、运输、清洗、保安、救援、监护等工作。</t>
    <phoneticPr fontId="50" type="noConversion"/>
  </si>
  <si>
    <t>苏州爱普电器、北京臻迪机器人、浙江国自机器人有限公司、北京猎户星空等。</t>
    <phoneticPr fontId="50" type="noConversion"/>
  </si>
  <si>
    <t>机器人锂电池是专为移动机器测仪设计的高效、便携、轻便、充足的大容量锂电池组，机器人监测仪启动瞬间电流要求较大，对电池连续工作时间要求较高。</t>
    <phoneticPr fontId="50" type="noConversion"/>
  </si>
  <si>
    <t>使用业界成熟的三元18650 2200mAh/2600mAh电芯。电池模块能够串联和并联使用以满足电压和容量的要求。电池模块的热管理机制和电池管理系统提供高度的安全性。每一个电池模块包含了专用的和集成化的电池管理系统，有效的监控电压、电流、温度，SOC，电芯的均衡。</t>
    <phoneticPr fontId="50" type="noConversion"/>
  </si>
  <si>
    <t>-</t>
    <phoneticPr fontId="50" type="noConversion"/>
  </si>
  <si>
    <t>绿康车业、麦思动力、名泰机械制造有限公司、金华雅玛珈电动车、金华绿骑士等。</t>
    <phoneticPr fontId="50" type="noConversion"/>
  </si>
  <si>
    <t>苏州爱普电器等。</t>
    <phoneticPr fontId="50" type="noConversion"/>
  </si>
  <si>
    <t>公司以自动化生产线和数据化生产追溯系统为支撑，公司智能化生产水平较高。同时，公司具有先进的生产管理理念，实现项目开发、原料检验、生产工序的可追溯、无缝隙品质管控体系，保障了生产体系的高效运转。此外，公司强大的设计研发能力、稳定可靠的原材料供应体系、良好的生产协调能力、灵活的生产组织管理体系，实现了锂离子电池业务从锂电芯业务向锂电池封装业务延伸，有效缩短了多批次产品转线生产的切换时间，增强了对各类订单的承接能力，使公司能够快速响应客户需求，根据订单快速组织生产并及时交货，并有效降低公司的整体生产成本。</t>
    <phoneticPr fontId="11" type="noConversion"/>
  </si>
  <si>
    <t>公司产品生产过程严格遵循国家标准，产品本身质量过硬，公司锂电池产品技术指标均符合国标要求，并且与目前国内锂电池第一梯队厂商水平相当，在研的锂电芯最高能量密度达到750Wh/L，处于国内行业前列。</t>
    <phoneticPr fontId="11" type="noConversion"/>
  </si>
  <si>
    <t>公司拥有国家级示范院士专家工作站、国家CNAS实验室、省级工程技术中心等科研平台以及广东省高安全性高能量密度锂离子电池工程技术研究开发中心，并和中国科学院材料所、上海纳米技术及应用国家工程研究中心、中国科学技术大学等国内著名科研院所建立了密切的技术合作关系。截至2021年12月31日，公司共拥有专利165项，其中发明专利42项、实用新型专利117项、外观设计专利6项。公司目前的研发方向主要为高能量密度及快充类锂电池，已完成750Wh/L高能量密度锂电池和720Wh/L高能量密度锂电池快充的研发，并实现小批量中试，处于行业前列水平。</t>
    <phoneticPr fontId="11" type="noConversion"/>
  </si>
  <si>
    <t>目前公司已进入TCL、飞毛腿、传音、神基科技、中兴、海信等知名下游客户的供应商名单，产品广泛应用于各类产品线。目前，公司正在推动国内外一线智能终端产品品牌厂商审核，有望进入一流消费类锂离子电池产品市场，完善公司在消费类锂离子产品领域中的战略定位与布局。此外，公司也在拓展智能穿戴设备、智能家居、POS机、门铃、无人机等新兴消费电子产品市场和两轮自动车、吸尘器、电动工具等小动力锂电池以及家用储能系统领域，并与爱玛电动车、哈喽换电、大疆、小米生态链等客户建立了合作关系。</t>
    <phoneticPr fontId="11" type="noConversion"/>
  </si>
  <si>
    <t>在管理人才方面，公司拥有一支经验丰富、稳定高效的职业经理人团队。同时公司不断完善用人机制，通过绩效奖金、专项奖金以及限制性股票激励等方面构建了长中短期相结合的激励体系，以制度留住和培养人才。公司分管业务的总经理、生产副总经理均有生产管理经验超过10年。在技术人才方面，截至2021年12月31日，公司研发人员共计610名。研发团队成员专业背景涵盖材料化学、电化学、化学工程以及机械设计等领域，人员结构合理、分工明确并具有丰富的研发经验。</t>
    <phoneticPr fontId="11" type="noConversion"/>
  </si>
  <si>
    <t>4Q18</t>
    <phoneticPr fontId="20" type="noConversion"/>
  </si>
  <si>
    <t>1Q19</t>
    <phoneticPr fontId="20" type="noConversion"/>
  </si>
  <si>
    <t>2Q19</t>
    <phoneticPr fontId="20" type="noConversion"/>
  </si>
  <si>
    <t>3Q19</t>
    <phoneticPr fontId="20" type="noConversion"/>
  </si>
  <si>
    <t>4Q19</t>
    <phoneticPr fontId="20" type="noConversion"/>
  </si>
  <si>
    <t>1Q20</t>
    <phoneticPr fontId="20" type="noConversion"/>
  </si>
  <si>
    <t>2Q20</t>
    <phoneticPr fontId="20" type="noConversion"/>
  </si>
  <si>
    <t>实际发行A股数量</t>
    <phoneticPr fontId="11" type="noConversion"/>
  </si>
  <si>
    <t>实际发行价格</t>
    <phoneticPr fontId="11" type="noConversion"/>
  </si>
  <si>
    <t>6.13元/股</t>
  </si>
  <si>
    <t>114,192,495股</t>
  </si>
  <si>
    <t>募集资金数量</t>
    <phoneticPr fontId="11" type="noConversion"/>
  </si>
  <si>
    <t>募集资金总额为699,999,994.35元，扣除相关发行费用10,249,238.20元后，募集资金净额为人民币689,750,756.15元。</t>
    <phoneticPr fontId="11" type="noConversion"/>
  </si>
  <si>
    <t>本项目拟购置国内外先进的生产和检测设备，建设16条全自动智能化聚合物锂电池生产线。项目达产后，将形成年产6,000万支聚合物锂离子电池的产能，主要应用于智能手机、笔记本电脑、可穿戴设备和无人机等消费电子产品。本项目预计年均营业收入为129,600.00万元，年均净利润为7,810.72万元。</t>
    <phoneticPr fontId="11" type="noConversion"/>
  </si>
  <si>
    <t>共58,698,840股，其中向维科控股发行22,012,065股，向杨东文发行36,686,775股</t>
    <phoneticPr fontId="11" type="noConversion"/>
  </si>
  <si>
    <t>513,614,850.00元</t>
    <phoneticPr fontId="11" type="noConversion"/>
  </si>
  <si>
    <t>8.75元/股</t>
  </si>
  <si>
    <t>募集资金投资进度（万元）</t>
    <phoneticPr fontId="11" type="noConversion"/>
  </si>
  <si>
    <t>持有标的资产股权比例</t>
    <phoneticPr fontId="11" type="noConversion"/>
  </si>
  <si>
    <t>10.22元/股</t>
  </si>
  <si>
    <t>2017年度定向增发购买资产</t>
    <phoneticPr fontId="11" type="noConversion"/>
  </si>
  <si>
    <t>交易标的资产维科电池71.40%股权，交易价格为64,974.00万元；标的资产维科能源60%股权，交易价格为15,870.00万元；标的资产维科新能源100%股权，交易价格为9,570.00万元。</t>
    <phoneticPr fontId="11" type="noConversion"/>
  </si>
  <si>
    <t>88,467,707股</t>
    <phoneticPr fontId="11" type="noConversion"/>
  </si>
  <si>
    <t>公告日</t>
    <phoneticPr fontId="11" type="noConversion"/>
  </si>
  <si>
    <t>授予日</t>
    <phoneticPr fontId="11" type="noConversion"/>
  </si>
  <si>
    <t>授予数量</t>
    <phoneticPr fontId="11" type="noConversion"/>
  </si>
  <si>
    <t>授予人数</t>
    <phoneticPr fontId="11" type="noConversion"/>
  </si>
  <si>
    <t>246人</t>
    <phoneticPr fontId="11" type="noConversion"/>
  </si>
  <si>
    <t>期权行权价格</t>
    <phoneticPr fontId="11" type="noConversion"/>
  </si>
  <si>
    <t>具体授予对象名单</t>
    <phoneticPr fontId="11" type="noConversion"/>
  </si>
  <si>
    <t>序号</t>
  </si>
  <si>
    <t>董事、副总经理</t>
  </si>
  <si>
    <t>副总经理</t>
  </si>
  <si>
    <t>小计</t>
  </si>
  <si>
    <t>公司管理技术骨干人员 （合计244人）</t>
  </si>
  <si>
    <t>占股权激励计划总量的比例</t>
    <phoneticPr fontId="11" type="noConversion"/>
  </si>
  <si>
    <t>占授予时总股本的比例</t>
    <phoneticPr fontId="11" type="noConversion"/>
  </si>
  <si>
    <t>预留部分</t>
    <phoneticPr fontId="11" type="noConversion"/>
  </si>
  <si>
    <t>解锁设置</t>
    <phoneticPr fontId="11" type="noConversion"/>
  </si>
  <si>
    <t>行权安排</t>
  </si>
  <si>
    <t>自首次授权之日起12个月后的首个交易日起至首次授权之日起24个月内的最后一个交易日当日止</t>
  </si>
  <si>
    <t>自首次授权之日起24个月后的首个交易日起至首次授权之日起36个月内的最后一个交易日当日止</t>
  </si>
  <si>
    <t>自首次授权之日起36个月后的首个交易日起至首次授权之日起48个月内的最后一个交易日当日止</t>
  </si>
  <si>
    <t>第一个行权期</t>
    <phoneticPr fontId="11" type="noConversion"/>
  </si>
  <si>
    <t>第二个行权期</t>
    <phoneticPr fontId="11" type="noConversion"/>
  </si>
  <si>
    <t>第三个行权期</t>
    <phoneticPr fontId="11" type="noConversion"/>
  </si>
  <si>
    <t>行权时间</t>
    <phoneticPr fontId="11" type="noConversion"/>
  </si>
  <si>
    <t>行权比例</t>
  </si>
  <si>
    <t>行权比例</t>
    <phoneticPr fontId="11" type="noConversion"/>
  </si>
  <si>
    <t>本激励计划</t>
    <phoneticPr fontId="11" type="noConversion"/>
  </si>
  <si>
    <t>预留部分的股票期权在2022年10月31日前（含当日）授予</t>
  </si>
  <si>
    <t>行权安排</t>
    <phoneticPr fontId="11" type="noConversion"/>
  </si>
  <si>
    <t>自预留部分股票期权授权日起12个月后的首个交易日起至预留部分股票期权授权日起24个月内的最后一个交易日当日止</t>
    <phoneticPr fontId="11" type="noConversion"/>
  </si>
  <si>
    <t>自预留部分股票期权授权日起24个月后的首个交易日起至预留部分股票期权授权日起36个月内的最后一个交易日当日止</t>
    <phoneticPr fontId="11" type="noConversion"/>
  </si>
  <si>
    <t>自预留部分股票期权授权日起36个月后的首个交易日起至预留部分股票期权授权日起48个月内的最后一个交易日当日止</t>
    <phoneticPr fontId="11" type="noConversion"/>
  </si>
  <si>
    <t>若预留部分的股票期权在2022年10月31日后授予</t>
  </si>
  <si>
    <t>业绩考核</t>
    <phoneticPr fontId="11" type="noConversion"/>
  </si>
  <si>
    <t>首次授予的股票期权的业绩考核</t>
  </si>
  <si>
    <t>行权期</t>
    <phoneticPr fontId="11" type="noConversion"/>
  </si>
  <si>
    <t>对应考核年度</t>
    <phoneticPr fontId="11" type="noConversion"/>
  </si>
  <si>
    <t>2022年</t>
    <phoneticPr fontId="11" type="noConversion"/>
  </si>
  <si>
    <t>2023年</t>
    <phoneticPr fontId="11" type="noConversion"/>
  </si>
  <si>
    <t>2024年</t>
    <phoneticPr fontId="11" type="noConversion"/>
  </si>
  <si>
    <t>预留部分股票期权的业绩考核</t>
  </si>
  <si>
    <t>主营业务收入</t>
    <phoneticPr fontId="11" type="noConversion"/>
  </si>
  <si>
    <t>不低于20.50亿元</t>
    <phoneticPr fontId="11" type="noConversion"/>
  </si>
  <si>
    <t>不低于0万元</t>
    <phoneticPr fontId="11" type="noConversion"/>
  </si>
  <si>
    <t>不低于21.50亿元</t>
    <phoneticPr fontId="11" type="noConversion"/>
  </si>
  <si>
    <t>不低于3,000万元</t>
    <phoneticPr fontId="11" type="noConversion"/>
  </si>
  <si>
    <t>不低于23.50亿元</t>
    <phoneticPr fontId="11" type="noConversion"/>
  </si>
  <si>
    <t>不低于8,000万元</t>
    <phoneticPr fontId="11" type="noConversion"/>
  </si>
  <si>
    <t>会计处理</t>
    <phoneticPr fontId="11" type="noConversion"/>
  </si>
  <si>
    <t>股票期权摊销总成本</t>
    <phoneticPr fontId="11" type="noConversion"/>
  </si>
  <si>
    <t>单位：万元</t>
    <phoneticPr fontId="11" type="noConversion"/>
  </si>
  <si>
    <t>1,470万份</t>
    <phoneticPr fontId="11" type="noConversion"/>
  </si>
  <si>
    <t>3.26元/份</t>
    <phoneticPr fontId="11" type="noConversion"/>
  </si>
  <si>
    <t>4,576万股，预留624万股</t>
    <phoneticPr fontId="11" type="noConversion"/>
  </si>
  <si>
    <t>5.64元/股</t>
    <phoneticPr fontId="11" type="noConversion"/>
  </si>
  <si>
    <t>获授的股票期权数量（万股）</t>
    <phoneticPr fontId="11" type="noConversion"/>
  </si>
  <si>
    <t>58人</t>
    <phoneticPr fontId="11" type="noConversion"/>
  </si>
  <si>
    <t>职位</t>
  </si>
  <si>
    <t>授予限制性股票数量（万股）</t>
  </si>
  <si>
    <t>占本次激励计划授予股票总量的比例（%）</t>
  </si>
  <si>
    <t>占本计划公告时总股本的比例（%）</t>
  </si>
  <si>
    <t>中层管理人员、核心技术 （业务）人员（共58人）</t>
  </si>
  <si>
    <t>预留</t>
  </si>
  <si>
    <t>解除限售期</t>
  </si>
  <si>
    <t>解除限售时间</t>
  </si>
  <si>
    <t>解除限售比例</t>
  </si>
  <si>
    <t>第一个解除限售期</t>
  </si>
  <si>
    <t>自首次授予登记完成之日起满12个月后的首个交易日至首次授予登记完成之日起24个月内的最后一个交易日当日</t>
  </si>
  <si>
    <t>自首次授予登记完成之日起满24个月后的首个交易日至首次授予登记完成之日起36个月内的最后一个交易日当日</t>
  </si>
  <si>
    <t>第三个解除限售期</t>
  </si>
  <si>
    <t>自首次授予登记完成之日起满36个月后的首个交易日至首次授予登记完成之日起48个月内的最后一个交易日当日</t>
  </si>
  <si>
    <t>第二个解除限售期</t>
    <phoneticPr fontId="11" type="noConversion"/>
  </si>
  <si>
    <t>业绩考核目标</t>
  </si>
  <si>
    <t>首次授予限制性股票第一次解锁</t>
  </si>
  <si>
    <t>以2017年公司新能源产业营业收入为基数，2018 年公司新能源产业实现的营业收入增长率不低于5%。</t>
  </si>
  <si>
    <t>首次授予限制性股票第二次解锁</t>
  </si>
  <si>
    <t>以2017年公司新能源产业营业收入为基数，2019 年公司新能源产业实现的营业收入增长率不低于15%。</t>
  </si>
  <si>
    <t>首次授予限制性股票第三次解锁</t>
  </si>
  <si>
    <t>以2017年公司新能源产业营业收入为基数，2020 年公司新能源产业实现的营业收入增长率不低于25%。</t>
  </si>
  <si>
    <t>项目名称</t>
  </si>
  <si>
    <t>2018年</t>
  </si>
  <si>
    <t>2019年</t>
  </si>
  <si>
    <t>2020年</t>
  </si>
  <si>
    <t>摊销金额</t>
  </si>
  <si>
    <t>联系人：申建国/陈爽19514630775</t>
    <phoneticPr fontId="11" type="noConversion"/>
  </si>
  <si>
    <t>行业概况&amp;方案对比</t>
    <phoneticPr fontId="11" type="noConversion"/>
  </si>
  <si>
    <t>行业空间</t>
  </si>
  <si>
    <t>材料环节情况及布局</t>
    <phoneticPr fontId="11" type="noConversion"/>
  </si>
  <si>
    <t xml:space="preserve">                                 华泰电新－行业概况&amp;方案对比                   </t>
    <phoneticPr fontId="11" type="noConversion"/>
  </si>
  <si>
    <t>产业链</t>
  </si>
  <si>
    <t>钠电池与锂电、铅酸电池对比</t>
  </si>
  <si>
    <t>铅酸电池</t>
  </si>
  <si>
    <t>钠离子电池
（铜基氧化物/煤基碳体系）</t>
  </si>
  <si>
    <t>锂离子电池
（磷酸铁锂/石墨体系）</t>
  </si>
  <si>
    <t>能量密度（Wh/kg）</t>
  </si>
  <si>
    <t>30-50</t>
  </si>
  <si>
    <t>100-150</t>
  </si>
  <si>
    <t>120-180</t>
  </si>
  <si>
    <t>循环寿命（次）</t>
  </si>
  <si>
    <t>300-500</t>
  </si>
  <si>
    <t>2000次以上</t>
  </si>
  <si>
    <t>3000次以上</t>
  </si>
  <si>
    <t>工作电压（V）</t>
  </si>
  <si>
    <t>-20℃容量保持率</t>
  </si>
  <si>
    <t>小于60%</t>
  </si>
  <si>
    <t>88%以上</t>
  </si>
  <si>
    <t>小于70%</t>
  </si>
  <si>
    <t>耐过放电</t>
  </si>
  <si>
    <t>差</t>
  </si>
  <si>
    <t>可放电至0V</t>
  </si>
  <si>
    <t>安全性</t>
  </si>
  <si>
    <t>优</t>
  </si>
  <si>
    <t>有潜力达到最优</t>
  </si>
  <si>
    <t>环保性</t>
  </si>
  <si>
    <t>最优</t>
  </si>
  <si>
    <t>自放电率（每月）</t>
  </si>
  <si>
    <t>钠电池与液流、铅酸电池对比</t>
  </si>
  <si>
    <t>钠离子电池</t>
  </si>
  <si>
    <t>全钒液流电池</t>
  </si>
  <si>
    <t>铅酸蓄电池</t>
  </si>
  <si>
    <t>工作原理</t>
  </si>
  <si>
    <t>利用钠离子在正负极之间嵌脱过程实现充放电的摇椅式二次电池</t>
  </si>
  <si>
    <t>以钒为活性物质呈循环流动液态的氧化还原电池</t>
  </si>
  <si>
    <t>利用阳极(PbO2)，阴极(Pb)在电解液(稀硫酸)中的电势差实现充放电的二次电池</t>
  </si>
  <si>
    <t>优点</t>
  </si>
  <si>
    <t>1.能量密度70-200Wh/kg；2.高低温性能好，-20℃容量保持率&gt;88%；3.钠离子电池相关金属资源丰富</t>
  </si>
  <si>
    <t>1.设计灵活，功率和容积可以独立设计构思；2.充、放电性能好，可深度放电而不损坏电池，循环寿命长,适用于长时储能；3.安全性高，活性物质存在于电解液中，无爆炸、短路风险</t>
  </si>
  <si>
    <t>1..成本低，价格低廉；2.储存性能好，电压稳定；3.安全性高；4.铅回收的产业链完善</t>
  </si>
  <si>
    <t>缺点</t>
  </si>
  <si>
    <t>1.循环次数目前相对较低，远期可能高；2.目前产业链还不够完整,成本较高</t>
  </si>
  <si>
    <t>1.能量密度低，仅为锂电的1/10，占地面积大；2.成本高仍处在示范到商业化前期，集装箱方舱形态钒电池价格在3元/Wh左右；3.能量损耗较高，能量损失在25%-30%左右；4.电池系统复杂，有管道、泵、阀、换热器等辅助部件，核心零部件隔膜和泵有待突破；5. 要求温和的温度环境，工作温度5-40℃</t>
  </si>
  <si>
    <t>1.能量密度低,只有30-50Wh/kg；2.使用寿命短300-500次；3.低温性能差-20℃放电保持率＜60%；4.环保差，对环境腐蚀性强</t>
  </si>
  <si>
    <t>钠离子电池与现有电池体系特性对比</t>
  </si>
  <si>
    <t>钠电池与锂电池成本对比</t>
  </si>
  <si>
    <r>
      <rPr>
        <b/>
        <sz val="10"/>
        <color theme="0"/>
        <rFont val="楷体"/>
        <family val="3"/>
        <charset val="134"/>
      </rPr>
      <t>正极材料</t>
    </r>
  </si>
  <si>
    <r>
      <rPr>
        <b/>
        <sz val="10"/>
        <color theme="0"/>
        <rFont val="楷体"/>
        <family val="3"/>
        <charset val="134"/>
      </rPr>
      <t>负极材料</t>
    </r>
  </si>
  <si>
    <r>
      <rPr>
        <b/>
        <sz val="10"/>
        <color theme="0"/>
        <rFont val="楷体"/>
        <family val="3"/>
        <charset val="134"/>
      </rPr>
      <t>电解液</t>
    </r>
  </si>
  <si>
    <r>
      <rPr>
        <b/>
        <sz val="10"/>
        <color theme="0"/>
        <rFont val="楷体"/>
        <family val="3"/>
        <charset val="134"/>
      </rPr>
      <t>隔膜</t>
    </r>
  </si>
  <si>
    <r>
      <rPr>
        <b/>
        <sz val="10"/>
        <color theme="0"/>
        <rFont val="楷体"/>
        <family val="3"/>
        <charset val="134"/>
      </rPr>
      <t>集流体</t>
    </r>
  </si>
  <si>
    <r>
      <rPr>
        <b/>
        <sz val="10"/>
        <color theme="0"/>
        <rFont val="楷体"/>
        <family val="3"/>
        <charset val="134"/>
      </rPr>
      <t>其他</t>
    </r>
  </si>
  <si>
    <r>
      <rPr>
        <sz val="10"/>
        <color theme="1"/>
        <rFont val="楷体"/>
        <family val="3"/>
        <charset val="134"/>
      </rPr>
      <t>钠离子电池成本</t>
    </r>
  </si>
  <si>
    <r>
      <rPr>
        <sz val="10"/>
        <color theme="1"/>
        <rFont val="楷体"/>
        <family val="3"/>
        <charset val="134"/>
      </rPr>
      <t>锂离子电池成本</t>
    </r>
  </si>
  <si>
    <t xml:space="preserve">                                 华泰电新－行业空间           </t>
    <phoneticPr fontId="11" type="noConversion"/>
  </si>
  <si>
    <t>钠离子电池市场空间：2027年国内市场将达到582亿元</t>
  </si>
  <si>
    <t>2025E</t>
  </si>
  <si>
    <t>2026E</t>
  </si>
  <si>
    <t>2027E</t>
  </si>
  <si>
    <t>低能量密度电动乘用车</t>
  </si>
  <si>
    <t>中国乘用车销量（万辆）</t>
  </si>
  <si>
    <t>新能源车渗透率</t>
  </si>
  <si>
    <t>磷酸铁锂占比</t>
  </si>
  <si>
    <t>平均单车带电（KWh）</t>
  </si>
  <si>
    <t>总带电量（GWh）</t>
  </si>
  <si>
    <t>钠电池渗透率</t>
  </si>
  <si>
    <t>钠电池装机量（GWh）</t>
  </si>
  <si>
    <t>单价（元/Wh）</t>
  </si>
  <si>
    <t>钠电池对应市场空间（亿元）</t>
  </si>
  <si>
    <t>电动两轮车</t>
  </si>
  <si>
    <t>国内电动两轮车销量（万辆）</t>
  </si>
  <si>
    <t>储能电池</t>
  </si>
  <si>
    <t>风光配储电池需求（GWh）</t>
  </si>
  <si>
    <t>电网侧和用户侧储能电池需求（GWh）</t>
  </si>
  <si>
    <t>5G基站储能需求（GWh）</t>
  </si>
  <si>
    <t>储能总需求量（GWh）</t>
  </si>
  <si>
    <t>电动工具</t>
  </si>
  <si>
    <t>电动工具装机量（GWh）</t>
  </si>
  <si>
    <t>总计</t>
  </si>
  <si>
    <t xml:space="preserve">                                 华泰电新－材料环节情况及布局              </t>
    <phoneticPr fontId="11" type="noConversion"/>
  </si>
  <si>
    <t>结构构成</t>
  </si>
  <si>
    <t>部件</t>
  </si>
  <si>
    <t>材料</t>
  </si>
  <si>
    <t>说明</t>
  </si>
  <si>
    <t>正极</t>
  </si>
  <si>
    <t>钠过渡金属氧化物</t>
  </si>
  <si>
    <t>可分为层状和隧道状过渡金属氧化物，通常用NaxMO2(M=Co、Fe、Mn 和 Ni 等)表示。层状金属氧化物是当前主流的正极材料</t>
    <phoneticPr fontId="11" type="noConversion"/>
  </si>
  <si>
    <t>聚阴离子类化合物</t>
  </si>
  <si>
    <t>聚阴离子类化合物NaxMy[(XOm)n-]z(M为具有可变价态的金属离子；X 为 P、S 和 V 等元素)主要分为：橄榄石结构磷酸盐、NASCICON(钠离子快离子导体)化合物和磷酸盐化合物</t>
    <phoneticPr fontId="11" type="noConversion"/>
  </si>
  <si>
    <t>普鲁士蓝类似物（PBA）</t>
  </si>
  <si>
    <t>普鲁士蓝类化合物 NaxMA[MB(CN)6]·zH2O(MA 和MB 为过渡金属离子)，晶体结构为面心立方，过渡金属离子与氰化根形成六配位，碱金属离子处于三维通道结构和配位孔隙中</t>
    <phoneticPr fontId="11" type="noConversion"/>
  </si>
  <si>
    <t>非晶态材料</t>
  </si>
  <si>
    <t>也叫无定形或玻璃态材料，是固体中的原子不按照一定的空间顺序排列的固体，原子排布上表现为长程无序、短程有序</t>
    <phoneticPr fontId="11" type="noConversion"/>
  </si>
  <si>
    <t>负极</t>
  </si>
  <si>
    <t>硬碳或软性无定形碳，合金
类（Sn、Sb 等）、过渡金属氧化物（Na0.66Li0.22Ti0.78O2
等）、钠-过渡金属磷酸盐
（NaTiOPO4）等</t>
    <phoneticPr fontId="11" type="noConversion"/>
  </si>
  <si>
    <t>高能量密度钠离子电池负极材料中，无定型碳材料（包括软碳、硬碳）是目前最有希望走向商业化的，其可逆容量和循环性能均已接近应用要求，但主要瓶颈在于成本较高。基于此，目前开发的无烟煤基无定型碳材料是性价比最高的钠离子电池负极材料</t>
    <phoneticPr fontId="11" type="noConversion"/>
  </si>
  <si>
    <t>电解液</t>
  </si>
  <si>
    <t>溶质为六氟磷酸钠</t>
  </si>
  <si>
    <t>由于 Na 和 Al 在低电位不会发生合金化反应，钠离子电池正极和负极的集流体都可使用廉价的铝箔，同等容量的钠离子电池中 Al 集流体成本是锂离子电池 Al 和 Cu 集流体的 1/3</t>
    <phoneticPr fontId="11" type="noConversion"/>
  </si>
  <si>
    <t>隔膜</t>
  </si>
  <si>
    <t>与锂电池相同</t>
  </si>
  <si>
    <t>—</t>
  </si>
  <si>
    <t>集流体</t>
  </si>
  <si>
    <t>铝箔</t>
  </si>
  <si>
    <t>成本比锂电池中的铜箔成本更低</t>
  </si>
  <si>
    <t>资料来源：《钠离子电池正极材料的研究现状》</t>
    <phoneticPr fontId="11" type="noConversion"/>
  </si>
  <si>
    <t>钠离子电池与锂离子电池最大的区别在于正极材料。</t>
  </si>
  <si>
    <t>钠离子电池正极材料主要路线</t>
  </si>
  <si>
    <t>代表企业</t>
  </si>
  <si>
    <t>优势</t>
  </si>
  <si>
    <t>劣势</t>
  </si>
  <si>
    <t>过渡金属氧化物</t>
  </si>
  <si>
    <r>
      <rPr>
        <sz val="10"/>
        <color rgb="FF000000"/>
        <rFont val="楷体"/>
        <family val="3"/>
        <charset val="134"/>
      </rPr>
      <t>可分为层状和隧道状过渡金属氧化物，通常用</t>
    </r>
    <r>
      <rPr>
        <sz val="10"/>
        <color rgb="FF000000"/>
        <rFont val="Arial"/>
        <family val="2"/>
      </rPr>
      <t>Na</t>
    </r>
    <r>
      <rPr>
        <vertAlign val="subscript"/>
        <sz val="10"/>
        <color rgb="FF000000"/>
        <rFont val="Arial"/>
        <family val="2"/>
      </rPr>
      <t>x</t>
    </r>
    <r>
      <rPr>
        <sz val="10"/>
        <color rgb="FF000000"/>
        <rFont val="Arial"/>
        <family val="2"/>
      </rPr>
      <t>MO</t>
    </r>
    <r>
      <rPr>
        <vertAlign val="subscript"/>
        <sz val="10"/>
        <color rgb="FF000000"/>
        <rFont val="Arial"/>
        <family val="2"/>
      </rPr>
      <t>2</t>
    </r>
    <r>
      <rPr>
        <sz val="10"/>
        <color rgb="FF000000"/>
        <rFont val="楷体"/>
        <family val="3"/>
        <charset val="134"/>
      </rPr>
      <t>（</t>
    </r>
    <r>
      <rPr>
        <sz val="10"/>
        <color rgb="FF000000"/>
        <rFont val="Arial"/>
        <family val="2"/>
      </rPr>
      <t>M=Co</t>
    </r>
    <r>
      <rPr>
        <sz val="10"/>
        <color rgb="FF000000"/>
        <rFont val="楷体"/>
        <family val="3"/>
        <charset val="134"/>
      </rPr>
      <t>、</t>
    </r>
    <r>
      <rPr>
        <sz val="10"/>
        <color rgb="FF000000"/>
        <rFont val="Arial"/>
        <family val="2"/>
      </rPr>
      <t>Fe</t>
    </r>
    <r>
      <rPr>
        <sz val="10"/>
        <color rgb="FF000000"/>
        <rFont val="楷体"/>
        <family val="3"/>
        <charset val="134"/>
      </rPr>
      <t>、</t>
    </r>
    <r>
      <rPr>
        <sz val="10"/>
        <color rgb="FF000000"/>
        <rFont val="Arial"/>
        <family val="2"/>
      </rPr>
      <t>Mn</t>
    </r>
    <r>
      <rPr>
        <sz val="10"/>
        <color rgb="FF000000"/>
        <rFont val="楷体"/>
        <family val="3"/>
        <charset val="134"/>
      </rPr>
      <t>和</t>
    </r>
    <r>
      <rPr>
        <sz val="10"/>
        <color rgb="FF000000"/>
        <rFont val="Arial"/>
        <family val="2"/>
      </rPr>
      <t>Ni</t>
    </r>
    <r>
      <rPr>
        <sz val="10"/>
        <color rgb="FF000000"/>
        <rFont val="楷体"/>
        <family val="3"/>
        <charset val="134"/>
      </rPr>
      <t>等）表示，层状金属氧化物是当前主流的正极材料</t>
    </r>
  </si>
  <si>
    <t>宁德时代、中科海钠、钠创新能源、传艺科技</t>
  </si>
  <si>
    <t>能量密度高</t>
  </si>
  <si>
    <t>循环性能差</t>
  </si>
  <si>
    <t>普鲁士蓝类似物</t>
  </si>
  <si>
    <r>
      <rPr>
        <sz val="10"/>
        <color rgb="FF000000"/>
        <rFont val="楷体"/>
        <family val="3"/>
        <charset val="134"/>
      </rPr>
      <t>普鲁士蓝类化合物</t>
    </r>
    <r>
      <rPr>
        <sz val="10"/>
        <color rgb="FF000000"/>
        <rFont val="Arial"/>
        <family val="2"/>
      </rPr>
      <t>Na</t>
    </r>
    <r>
      <rPr>
        <vertAlign val="subscript"/>
        <sz val="10"/>
        <color rgb="FF000000"/>
        <rFont val="Arial"/>
        <family val="2"/>
      </rPr>
      <t>x</t>
    </r>
    <r>
      <rPr>
        <sz val="10"/>
        <color rgb="FF000000"/>
        <rFont val="Arial"/>
        <family val="2"/>
      </rPr>
      <t>MA[MB(CN)</t>
    </r>
    <r>
      <rPr>
        <vertAlign val="subscript"/>
        <sz val="10"/>
        <color rgb="FF000000"/>
        <rFont val="Arial"/>
        <family val="2"/>
      </rPr>
      <t>6</t>
    </r>
    <r>
      <rPr>
        <sz val="10"/>
        <color rgb="FF000000"/>
        <rFont val="Arial"/>
        <family val="2"/>
      </rPr>
      <t>]zH</t>
    </r>
    <r>
      <rPr>
        <vertAlign val="subscript"/>
        <sz val="10"/>
        <color rgb="FF000000"/>
        <rFont val="Arial"/>
        <family val="2"/>
      </rPr>
      <t>2</t>
    </r>
    <r>
      <rPr>
        <sz val="10"/>
        <color rgb="FF000000"/>
        <rFont val="Arial"/>
        <family val="2"/>
      </rPr>
      <t>O</t>
    </r>
    <r>
      <rPr>
        <sz val="10"/>
        <color rgb="FF000000"/>
        <rFont val="楷体"/>
        <family val="3"/>
        <charset val="134"/>
      </rPr>
      <t>（</t>
    </r>
    <r>
      <rPr>
        <sz val="10"/>
        <color rgb="FF000000"/>
        <rFont val="Arial"/>
        <family val="2"/>
      </rPr>
      <t>MA</t>
    </r>
    <r>
      <rPr>
        <sz val="10"/>
        <color rgb="FF000000"/>
        <rFont val="楷体"/>
        <family val="3"/>
        <charset val="134"/>
      </rPr>
      <t>和</t>
    </r>
    <r>
      <rPr>
        <sz val="10"/>
        <color rgb="FF000000"/>
        <rFont val="Arial"/>
        <family val="2"/>
      </rPr>
      <t>MB</t>
    </r>
    <r>
      <rPr>
        <sz val="10"/>
        <color rgb="FF000000"/>
        <rFont val="楷体"/>
        <family val="3"/>
        <charset val="134"/>
      </rPr>
      <t>为过渡金属离子），晶体结构为面心立方，过渡金属离子与氰化根形成六配位，碱金属离子处于三位通道结构和配位孔隙中</t>
    </r>
  </si>
  <si>
    <t>宁德时代、钠创新能源</t>
  </si>
  <si>
    <t>较好的电化学性能，成本低，稳定性好</t>
  </si>
  <si>
    <t>生产对水敏感</t>
  </si>
  <si>
    <r>
      <rPr>
        <sz val="10"/>
        <color rgb="FF000000"/>
        <rFont val="楷体"/>
        <family val="3"/>
        <charset val="134"/>
      </rPr>
      <t>聚阴离子类化合物</t>
    </r>
    <r>
      <rPr>
        <sz val="10"/>
        <color rgb="FF000000"/>
        <rFont val="Arial"/>
        <family val="2"/>
      </rPr>
      <t>Na</t>
    </r>
    <r>
      <rPr>
        <vertAlign val="subscript"/>
        <sz val="10"/>
        <color rgb="FF000000"/>
        <rFont val="Arial"/>
        <family val="2"/>
      </rPr>
      <t>x</t>
    </r>
    <r>
      <rPr>
        <sz val="10"/>
        <color rgb="FF000000"/>
        <rFont val="Arial"/>
        <family val="2"/>
      </rPr>
      <t>M</t>
    </r>
    <r>
      <rPr>
        <vertAlign val="subscript"/>
        <sz val="10"/>
        <color rgb="FF000000"/>
        <rFont val="Arial"/>
        <family val="2"/>
      </rPr>
      <t>y</t>
    </r>
    <r>
      <rPr>
        <sz val="10"/>
        <color rgb="FF000000"/>
        <rFont val="Arial"/>
        <family val="2"/>
      </rPr>
      <t>[(XO</t>
    </r>
    <r>
      <rPr>
        <vertAlign val="subscript"/>
        <sz val="10"/>
        <color rgb="FF000000"/>
        <rFont val="Arial"/>
        <family val="2"/>
      </rPr>
      <t>m</t>
    </r>
    <r>
      <rPr>
        <sz val="10"/>
        <color rgb="FF000000"/>
        <rFont val="Arial"/>
        <family val="2"/>
      </rPr>
      <t>)</t>
    </r>
    <r>
      <rPr>
        <vertAlign val="subscript"/>
        <sz val="10"/>
        <color rgb="FF000000"/>
        <rFont val="Arial"/>
        <family val="2"/>
      </rPr>
      <t>n-</t>
    </r>
    <r>
      <rPr>
        <sz val="10"/>
        <color rgb="FF000000"/>
        <rFont val="Arial"/>
        <family val="2"/>
      </rPr>
      <t>]</t>
    </r>
    <r>
      <rPr>
        <vertAlign val="subscript"/>
        <sz val="10"/>
        <color rgb="FF000000"/>
        <rFont val="Arial"/>
        <family val="2"/>
      </rPr>
      <t>z</t>
    </r>
    <r>
      <rPr>
        <sz val="10"/>
        <color rgb="FF000000"/>
        <rFont val="楷体"/>
        <family val="3"/>
        <charset val="134"/>
      </rPr>
      <t>（</t>
    </r>
    <r>
      <rPr>
        <sz val="10"/>
        <color rgb="FF000000"/>
        <rFont val="Arial"/>
        <family val="2"/>
      </rPr>
      <t>M</t>
    </r>
    <r>
      <rPr>
        <sz val="10"/>
        <color rgb="FF000000"/>
        <rFont val="楷体"/>
        <family val="3"/>
        <charset val="134"/>
      </rPr>
      <t>为具有可变价态的金属离子；</t>
    </r>
    <r>
      <rPr>
        <sz val="10"/>
        <color rgb="FF000000"/>
        <rFont val="Arial"/>
        <family val="2"/>
      </rPr>
      <t>X</t>
    </r>
    <r>
      <rPr>
        <sz val="10"/>
        <color rgb="FF000000"/>
        <rFont val="楷体"/>
        <family val="3"/>
        <charset val="134"/>
      </rPr>
      <t>为</t>
    </r>
    <r>
      <rPr>
        <sz val="10"/>
        <color rgb="FF000000"/>
        <rFont val="Arial"/>
        <family val="2"/>
      </rPr>
      <t>P</t>
    </r>
    <r>
      <rPr>
        <sz val="10"/>
        <color rgb="FF000000"/>
        <rFont val="楷体"/>
        <family val="3"/>
        <charset val="134"/>
      </rPr>
      <t>、</t>
    </r>
    <r>
      <rPr>
        <sz val="10"/>
        <color rgb="FF000000"/>
        <rFont val="Arial"/>
        <family val="2"/>
      </rPr>
      <t>S</t>
    </r>
    <r>
      <rPr>
        <sz val="10"/>
        <color rgb="FF000000"/>
        <rFont val="楷体"/>
        <family val="3"/>
        <charset val="134"/>
      </rPr>
      <t>和</t>
    </r>
    <r>
      <rPr>
        <sz val="10"/>
        <color rgb="FF000000"/>
        <rFont val="Arial"/>
        <family val="2"/>
      </rPr>
      <t>V</t>
    </r>
    <r>
      <rPr>
        <sz val="10"/>
        <color rgb="FF000000"/>
        <rFont val="楷体"/>
        <family val="3"/>
        <charset val="134"/>
      </rPr>
      <t>等元素）主要分为橄榄石结构磷酸盐、</t>
    </r>
    <r>
      <rPr>
        <sz val="10"/>
        <color rgb="FF000000"/>
        <rFont val="Arial"/>
        <family val="2"/>
      </rPr>
      <t>NASCICON</t>
    </r>
    <r>
      <rPr>
        <sz val="10"/>
        <color rgb="FF000000"/>
        <rFont val="楷体"/>
        <family val="3"/>
        <charset val="134"/>
      </rPr>
      <t>（钠离子快离子导体）化合物和磷酸盐化合物</t>
    </r>
  </si>
  <si>
    <t>鹏辉能源、众钠能源</t>
  </si>
  <si>
    <t>热稳定性好，循环寿命好</t>
  </si>
  <si>
    <t>能量密度低，导电性差</t>
  </si>
  <si>
    <t>也叫无定形或玻璃态材料，是固体中的原子不按照一定的空间顺序排列的固体，原子排不上表现为长程无序，短程有序</t>
  </si>
  <si>
    <t>循环性能好，能量密度好</t>
  </si>
  <si>
    <t>电导率低，稳定性和耐酸碱性差</t>
  </si>
  <si>
    <t>钠离子电池正极企业布局情况</t>
  </si>
  <si>
    <t>公司名称</t>
  </si>
  <si>
    <t>正极技术路线</t>
  </si>
  <si>
    <t>布局情况</t>
  </si>
  <si>
    <t>产品性能情况</t>
  </si>
  <si>
    <t>容百科技</t>
  </si>
  <si>
    <t>锰铁普鲁士白、层状氧化物体系、聚阴离子体系均有布局</t>
  </si>
  <si>
    <r>
      <rPr>
        <sz val="10"/>
        <color rgb="FF000000"/>
        <rFont val="楷体"/>
        <family val="3"/>
        <charset val="134"/>
      </rPr>
      <t>规划</t>
    </r>
    <r>
      <rPr>
        <sz val="10"/>
        <color rgb="FF000000"/>
        <rFont val="Arial"/>
        <family val="2"/>
      </rPr>
      <t>2023</t>
    </r>
    <r>
      <rPr>
        <sz val="10"/>
        <color rgb="FF000000"/>
        <rFont val="楷体"/>
        <family val="3"/>
        <charset val="134"/>
      </rPr>
      <t>年层状氧化物正极材料产能</t>
    </r>
    <r>
      <rPr>
        <sz val="10"/>
        <color rgb="FF000000"/>
        <rFont val="Arial"/>
        <family val="2"/>
      </rPr>
      <t>3.6</t>
    </r>
    <r>
      <rPr>
        <sz val="10"/>
        <color rgb="FF000000"/>
        <rFont val="楷体"/>
        <family val="3"/>
        <charset val="134"/>
      </rPr>
      <t>万吨</t>
    </r>
    <r>
      <rPr>
        <sz val="10"/>
        <color rgb="FF000000"/>
        <rFont val="Arial"/>
        <family val="2"/>
      </rPr>
      <t>/</t>
    </r>
    <r>
      <rPr>
        <sz val="10"/>
        <color rgb="FF000000"/>
        <rFont val="楷体"/>
        <family val="3"/>
        <charset val="134"/>
      </rPr>
      <t>年；</t>
    </r>
    <r>
      <rPr>
        <sz val="10"/>
        <color rgb="FF000000"/>
        <rFont val="Arial"/>
        <family val="2"/>
      </rPr>
      <t>2025</t>
    </r>
    <r>
      <rPr>
        <sz val="10"/>
        <color rgb="FF000000"/>
        <rFont val="楷体"/>
        <family val="3"/>
        <charset val="134"/>
      </rPr>
      <t>年规划</t>
    </r>
    <r>
      <rPr>
        <sz val="10"/>
        <color rgb="FF000000"/>
        <rFont val="Arial"/>
        <family val="2"/>
      </rPr>
      <t>10</t>
    </r>
    <r>
      <rPr>
        <sz val="10"/>
        <color rgb="FF000000"/>
        <rFont val="楷体"/>
        <family val="3"/>
        <charset val="134"/>
      </rPr>
      <t>万吨；普鲁士白供货宁德时代</t>
    </r>
  </si>
  <si>
    <r>
      <rPr>
        <sz val="10"/>
        <color rgb="FF000000"/>
        <rFont val="楷体"/>
        <family val="3"/>
        <charset val="134"/>
      </rPr>
      <t>能量密度</t>
    </r>
    <r>
      <rPr>
        <sz val="10"/>
        <color rgb="FF000000"/>
        <rFont val="Arial"/>
        <family val="2"/>
      </rPr>
      <t>:&gt;110Wh/kg</t>
    </r>
    <r>
      <rPr>
        <sz val="10"/>
        <color rgb="FF000000"/>
        <rFont val="楷体"/>
        <family val="3"/>
        <charset val="134"/>
      </rPr>
      <t>；循环次数</t>
    </r>
    <r>
      <rPr>
        <sz val="10"/>
        <color rgb="FF000000"/>
        <rFont val="Arial"/>
        <family val="2"/>
      </rPr>
      <t>:&gt; 6000</t>
    </r>
    <r>
      <rPr>
        <sz val="10"/>
        <color rgb="FF000000"/>
        <rFont val="楷体"/>
        <family val="3"/>
        <charset val="134"/>
      </rPr>
      <t>次；倍率性能</t>
    </r>
    <r>
      <rPr>
        <sz val="10"/>
        <color rgb="FF000000"/>
        <rFont val="Arial"/>
        <family val="2"/>
      </rPr>
      <t xml:space="preserve">: </t>
    </r>
    <r>
      <rPr>
        <sz val="10"/>
        <color rgb="FF000000"/>
        <rFont val="楷体"/>
        <family val="3"/>
        <charset val="134"/>
      </rPr>
      <t>优于</t>
    </r>
    <r>
      <rPr>
        <sz val="10"/>
        <color rgb="FF000000"/>
        <rFont val="Arial"/>
        <family val="2"/>
      </rPr>
      <t>3C</t>
    </r>
  </si>
  <si>
    <t>振华新材</t>
  </si>
  <si>
    <t>层状金属氧化物体系</t>
  </si>
  <si>
    <t>钠离子电池正极材料处于吨级送样阶段，生产线与现有三元材料兼容，深度合作宁德时代</t>
  </si>
  <si>
    <r>
      <rPr>
        <sz val="10"/>
        <color rgb="FF000000"/>
        <rFont val="楷体"/>
        <family val="3"/>
        <charset val="134"/>
      </rPr>
      <t>能量密度</t>
    </r>
    <r>
      <rPr>
        <sz val="10"/>
        <color rgb="FF000000"/>
        <rFont val="Arial"/>
        <family val="2"/>
      </rPr>
      <t>: 120-130Wh/kg</t>
    </r>
    <r>
      <rPr>
        <sz val="10"/>
        <color rgb="FF000000"/>
        <rFont val="楷体"/>
        <family val="3"/>
        <charset val="134"/>
      </rPr>
      <t>；循环次数</t>
    </r>
    <r>
      <rPr>
        <sz val="10"/>
        <color rgb="FF000000"/>
        <rFont val="Arial"/>
        <family val="2"/>
      </rPr>
      <t>:2-4k</t>
    </r>
    <r>
      <rPr>
        <sz val="10"/>
        <color rgb="FF000000"/>
        <rFont val="楷体"/>
        <family val="3"/>
        <charset val="134"/>
      </rPr>
      <t>次；温和放电倍率</t>
    </r>
    <r>
      <rPr>
        <sz val="10"/>
        <color rgb="FF000000"/>
        <rFont val="Arial"/>
        <family val="2"/>
      </rPr>
      <t>0.2-0.3C</t>
    </r>
  </si>
  <si>
    <t>湖南邦普</t>
  </si>
  <si>
    <t>未披露</t>
  </si>
  <si>
    <r>
      <rPr>
        <sz val="10"/>
        <color rgb="FF000000"/>
        <rFont val="楷体"/>
        <family val="3"/>
        <charset val="134"/>
      </rPr>
      <t>已进入磷酸铁锂生产线改产钠离子电池中试产线环评阶段</t>
    </r>
    <r>
      <rPr>
        <sz val="10"/>
        <color rgb="FF000000"/>
        <rFont val="Arial"/>
        <family val="2"/>
      </rPr>
      <t>(</t>
    </r>
    <r>
      <rPr>
        <sz val="10"/>
        <color rgb="FF000000"/>
        <rFont val="楷体"/>
        <family val="3"/>
        <charset val="134"/>
      </rPr>
      <t>年产钠电正极</t>
    </r>
    <r>
      <rPr>
        <sz val="10"/>
        <color rgb="FF000000"/>
        <rFont val="Arial"/>
        <family val="2"/>
      </rPr>
      <t>600</t>
    </r>
    <r>
      <rPr>
        <sz val="10"/>
        <color rgb="FF000000"/>
        <rFont val="楷体"/>
        <family val="3"/>
        <charset val="134"/>
      </rPr>
      <t>吨</t>
    </r>
    <r>
      <rPr>
        <sz val="10"/>
        <color rgb="FF000000"/>
        <rFont val="Arial"/>
        <family val="2"/>
      </rPr>
      <t>)</t>
    </r>
    <r>
      <rPr>
        <sz val="10"/>
        <color rgb="FF000000"/>
        <rFont val="楷体"/>
        <family val="3"/>
        <charset val="134"/>
      </rPr>
      <t>建成后该产线可切换生产磷酸铁</t>
    </r>
  </si>
  <si>
    <t>中伟股份</t>
  </si>
  <si>
    <r>
      <rPr>
        <sz val="10"/>
        <color rgb="FF000000"/>
        <rFont val="楷体"/>
        <family val="3"/>
        <charset val="134"/>
      </rPr>
      <t>钠系前驱有</t>
    </r>
    <r>
      <rPr>
        <sz val="10"/>
        <color rgb="FF000000"/>
        <rFont val="Arial"/>
        <family val="2"/>
      </rPr>
      <t>2-3</t>
    </r>
    <r>
      <rPr>
        <sz val="10"/>
        <color rgb="FF000000"/>
        <rFont val="楷体"/>
        <family val="3"/>
        <charset val="134"/>
      </rPr>
      <t>家客户，今年产量能达到千吨级，预计</t>
    </r>
    <r>
      <rPr>
        <sz val="10"/>
        <color rgb="FF000000"/>
        <rFont val="Arial"/>
        <family val="2"/>
      </rPr>
      <t>2023</t>
    </r>
    <r>
      <rPr>
        <sz val="10"/>
        <color rgb="FF000000"/>
        <rFont val="楷体"/>
        <family val="3"/>
        <charset val="134"/>
      </rPr>
      <t>年上半年实现批量供货</t>
    </r>
  </si>
  <si>
    <t>格林美</t>
  </si>
  <si>
    <t>层状金属氧化物体系、普鲁士蓝体系</t>
  </si>
  <si>
    <t>拥有钠离子电池补钠的方法、钠离子电池及其制备方法等多项专利；在普鲁士蓝和层状氧化物等钠离子电池材料两大技术路线均已积累了相关产业技术并和多家下游客户正在认证</t>
  </si>
  <si>
    <t>圣阳股份</t>
  </si>
  <si>
    <t>普鲁士白</t>
  </si>
  <si>
    <t>开发高环保、高循环性钠离子电池，已通过实验阶段；收购星空钠电</t>
  </si>
  <si>
    <r>
      <rPr>
        <sz val="10"/>
        <color theme="1"/>
        <rFont val="楷体"/>
        <family val="3"/>
        <charset val="134"/>
      </rPr>
      <t>能量密度达</t>
    </r>
    <r>
      <rPr>
        <sz val="10"/>
        <color theme="1"/>
        <rFont val="Arial"/>
        <family val="2"/>
      </rPr>
      <t>160Wh/kg</t>
    </r>
    <r>
      <rPr>
        <sz val="10"/>
        <color theme="1"/>
        <rFont val="楷体"/>
        <family val="3"/>
        <charset val="134"/>
      </rPr>
      <t>；常温下充电</t>
    </r>
    <r>
      <rPr>
        <sz val="10"/>
        <color theme="1"/>
        <rFont val="Arial"/>
        <family val="2"/>
      </rPr>
      <t>15</t>
    </r>
    <r>
      <rPr>
        <sz val="10"/>
        <color theme="1"/>
        <rFont val="楷体"/>
        <family val="3"/>
        <charset val="134"/>
      </rPr>
      <t>分钟，电量可达</t>
    </r>
    <r>
      <rPr>
        <sz val="10"/>
        <color theme="1"/>
        <rFont val="Arial"/>
        <family val="2"/>
      </rPr>
      <t>80%</t>
    </r>
    <r>
      <rPr>
        <sz val="10"/>
        <color theme="1"/>
        <rFont val="楷体"/>
        <family val="3"/>
        <charset val="134"/>
      </rPr>
      <t>以上；在</t>
    </r>
    <r>
      <rPr>
        <sz val="10"/>
        <color theme="1"/>
        <rFont val="Arial"/>
        <family val="2"/>
      </rPr>
      <t>-20</t>
    </r>
    <r>
      <rPr>
        <sz val="10"/>
        <color theme="1"/>
        <rFont val="楷体"/>
        <family val="3"/>
        <charset val="134"/>
      </rPr>
      <t>℃低温环境中，拥有</t>
    </r>
    <r>
      <rPr>
        <sz val="10"/>
        <color theme="1"/>
        <rFont val="Arial"/>
        <family val="2"/>
      </rPr>
      <t>90%</t>
    </r>
    <r>
      <rPr>
        <sz val="10"/>
        <color theme="1"/>
        <rFont val="楷体"/>
        <family val="3"/>
        <charset val="134"/>
      </rPr>
      <t>以上的放电保持率；系统集成效率达</t>
    </r>
    <r>
      <rPr>
        <sz val="10"/>
        <color theme="1"/>
        <rFont val="Arial"/>
        <family val="2"/>
      </rPr>
      <t>80%</t>
    </r>
    <r>
      <rPr>
        <sz val="10"/>
        <color theme="1"/>
        <rFont val="楷体"/>
        <family val="3"/>
        <charset val="134"/>
      </rPr>
      <t>以上</t>
    </r>
  </si>
  <si>
    <t>钠离子电池负极技术路线</t>
  </si>
  <si>
    <t>性质</t>
  </si>
  <si>
    <t>碳基材料</t>
  </si>
  <si>
    <t>软碳</t>
  </si>
  <si>
    <t>嵌钠平台低、容量高、循环寿命长、制备简单等突出优势，硬碳具有高可逆比容量、低电压等突出优势，软碳具有缺陷少、结晶度高、电导率高等特点</t>
  </si>
  <si>
    <t>硬碳</t>
  </si>
  <si>
    <t>金属化合物</t>
  </si>
  <si>
    <r>
      <rPr>
        <sz val="10"/>
        <color rgb="FF000000"/>
        <rFont val="楷体"/>
        <family val="3"/>
        <charset val="134"/>
      </rPr>
      <t>成本低、具有较高的比容量和钠储存电势而有潜力作为钠离子电池的阳极材料，其反应机理主要是可逆的氧化还原反应，但金属氧化物自身导电性较差以及在循环过程中会产生体积膨胀</t>
    </r>
    <r>
      <rPr>
        <sz val="10"/>
        <color rgb="FF000000"/>
        <rFont val="Arial"/>
        <family val="2"/>
      </rPr>
      <t xml:space="preserve">, </t>
    </r>
    <r>
      <rPr>
        <sz val="10"/>
        <color rgb="FF000000"/>
        <rFont val="楷体"/>
        <family val="3"/>
        <charset val="134"/>
      </rPr>
      <t>通常导致电极材料表现出较差的循环稳定性和倍率性能</t>
    </r>
  </si>
  <si>
    <t>合金材料</t>
  </si>
  <si>
    <t>具有较高的比容量、良好的导电性，可在过充电后防止产生枝晶，延长了钠离子电池的使用寿命，为了减轻体积膨胀，提高合金阳极的性能，人们主要集中于材料纳米化、引入碳基体复合、优化粘结剂和电解质添加剂等方面来进行研究</t>
  </si>
  <si>
    <t>非金属单质</t>
  </si>
  <si>
    <t>与碳同族的元素，磷和硅成为近年兴起的方向，研究成熟度还不高。其中黑磷有皱褶的层状结构，高导电等特点，但制备较难</t>
  </si>
  <si>
    <t>钠离子电池负极企业布局情况</t>
  </si>
  <si>
    <t>负极技术路线</t>
  </si>
  <si>
    <t>贝特瑞</t>
  </si>
  <si>
    <r>
      <rPr>
        <sz val="10"/>
        <color theme="1"/>
        <rFont val="楷体"/>
        <family val="3"/>
        <charset val="134"/>
      </rPr>
      <t>软碳</t>
    </r>
    <r>
      <rPr>
        <sz val="10"/>
        <color theme="1"/>
        <rFont val="Arial"/>
        <family val="2"/>
      </rPr>
      <t xml:space="preserve"> </t>
    </r>
    <r>
      <rPr>
        <sz val="10"/>
        <color theme="1"/>
        <rFont val="楷体"/>
        <family val="3"/>
        <charset val="134"/>
      </rPr>
      <t>、硬碳均有</t>
    </r>
  </si>
  <si>
    <t>已有量产硬碳、软碳</t>
  </si>
  <si>
    <t>紫宸科技</t>
  </si>
  <si>
    <t>硬碳为主</t>
  </si>
  <si>
    <t>已积极进行钠离子电池产业的相关研发和布局工作</t>
  </si>
  <si>
    <t>杉杉股份</t>
  </si>
  <si>
    <r>
      <rPr>
        <sz val="10"/>
        <color theme="1"/>
        <rFont val="Arial"/>
        <family val="2"/>
      </rPr>
      <t>2021</t>
    </r>
    <r>
      <rPr>
        <sz val="10"/>
        <color theme="1"/>
        <rFont val="楷体"/>
        <family val="3"/>
        <charset val="134"/>
      </rPr>
      <t>年在钠离子电池硬碳方面也已向相关电池企业进行了百公斤级的供货</t>
    </r>
  </si>
  <si>
    <t>中科电气</t>
  </si>
  <si>
    <t>新型碳材料硬碳正在研发中</t>
  </si>
  <si>
    <t>华阳集团</t>
  </si>
  <si>
    <t>无烟煤（软硬碳混合）</t>
  </si>
  <si>
    <r>
      <rPr>
        <sz val="10"/>
        <color theme="1"/>
        <rFont val="楷体"/>
        <family val="3"/>
        <charset val="134"/>
      </rPr>
      <t>与中科海钠合作开发无烟煤负极，储钠容量</t>
    </r>
    <r>
      <rPr>
        <sz val="10"/>
        <color theme="1"/>
        <rFont val="Arial"/>
        <family val="2"/>
      </rPr>
      <t xml:space="preserve"> 220mAh/g</t>
    </r>
  </si>
  <si>
    <t>电解液：六氟磷酸钠替换六氟磷酸锂</t>
    <phoneticPr fontId="11" type="noConversion"/>
  </si>
  <si>
    <r>
      <rPr>
        <sz val="10"/>
        <color theme="1"/>
        <rFont val="楷体"/>
        <family val="3"/>
        <charset val="134"/>
      </rPr>
      <t>钠离子电池与锂离子电池的电解液均以液态电解液为主，由于电解液的材料需要根据正极材料搭配，所以锂盐需要更换为钠盐，</t>
    </r>
    <r>
      <rPr>
        <sz val="10"/>
        <color theme="1"/>
        <rFont val="楷体"/>
        <family val="3"/>
        <charset val="134"/>
      </rPr>
      <t>目前常用的盐为六氟磷酸钠</t>
    </r>
    <r>
      <rPr>
        <sz val="10"/>
        <color theme="1"/>
        <rFont val="Arial"/>
        <family val="2"/>
      </rPr>
      <t>(NaPF6)</t>
    </r>
    <r>
      <rPr>
        <sz val="10"/>
        <color theme="1"/>
        <rFont val="楷体"/>
        <family val="3"/>
        <charset val="134"/>
      </rPr>
      <t>、高氯酸钠</t>
    </r>
    <r>
      <rPr>
        <sz val="10"/>
        <color theme="1"/>
        <rFont val="Arial"/>
        <family val="2"/>
      </rPr>
      <t>(NaClO4)</t>
    </r>
    <r>
      <rPr>
        <sz val="10"/>
        <color theme="1"/>
        <rFont val="楷体"/>
        <family val="3"/>
        <charset val="134"/>
      </rPr>
      <t>、双</t>
    </r>
    <r>
      <rPr>
        <sz val="10"/>
        <color theme="1"/>
        <rFont val="Arial"/>
        <family val="2"/>
      </rPr>
      <t>(</t>
    </r>
    <r>
      <rPr>
        <sz val="10"/>
        <color theme="1"/>
        <rFont val="楷体"/>
        <family val="3"/>
        <charset val="134"/>
      </rPr>
      <t>三氟甲烷磺酰</t>
    </r>
    <r>
      <rPr>
        <sz val="10"/>
        <color theme="1"/>
        <rFont val="Arial"/>
        <family val="2"/>
      </rPr>
      <t>)</t>
    </r>
    <r>
      <rPr>
        <sz val="10"/>
        <color theme="1"/>
        <rFont val="楷体"/>
        <family val="3"/>
        <charset val="134"/>
      </rPr>
      <t>亚胺钠</t>
    </r>
    <r>
      <rPr>
        <sz val="10"/>
        <color theme="1"/>
        <rFont val="Arial"/>
        <family val="2"/>
      </rPr>
      <t>(NaTFSI)</t>
    </r>
    <r>
      <rPr>
        <sz val="10"/>
        <color theme="1"/>
        <rFont val="楷体"/>
        <family val="3"/>
        <charset val="134"/>
      </rPr>
      <t>、氟磺酰基</t>
    </r>
    <r>
      <rPr>
        <sz val="10"/>
        <color theme="1"/>
        <rFont val="Arial"/>
        <family val="2"/>
      </rPr>
      <t>(</t>
    </r>
    <r>
      <rPr>
        <sz val="10"/>
        <color theme="1"/>
        <rFont val="楷体"/>
        <family val="3"/>
        <charset val="134"/>
      </rPr>
      <t>三氟甲烷磺酰</t>
    </r>
    <r>
      <rPr>
        <sz val="10"/>
        <color theme="1"/>
        <rFont val="Arial"/>
        <family val="2"/>
      </rPr>
      <t>)</t>
    </r>
    <r>
      <rPr>
        <sz val="10"/>
        <color theme="1"/>
        <rFont val="楷体"/>
        <family val="3"/>
        <charset val="134"/>
      </rPr>
      <t>亚胺钠</t>
    </r>
    <r>
      <rPr>
        <sz val="10"/>
        <color theme="1"/>
        <rFont val="Arial"/>
        <family val="2"/>
      </rPr>
      <t>(NaFTFSI)</t>
    </r>
    <r>
      <rPr>
        <sz val="10"/>
        <color theme="1"/>
        <rFont val="楷体"/>
        <family val="3"/>
        <charset val="134"/>
      </rPr>
      <t>、</t>
    </r>
    <r>
      <rPr>
        <sz val="10"/>
        <color theme="1"/>
        <rFont val="楷体"/>
        <family val="3"/>
        <charset val="134"/>
      </rPr>
      <t>双</t>
    </r>
    <r>
      <rPr>
        <sz val="10"/>
        <color theme="1"/>
        <rFont val="Arial"/>
        <family val="2"/>
      </rPr>
      <t>(</t>
    </r>
    <r>
      <rPr>
        <sz val="10"/>
        <color theme="1"/>
        <rFont val="楷体"/>
        <family val="3"/>
        <charset val="134"/>
      </rPr>
      <t>氟磺酰基</t>
    </r>
    <r>
      <rPr>
        <sz val="10"/>
        <color theme="1"/>
        <rFont val="Arial"/>
        <family val="2"/>
      </rPr>
      <t>)</t>
    </r>
    <r>
      <rPr>
        <sz val="10"/>
        <color theme="1"/>
        <rFont val="楷体"/>
        <family val="3"/>
        <charset val="134"/>
      </rPr>
      <t>亚胺钠</t>
    </r>
    <r>
      <rPr>
        <sz val="10"/>
        <color theme="1"/>
        <rFont val="Arial"/>
        <family val="2"/>
      </rPr>
      <t>(NaFSI)</t>
    </r>
    <r>
      <rPr>
        <sz val="10"/>
        <color theme="1"/>
        <rFont val="楷体"/>
        <family val="3"/>
        <charset val="134"/>
      </rPr>
      <t>等，过渡金属氧化物和聚阴离子化合物的钠盐主要为六氟磷酸钠，与六氟磷酸锂的制备工艺相同，产线基本可以复用。</t>
    </r>
    <phoneticPr fontId="11" type="noConversion"/>
  </si>
  <si>
    <t>布局六氟磷酸钠的企业及产能</t>
    <phoneticPr fontId="11" type="noConversion"/>
  </si>
  <si>
    <r>
      <rPr>
        <b/>
        <sz val="10"/>
        <color rgb="FFFFFFFF"/>
        <rFont val="楷体"/>
        <family val="3"/>
        <charset val="134"/>
      </rPr>
      <t>六氟磷酸钠布局情况</t>
    </r>
  </si>
  <si>
    <r>
      <rPr>
        <b/>
        <sz val="10"/>
        <color rgb="FFFFFFFF"/>
        <rFont val="楷体"/>
        <family val="3"/>
        <charset val="134"/>
      </rPr>
      <t>六氟磷酸锂产能</t>
    </r>
  </si>
  <si>
    <r>
      <rPr>
        <sz val="10"/>
        <color rgb="FF000000"/>
        <rFont val="楷体"/>
        <family val="3"/>
        <charset val="134"/>
      </rPr>
      <t>多氟多</t>
    </r>
  </si>
  <si>
    <r>
      <rPr>
        <sz val="10"/>
        <color rgb="FF000000"/>
        <rFont val="楷体"/>
        <family val="3"/>
        <charset val="134"/>
      </rPr>
      <t>已经商业化量产，具备年产千吨六氟磷酸钠的生产能力</t>
    </r>
  </si>
  <si>
    <r>
      <rPr>
        <sz val="10"/>
        <color rgb="FF000000"/>
        <rFont val="Arial"/>
        <family val="2"/>
      </rPr>
      <t>2021</t>
    </r>
    <r>
      <rPr>
        <sz val="10"/>
        <color rgb="FF000000"/>
        <rFont val="楷体"/>
        <family val="3"/>
        <charset val="134"/>
      </rPr>
      <t>年</t>
    </r>
    <r>
      <rPr>
        <sz val="10"/>
        <color rgb="FF000000"/>
        <rFont val="Arial"/>
        <family val="2"/>
      </rPr>
      <t>1.5</t>
    </r>
    <r>
      <rPr>
        <sz val="10"/>
        <color rgb="FF000000"/>
        <rFont val="楷体"/>
        <family val="3"/>
        <charset val="134"/>
      </rPr>
      <t>万吨，</t>
    </r>
    <r>
      <rPr>
        <sz val="10"/>
        <color rgb="FF000000"/>
        <rFont val="Arial"/>
        <family val="2"/>
      </rPr>
      <t>2022</t>
    </r>
    <r>
      <rPr>
        <sz val="10"/>
        <color rgb="FF000000"/>
        <rFont val="楷体"/>
        <family val="3"/>
        <charset val="134"/>
      </rPr>
      <t>年全年规划产能</t>
    </r>
    <r>
      <rPr>
        <sz val="10"/>
        <color rgb="FF000000"/>
        <rFont val="Arial"/>
        <family val="2"/>
      </rPr>
      <t>5.5</t>
    </r>
    <r>
      <rPr>
        <sz val="10"/>
        <color rgb="FF000000"/>
        <rFont val="楷体"/>
        <family val="3"/>
        <charset val="134"/>
      </rPr>
      <t>万吨</t>
    </r>
  </si>
  <si>
    <r>
      <rPr>
        <sz val="10"/>
        <color rgb="FF000000"/>
        <rFont val="楷体"/>
        <family val="3"/>
        <charset val="134"/>
      </rPr>
      <t>天赐材料</t>
    </r>
  </si>
  <si>
    <r>
      <rPr>
        <sz val="10"/>
        <color rgb="FF000000"/>
        <rFont val="楷体"/>
        <family val="3"/>
        <charset val="134"/>
      </rPr>
      <t>已有量产六氟磷酸钠能力</t>
    </r>
  </si>
  <si>
    <r>
      <rPr>
        <sz val="10"/>
        <color rgb="FF000000"/>
        <rFont val="Arial"/>
        <family val="2"/>
      </rPr>
      <t>2021</t>
    </r>
    <r>
      <rPr>
        <sz val="10"/>
        <color rgb="FF000000"/>
        <rFont val="楷体"/>
        <family val="3"/>
        <charset val="134"/>
      </rPr>
      <t>年</t>
    </r>
    <r>
      <rPr>
        <sz val="10"/>
        <color rgb="FF000000"/>
        <rFont val="Arial"/>
        <family val="2"/>
      </rPr>
      <t>3.2</t>
    </r>
    <r>
      <rPr>
        <sz val="10"/>
        <color rgb="FF000000"/>
        <rFont val="楷体"/>
        <family val="3"/>
        <charset val="134"/>
      </rPr>
      <t>万吨，扩产</t>
    </r>
    <r>
      <rPr>
        <sz val="10"/>
        <color rgb="FF000000"/>
        <rFont val="Arial"/>
        <family val="2"/>
      </rPr>
      <t>15</t>
    </r>
    <r>
      <rPr>
        <sz val="10"/>
        <color rgb="FF000000"/>
        <rFont val="楷体"/>
        <family val="3"/>
        <charset val="134"/>
      </rPr>
      <t>万吨六氟磷酸锂项目预计</t>
    </r>
    <r>
      <rPr>
        <sz val="10"/>
        <color rgb="FF000000"/>
        <rFont val="Arial"/>
        <family val="2"/>
      </rPr>
      <t>2023</t>
    </r>
    <r>
      <rPr>
        <sz val="10"/>
        <color rgb="FF000000"/>
        <rFont val="楷体"/>
        <family val="3"/>
        <charset val="134"/>
      </rPr>
      <t>年出货</t>
    </r>
  </si>
  <si>
    <r>
      <rPr>
        <sz val="10"/>
        <color rgb="FF000000"/>
        <rFont val="楷体"/>
        <family val="3"/>
        <charset val="134"/>
      </rPr>
      <t>天际股份</t>
    </r>
  </si>
  <si>
    <r>
      <rPr>
        <sz val="10"/>
        <color rgb="FF000000"/>
        <rFont val="楷体"/>
        <family val="3"/>
        <charset val="134"/>
      </rPr>
      <t>有六氟磷酸钠技术储备</t>
    </r>
  </si>
  <si>
    <r>
      <rPr>
        <sz val="10"/>
        <color rgb="FF000000"/>
        <rFont val="Arial"/>
        <family val="2"/>
      </rPr>
      <t>2021</t>
    </r>
    <r>
      <rPr>
        <sz val="10"/>
        <color rgb="FF000000"/>
        <rFont val="楷体"/>
        <family val="3"/>
        <charset val="134"/>
      </rPr>
      <t>年江苏新泰</t>
    </r>
    <r>
      <rPr>
        <sz val="10"/>
        <color rgb="FF000000"/>
        <rFont val="Arial"/>
        <family val="2"/>
      </rPr>
      <t>8160</t>
    </r>
    <r>
      <rPr>
        <sz val="10"/>
        <color rgb="FF000000"/>
        <rFont val="楷体"/>
        <family val="3"/>
        <charset val="134"/>
      </rPr>
      <t>吨</t>
    </r>
  </si>
  <si>
    <t>导电剂：需使用碳纳米管</t>
  </si>
  <si>
    <r>
      <t>钠电池需要使用碳纳米管。由于钠的半径比锂大，所以钠离子的化学键能较锂离子小。</t>
    </r>
    <r>
      <rPr>
        <sz val="10"/>
        <color theme="1"/>
        <rFont val="Arial"/>
        <family val="2"/>
      </rPr>
      <t xml:space="preserve">
</t>
    </r>
    <r>
      <rPr>
        <sz val="10"/>
        <color theme="1"/>
        <rFont val="楷体"/>
        <family val="3"/>
        <charset val="134"/>
      </rPr>
      <t>钠电池主要的技术路线电导率相对低一些，所以多数体系需要在正极材料中加入碳纳米管或者碳纳米片，提高电池的导电性能。</t>
    </r>
    <phoneticPr fontId="11" type="noConversion"/>
  </si>
  <si>
    <t>碳纳米管企业及产能</t>
    <phoneticPr fontId="11" type="noConversion"/>
  </si>
  <si>
    <t>目前产能</t>
  </si>
  <si>
    <t>扩产计划</t>
  </si>
  <si>
    <t>天奈科技</t>
  </si>
  <si>
    <r>
      <rPr>
        <sz val="10"/>
        <color rgb="FF000000"/>
        <rFont val="Arial"/>
        <family val="2"/>
      </rPr>
      <t>2021</t>
    </r>
    <r>
      <rPr>
        <sz val="10"/>
        <color rgb="FF000000"/>
        <rFont val="楷体"/>
        <family val="3"/>
        <charset val="134"/>
      </rPr>
      <t>年粉体：</t>
    </r>
    <r>
      <rPr>
        <sz val="10"/>
        <color rgb="FF000000"/>
        <rFont val="Arial"/>
        <family val="2"/>
      </rPr>
      <t>2000</t>
    </r>
    <r>
      <rPr>
        <sz val="10"/>
        <color rgb="FF000000"/>
        <rFont val="楷体"/>
        <family val="3"/>
        <charset val="134"/>
      </rPr>
      <t>吨，浆料</t>
    </r>
    <r>
      <rPr>
        <sz val="10"/>
        <color rgb="FF000000"/>
        <rFont val="Arial"/>
        <family val="2"/>
      </rPr>
      <t>: 3.5</t>
    </r>
    <r>
      <rPr>
        <sz val="10"/>
        <color rgb="FF000000"/>
        <rFont val="楷体"/>
        <family val="3"/>
        <charset val="134"/>
      </rPr>
      <t>万吨</t>
    </r>
  </si>
  <si>
    <r>
      <rPr>
        <sz val="10"/>
        <color rgb="FF000000"/>
        <rFont val="Arial"/>
        <family val="2"/>
      </rPr>
      <t>22</t>
    </r>
    <r>
      <rPr>
        <sz val="10"/>
        <color rgb="FF000000"/>
        <rFont val="楷体"/>
        <family val="3"/>
        <charset val="134"/>
      </rPr>
      <t>年底达</t>
    </r>
    <r>
      <rPr>
        <sz val="10"/>
        <color rgb="FF000000"/>
        <rFont val="Arial"/>
        <family val="2"/>
      </rPr>
      <t>10</t>
    </r>
    <r>
      <rPr>
        <sz val="10"/>
        <color rgb="FF000000"/>
        <rFont val="楷体"/>
        <family val="3"/>
        <charset val="134"/>
      </rPr>
      <t>万吨浆料产能，</t>
    </r>
    <r>
      <rPr>
        <sz val="10"/>
        <color rgb="FF000000"/>
        <rFont val="Arial"/>
        <family val="2"/>
      </rPr>
      <t>23</t>
    </r>
    <r>
      <rPr>
        <sz val="10"/>
        <color rgb="FF000000"/>
        <rFont val="楷体"/>
        <family val="3"/>
        <charset val="134"/>
      </rPr>
      <t>年达</t>
    </r>
    <r>
      <rPr>
        <sz val="10"/>
        <color rgb="FF000000"/>
        <rFont val="Arial"/>
        <family val="2"/>
      </rPr>
      <t>15</t>
    </r>
    <r>
      <rPr>
        <sz val="10"/>
        <color rgb="FF000000"/>
        <rFont val="楷体"/>
        <family val="3"/>
        <charset val="134"/>
      </rPr>
      <t>万吨</t>
    </r>
  </si>
  <si>
    <t>道氏技术（收购青岛昊鑫）</t>
  </si>
  <si>
    <r>
      <rPr>
        <sz val="10"/>
        <color rgb="FF000000"/>
        <rFont val="Arial"/>
        <family val="2"/>
      </rPr>
      <t>2021</t>
    </r>
    <r>
      <rPr>
        <sz val="10"/>
        <color rgb="FF000000"/>
        <rFont val="楷体"/>
        <family val="3"/>
        <charset val="134"/>
      </rPr>
      <t>年粉体：</t>
    </r>
    <r>
      <rPr>
        <sz val="10"/>
        <color rgb="FF000000"/>
        <rFont val="Arial"/>
        <family val="2"/>
      </rPr>
      <t>800</t>
    </r>
    <r>
      <rPr>
        <sz val="10"/>
        <color rgb="FF000000"/>
        <rFont val="楷体"/>
        <family val="3"/>
        <charset val="134"/>
      </rPr>
      <t>吨，浆料</t>
    </r>
    <r>
      <rPr>
        <sz val="10"/>
        <color rgb="FF000000"/>
        <rFont val="Arial"/>
        <family val="2"/>
      </rPr>
      <t>:2</t>
    </r>
    <r>
      <rPr>
        <sz val="10"/>
        <color rgb="FF000000"/>
        <rFont val="楷体"/>
        <family val="3"/>
        <charset val="134"/>
      </rPr>
      <t>万吨</t>
    </r>
  </si>
  <si>
    <r>
      <rPr>
        <sz val="10"/>
        <color rgb="FF000000"/>
        <rFont val="楷体"/>
        <family val="3"/>
        <charset val="134"/>
      </rPr>
      <t>在建粉体</t>
    </r>
    <r>
      <rPr>
        <sz val="10"/>
        <color rgb="FF000000"/>
        <rFont val="Arial"/>
        <family val="2"/>
      </rPr>
      <t>150</t>
    </r>
    <r>
      <rPr>
        <sz val="10"/>
        <color rgb="FF000000"/>
        <rFont val="楷体"/>
        <family val="3"/>
        <charset val="134"/>
      </rPr>
      <t>吨</t>
    </r>
    <r>
      <rPr>
        <sz val="10"/>
        <color rgb="FF000000"/>
        <rFont val="Arial"/>
        <family val="2"/>
      </rPr>
      <t>,22</t>
    </r>
    <r>
      <rPr>
        <sz val="10"/>
        <color rgb="FF000000"/>
        <rFont val="楷体"/>
        <family val="3"/>
        <charset val="134"/>
      </rPr>
      <t>年扩产浆料</t>
    </r>
    <r>
      <rPr>
        <sz val="10"/>
        <color rgb="FF000000"/>
        <rFont val="Arial"/>
        <family val="2"/>
      </rPr>
      <t>2</t>
    </r>
    <r>
      <rPr>
        <sz val="10"/>
        <color rgb="FF000000"/>
        <rFont val="楷体"/>
        <family val="3"/>
        <charset val="134"/>
      </rPr>
      <t>万吨</t>
    </r>
  </si>
  <si>
    <t>卡博特（收购三顺纳米）</t>
  </si>
  <si>
    <r>
      <rPr>
        <sz val="10"/>
        <color rgb="FF000000"/>
        <rFont val="Arial"/>
        <family val="2"/>
      </rPr>
      <t>2021</t>
    </r>
    <r>
      <rPr>
        <sz val="10"/>
        <color rgb="FF000000"/>
        <rFont val="楷体"/>
        <family val="3"/>
        <charset val="134"/>
      </rPr>
      <t>年粉体：</t>
    </r>
    <r>
      <rPr>
        <sz val="10"/>
        <color rgb="FF000000"/>
        <rFont val="Arial"/>
        <family val="2"/>
      </rPr>
      <t>2000</t>
    </r>
    <r>
      <rPr>
        <sz val="10"/>
        <color rgb="FF000000"/>
        <rFont val="楷体"/>
        <family val="3"/>
        <charset val="134"/>
      </rPr>
      <t>吨，浆料</t>
    </r>
    <r>
      <rPr>
        <sz val="10"/>
        <color rgb="FF000000"/>
        <rFont val="Arial"/>
        <family val="2"/>
      </rPr>
      <t>:13000</t>
    </r>
    <r>
      <rPr>
        <sz val="10"/>
        <color rgb="FF000000"/>
        <rFont val="楷体"/>
        <family val="3"/>
        <charset val="134"/>
      </rPr>
      <t>吨碳</t>
    </r>
  </si>
  <si>
    <t>德方纳米</t>
  </si>
  <si>
    <r>
      <rPr>
        <sz val="10"/>
        <color rgb="FF000000"/>
        <rFont val="Arial"/>
        <family val="2"/>
      </rPr>
      <t>2020</t>
    </r>
    <r>
      <rPr>
        <sz val="10"/>
        <color rgb="FF000000"/>
        <rFont val="楷体"/>
        <family val="3"/>
        <charset val="134"/>
      </rPr>
      <t>年粉体：</t>
    </r>
    <r>
      <rPr>
        <sz val="10"/>
        <color rgb="FF000000"/>
        <rFont val="Arial"/>
        <family val="2"/>
      </rPr>
      <t>300</t>
    </r>
    <r>
      <rPr>
        <sz val="10"/>
        <color rgb="FF000000"/>
        <rFont val="楷体"/>
        <family val="3"/>
        <charset val="134"/>
      </rPr>
      <t>吨，浆料</t>
    </r>
    <r>
      <rPr>
        <sz val="10"/>
        <color rgb="FF000000"/>
        <rFont val="Arial"/>
        <family val="2"/>
      </rPr>
      <t>:4500</t>
    </r>
    <r>
      <rPr>
        <sz val="10"/>
        <color rgb="FF000000"/>
        <rFont val="楷体"/>
        <family val="3"/>
        <charset val="134"/>
      </rPr>
      <t>吨</t>
    </r>
  </si>
  <si>
    <r>
      <rPr>
        <sz val="10"/>
        <color rgb="FF000000"/>
        <rFont val="楷体"/>
        <family val="3"/>
        <charset val="134"/>
      </rPr>
      <t>扩产</t>
    </r>
    <r>
      <rPr>
        <sz val="10"/>
        <color rgb="FF000000"/>
        <rFont val="Arial"/>
        <family val="2"/>
      </rPr>
      <t>8000</t>
    </r>
    <r>
      <rPr>
        <sz val="10"/>
        <color rgb="FF000000"/>
        <rFont val="楷体"/>
        <family val="3"/>
        <charset val="134"/>
      </rPr>
      <t>吨浆料</t>
    </r>
  </si>
  <si>
    <t>行业相关</t>
    <phoneticPr fontId="20" type="noConversion"/>
  </si>
  <si>
    <t>前五名客户销售额81,317.68万元，占年度销售总额39.18%。报告期内向单个客户的销售比例超过总额的50%、前5名客户中存在新增客户的或严重依赖于少数客户的情形。</t>
    <phoneticPr fontId="11" type="noConversion"/>
  </si>
  <si>
    <t>前五名供应商采购额73,206.50万元，占年度采购总额36.35%。报告期内向单个供应商的采购比例超过总额的50%、前5名供应商中存在新增供应商的或严重依赖于少数供应商的情形。</t>
    <phoneticPr fontId="11" type="noConversion"/>
  </si>
  <si>
    <t>前五名客户销售额53,357.96万元，占年度销售总额33.46%。</t>
    <phoneticPr fontId="11" type="noConversion"/>
  </si>
  <si>
    <t>前五名供应商采购额45,056.59万元，占年度采购总额51.02%。</t>
    <phoneticPr fontId="11" type="noConversion"/>
  </si>
  <si>
    <t>前五名客户销售额54,352.67 万元，占年度销售总额33.04%。</t>
    <phoneticPr fontId="11" type="noConversion"/>
  </si>
  <si>
    <t>前五名供应商采购额35,444.60 万元，占年度采购总额24.64%。</t>
    <phoneticPr fontId="11" type="noConversion"/>
  </si>
  <si>
    <t>前五名客户销售额35,481.82 万元，占年度销售总额22.14%。</t>
    <phoneticPr fontId="11" type="noConversion"/>
  </si>
  <si>
    <t>前五名供应商采购额41,506.87 万元，占年度采购总额30.19%。</t>
    <phoneticPr fontId="11" type="noConversion"/>
  </si>
  <si>
    <t>前五名客户销售额52,356.79 万元，占年度销售总额32.78%。</t>
    <phoneticPr fontId="11" type="noConversion"/>
  </si>
  <si>
    <t>前五名供应商采购额43,082.78 万元，占年度采购总额32.90%。</t>
    <phoneticPr fontId="11" type="noConversion"/>
  </si>
  <si>
    <t>2025年</t>
  </si>
  <si>
    <t>公司确认华南地区为目前 3C 产品潜在客户群集中区域，公司为实现与客户的敏捷交付及零距离沟通，对生产力区域布局进行调整，分别在宁波及东莞两地进行产能布局。新项目实施主体为东莞电池。</t>
    <phoneticPr fontId="11" type="noConversion"/>
  </si>
  <si>
    <t>维科技术股份有限公司，成立于1993年7月28日，旗下拥有17家子公司。公司曾是以纺织为主业，地产开发、资本投资、能源新材料综合发展的大型企业集团上市公司，2019年业务期内完成纺织业务剥离。2017 年，公司通过重大资产重组，直接及间接方式合计持有维科电池100%的股权，并直接持有维科新能源100%的股权，公司主营业务转为锂电池制造业务，维科技术锂电池业务以3C数码电池为核心、积极拓展动力和储能电池市场。维科电池是国内排名前五的3C数码电池供应商，客户包括国内主流手机品牌、欧美主要通讯运营商等，并大量应用于笔记本电脑、平板电脑、教育电脑、个人穿戴等电子产品，被评为浙江省名牌产品。维科动力电池以维科电池十余年的锂电池生产技术为依托，可生产软包动力电池、铝壳动力电池等电芯产品，应用领域覆盖特种车辆电池、家电用电池、储能电池等。</t>
    <phoneticPr fontId="11" type="noConversion"/>
  </si>
  <si>
    <t>2019年10月与LG化学公司开辟南昌建设项目，12月宁波维科电池有限公司上榜工信部第四批符合《锂离子电池行业规范条件》企业名单。</t>
    <phoneticPr fontId="11" type="noConversion"/>
  </si>
  <si>
    <t>2022-06-30</t>
  </si>
  <si>
    <t>中报</t>
  </si>
  <si>
    <t>2022-08-30</t>
  </si>
  <si>
    <t>2022-04-26</t>
  </si>
  <si>
    <t>2021-04-13</t>
  </si>
  <si>
    <t>2020-04-29</t>
  </si>
  <si>
    <t>2019-04-23</t>
  </si>
  <si>
    <t>2018-04-18</t>
  </si>
  <si>
    <t>出货/GW</t>
    <phoneticPr fontId="11" type="noConversion"/>
  </si>
  <si>
    <t xml:space="preserve">单价 元/W </t>
    <phoneticPr fontId="11" type="noConversion"/>
  </si>
  <si>
    <t>单位成本</t>
    <phoneticPr fontId="11" type="noConversion"/>
  </si>
  <si>
    <t>单位毛利</t>
    <phoneticPr fontId="11" type="noConversion"/>
  </si>
  <si>
    <t>维科技术[600152.SH] - 利润表 (单位 : 百万元 , CNY  )</t>
  </si>
  <si>
    <t xml:space="preserve"> </t>
    <phoneticPr fontId="11" type="noConversion"/>
  </si>
  <si>
    <t>小动力电池</t>
    <phoneticPr fontId="11" type="noConversion"/>
  </si>
  <si>
    <t>聚合物类电池</t>
    <phoneticPr fontId="11" type="noConversion"/>
  </si>
  <si>
    <t>铝壳电池</t>
    <phoneticPr fontId="11" type="noConversion"/>
  </si>
  <si>
    <t>聚合物电池</t>
    <phoneticPr fontId="11" type="noConversion"/>
  </si>
  <si>
    <t>%</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</si>
</sst>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 #,##0.00_ ;_ * \-#,##0.00_ ;_ * &quot;-&quot;??_ ;_ @_ "/>
    <numFmt numFmtId="176" formatCode="0.00_ "/>
    <numFmt numFmtId="177" formatCode="#,##0.00_ "/>
    <numFmt numFmtId="178" formatCode="0.0%"/>
    <numFmt numFmtId="179" formatCode="0.00_);[Red]\(0.00\)"/>
    <numFmt numFmtId="180" formatCode="0.00000_ "/>
    <numFmt numFmtId="181" formatCode="###,##0.00"/>
    <numFmt numFmtId="182" formatCode="#,##0.0_ "/>
    <numFmt numFmtId="183" formatCode="###,###,##0.0000"/>
    <numFmt numFmtId="184" formatCode="###,##0"/>
    <numFmt numFmtId="185" formatCode="#,##0_ "/>
    <numFmt numFmtId="186" formatCode="0.0000000"/>
    <numFmt numFmtId="187" formatCode="yyyy\-mm\-dd"/>
    <numFmt numFmtId="188" formatCode="0_ "/>
    <numFmt numFmtId="189" formatCode="#,##0.000"/>
    <numFmt numFmtId="190" formatCode="0_);[Red]\(0\)"/>
  </numFmts>
  <fonts count="90">
    <font>
      <sz val="11"/>
      <color theme="1"/>
      <name val="宋体"/>
      <charset val="134"/>
      <scheme val="minor"/>
    </font>
    <font>
      <sz val="11"/>
      <color theme="1"/>
      <name val="宋体"/>
      <family val="2"/>
      <scheme val="minor"/>
    </font>
    <font>
      <sz val="11"/>
      <color theme="1"/>
      <name val="宋体"/>
      <family val="2"/>
      <charset val="134"/>
      <scheme val="minor"/>
    </font>
    <font>
      <sz val="11"/>
      <color theme="1"/>
      <name val="宋体"/>
      <family val="2"/>
      <charset val="134"/>
      <scheme val="minor"/>
    </font>
    <font>
      <sz val="11"/>
      <color theme="1"/>
      <name val="宋体"/>
      <family val="2"/>
      <scheme val="minor"/>
    </font>
    <font>
      <b/>
      <sz val="20"/>
      <color theme="0"/>
      <name val="微软雅黑"/>
      <family val="2"/>
      <charset val="134"/>
    </font>
    <font>
      <b/>
      <sz val="11"/>
      <color theme="1"/>
      <name val="楷体"/>
      <family val="3"/>
      <charset val="134"/>
    </font>
    <font>
      <b/>
      <sz val="11"/>
      <color theme="1"/>
      <name val="微软雅黑"/>
      <family val="2"/>
      <charset val="134"/>
    </font>
    <font>
      <sz val="11"/>
      <color indexed="8"/>
      <name val="宋体"/>
      <family val="3"/>
      <charset val="134"/>
    </font>
    <font>
      <b/>
      <sz val="11"/>
      <color theme="1"/>
      <name val="宋体"/>
      <family val="3"/>
      <charset val="134"/>
    </font>
    <font>
      <sz val="11"/>
      <color theme="1"/>
      <name val="宋体"/>
      <family val="3"/>
      <charset val="134"/>
      <scheme val="minor"/>
    </font>
    <font>
      <sz val="9"/>
      <name val="宋体"/>
      <family val="3"/>
      <charset val="134"/>
      <scheme val="minor"/>
    </font>
    <font>
      <b/>
      <sz val="9"/>
      <color indexed="81"/>
      <name val="宋体"/>
      <family val="3"/>
      <charset val="134"/>
    </font>
    <font>
      <sz val="9"/>
      <color indexed="81"/>
      <name val="宋体"/>
      <family val="3"/>
      <charset val="134"/>
    </font>
    <font>
      <sz val="11"/>
      <color theme="1"/>
      <name val="微软雅黑"/>
      <family val="2"/>
      <charset val="134"/>
    </font>
    <font>
      <sz val="10"/>
      <color theme="1"/>
      <name val="微软雅黑"/>
      <family val="2"/>
      <charset val="134"/>
    </font>
    <font>
      <sz val="11"/>
      <name val="微软雅黑"/>
      <family val="2"/>
      <charset val="134"/>
    </font>
    <font>
      <b/>
      <sz val="9"/>
      <color theme="0"/>
      <name val="微软雅黑"/>
      <family val="2"/>
      <charset val="134"/>
    </font>
    <font>
      <sz val="9"/>
      <color theme="1"/>
      <name val="微软雅黑"/>
      <family val="2"/>
      <charset val="134"/>
    </font>
    <font>
      <b/>
      <sz val="10"/>
      <color theme="1"/>
      <name val="微软雅黑"/>
      <family val="2"/>
      <charset val="134"/>
    </font>
    <font>
      <sz val="9"/>
      <name val="宋体"/>
      <family val="2"/>
      <charset val="134"/>
      <scheme val="minor"/>
    </font>
    <font>
      <u/>
      <sz val="11"/>
      <color theme="10"/>
      <name val="宋体"/>
      <family val="2"/>
      <scheme val="minor"/>
    </font>
    <font>
      <u/>
      <sz val="11"/>
      <color theme="10"/>
      <name val="宋体"/>
      <family val="2"/>
      <charset val="134"/>
      <scheme val="minor"/>
    </font>
    <font>
      <sz val="9"/>
      <color theme="1"/>
      <name val="KaiTi"/>
      <family val="3"/>
      <charset val="134"/>
    </font>
    <font>
      <b/>
      <sz val="9"/>
      <color theme="0"/>
      <name val="KaiTi"/>
      <family val="3"/>
      <charset val="134"/>
    </font>
    <font>
      <b/>
      <sz val="9"/>
      <color theme="1"/>
      <name val="KaiTi"/>
      <family val="3"/>
      <charset val="134"/>
    </font>
    <font>
      <sz val="9"/>
      <color theme="1"/>
      <name val="宋体"/>
      <family val="2"/>
      <charset val="134"/>
      <scheme val="minor"/>
    </font>
    <font>
      <sz val="9"/>
      <color theme="0"/>
      <name val="KaiTi"/>
      <family val="3"/>
      <charset val="134"/>
    </font>
    <font>
      <sz val="11"/>
      <color theme="1"/>
      <name val="楷体"/>
      <family val="3"/>
      <charset val="134"/>
    </font>
    <font>
      <sz val="10"/>
      <name val="Arial"/>
      <family val="2"/>
    </font>
    <font>
      <b/>
      <sz val="16"/>
      <color theme="0"/>
      <name val="微软雅黑"/>
      <family val="2"/>
      <charset val="134"/>
    </font>
    <font>
      <b/>
      <sz val="18"/>
      <color theme="0"/>
      <name val="微软雅黑"/>
      <family val="2"/>
      <charset val="134"/>
    </font>
    <font>
      <b/>
      <sz val="12"/>
      <color theme="1"/>
      <name val="微软雅黑"/>
      <family val="2"/>
      <charset val="134"/>
    </font>
    <font>
      <b/>
      <sz val="14"/>
      <color theme="1"/>
      <name val="微软雅黑"/>
      <family val="2"/>
      <charset val="134"/>
    </font>
    <font>
      <sz val="12"/>
      <color theme="1"/>
      <name val="宋体"/>
      <family val="2"/>
      <charset val="134"/>
      <scheme val="minor"/>
    </font>
    <font>
      <sz val="11"/>
      <color theme="1"/>
      <name val="KaiTi"/>
      <family val="3"/>
      <charset val="134"/>
    </font>
    <font>
      <b/>
      <sz val="11"/>
      <color theme="0"/>
      <name val="KaiTi"/>
      <family val="3"/>
      <charset val="134"/>
    </font>
    <font>
      <b/>
      <sz val="11"/>
      <color theme="1"/>
      <name val="KaiTi"/>
      <family val="3"/>
      <charset val="134"/>
    </font>
    <font>
      <sz val="10"/>
      <color theme="1"/>
      <name val="KaiTi"/>
      <family val="3"/>
      <charset val="134"/>
    </font>
    <font>
      <sz val="9"/>
      <name val="等线"/>
      <family val="3"/>
      <charset val="134"/>
    </font>
    <font>
      <u/>
      <sz val="11"/>
      <color rgb="FF0000FF"/>
      <name val="宋体"/>
      <family val="3"/>
      <charset val="134"/>
      <scheme val="minor"/>
    </font>
    <font>
      <b/>
      <sz val="11"/>
      <color theme="0"/>
      <name val="楷体"/>
      <family val="3"/>
      <charset val="134"/>
    </font>
    <font>
      <sz val="11"/>
      <name val="KaiTi"/>
      <family val="3"/>
      <charset val="134"/>
    </font>
    <font>
      <i/>
      <sz val="11"/>
      <color theme="1"/>
      <name val="KaiTi"/>
      <family val="3"/>
      <charset val="134"/>
    </font>
    <font>
      <i/>
      <sz val="11"/>
      <name val="KaiTi"/>
      <family val="3"/>
      <charset val="134"/>
    </font>
    <font>
      <b/>
      <sz val="11"/>
      <name val="楷体"/>
      <family val="3"/>
      <charset val="134"/>
    </font>
    <font>
      <u/>
      <sz val="11"/>
      <color theme="10"/>
      <name val="宋体"/>
      <family val="3"/>
      <charset val="134"/>
      <scheme val="minor"/>
    </font>
    <font>
      <sz val="11"/>
      <color theme="0"/>
      <name val="楷体"/>
      <family val="3"/>
      <charset val="134"/>
    </font>
    <font>
      <sz val="11"/>
      <name val="楷体"/>
      <family val="3"/>
      <charset val="134"/>
    </font>
    <font>
      <sz val="12"/>
      <color theme="1"/>
      <name val="宋体"/>
      <family val="3"/>
      <charset val="134"/>
      <scheme val="minor"/>
    </font>
    <font>
      <sz val="9"/>
      <name val="等线"/>
      <family val="2"/>
      <charset val="134"/>
    </font>
    <font>
      <sz val="11"/>
      <color rgb="FF000000"/>
      <name val="楷体"/>
      <family val="3"/>
      <charset val="134"/>
    </font>
    <font>
      <sz val="11"/>
      <color indexed="8"/>
      <name val="楷体"/>
      <family val="3"/>
      <charset val="134"/>
    </font>
    <font>
      <sz val="11"/>
      <color rgb="FF333333"/>
      <name val="楷体"/>
      <family val="3"/>
      <charset val="134"/>
    </font>
    <font>
      <b/>
      <sz val="11"/>
      <color rgb="FF000000"/>
      <name val="楷体"/>
      <family val="3"/>
      <charset val="134"/>
    </font>
    <font>
      <b/>
      <sz val="11"/>
      <color rgb="FFFFFFFF"/>
      <name val="楷体"/>
      <family val="3"/>
      <charset val="134"/>
    </font>
    <font>
      <i/>
      <sz val="11"/>
      <color rgb="FF000000"/>
      <name val="楷体"/>
      <family val="3"/>
      <charset val="134"/>
    </font>
    <font>
      <i/>
      <sz val="11"/>
      <color rgb="FF305496"/>
      <name val="楷体"/>
      <family val="3"/>
      <charset val="134"/>
    </font>
    <font>
      <sz val="11"/>
      <color rgb="FF2F75B5"/>
      <name val="楷体"/>
      <family val="3"/>
      <charset val="134"/>
    </font>
    <font>
      <b/>
      <sz val="10"/>
      <name val="楷体"/>
      <family val="3"/>
      <charset val="134"/>
    </font>
    <font>
      <sz val="12"/>
      <color theme="1"/>
      <name val="宋体"/>
      <family val="2"/>
      <scheme val="minor"/>
    </font>
    <font>
      <sz val="11"/>
      <name val="Calibri"/>
      <family val="2"/>
    </font>
    <font>
      <b/>
      <sz val="11"/>
      <name val="Calibri"/>
      <family val="2"/>
    </font>
    <font>
      <sz val="12"/>
      <color theme="1"/>
      <name val="楷体"/>
      <family val="3"/>
      <charset val="134"/>
    </font>
    <font>
      <sz val="11"/>
      <name val="宋体"/>
      <family val="3"/>
      <charset val="134"/>
    </font>
    <font>
      <sz val="11"/>
      <color rgb="FFFF0000"/>
      <name val="楷体"/>
      <family val="3"/>
      <charset val="134"/>
    </font>
    <font>
      <b/>
      <sz val="10"/>
      <color theme="0"/>
      <name val="楷体"/>
      <family val="3"/>
      <charset val="134"/>
    </font>
    <font>
      <sz val="10"/>
      <color theme="0"/>
      <name val="Arial"/>
      <family val="2"/>
    </font>
    <font>
      <b/>
      <sz val="10"/>
      <color theme="0"/>
      <name val="Arial"/>
      <family val="2"/>
    </font>
    <font>
      <sz val="9"/>
      <color theme="1"/>
      <name val="楷体"/>
      <family val="3"/>
      <charset val="134"/>
    </font>
    <font>
      <sz val="10"/>
      <color theme="1"/>
      <name val="楷体"/>
      <family val="3"/>
      <charset val="134"/>
    </font>
    <font>
      <u/>
      <sz val="10"/>
      <name val="楷体"/>
      <family val="3"/>
      <charset val="134"/>
    </font>
    <font>
      <b/>
      <sz val="10"/>
      <color rgb="FFFFFFFF"/>
      <name val="Calibri"/>
      <family val="2"/>
    </font>
    <font>
      <b/>
      <sz val="10"/>
      <color rgb="FFFFFFFF"/>
      <name val="楷体"/>
      <family val="3"/>
      <charset val="134"/>
    </font>
    <font>
      <sz val="10"/>
      <color rgb="FF000000"/>
      <name val="楷体"/>
      <family val="3"/>
      <charset val="134"/>
    </font>
    <font>
      <b/>
      <sz val="7"/>
      <color theme="1"/>
      <name val="楷体"/>
      <family val="3"/>
      <charset val="134"/>
    </font>
    <font>
      <sz val="7"/>
      <color rgb="FF000000"/>
      <name val="楷体"/>
      <family val="3"/>
      <charset val="134"/>
    </font>
    <font>
      <sz val="7"/>
      <color theme="1"/>
      <name val="楷体"/>
      <family val="3"/>
      <charset val="134"/>
    </font>
    <font>
      <sz val="11"/>
      <color theme="0"/>
      <name val="宋体"/>
      <family val="3"/>
      <charset val="134"/>
      <scheme val="minor"/>
    </font>
    <font>
      <sz val="10"/>
      <color theme="1"/>
      <name val="Arial"/>
      <family val="2"/>
    </font>
    <font>
      <b/>
      <sz val="9"/>
      <name val="宋体"/>
      <family val="3"/>
      <charset val="134"/>
    </font>
    <font>
      <sz val="9"/>
      <name val="宋体"/>
      <family val="3"/>
      <charset val="134"/>
    </font>
    <font>
      <sz val="10"/>
      <color rgb="FF000000"/>
      <name val="Arial"/>
      <family val="2"/>
    </font>
    <font>
      <b/>
      <sz val="10"/>
      <color rgb="FF000000"/>
      <name val="楷体"/>
      <family val="3"/>
      <charset val="134"/>
    </font>
    <font>
      <b/>
      <sz val="10"/>
      <color theme="0"/>
      <name val="仿宋"/>
      <family val="3"/>
      <charset val="134"/>
    </font>
    <font>
      <sz val="10"/>
      <color rgb="FF000000"/>
      <name val="仿宋"/>
      <family val="3"/>
      <charset val="134"/>
    </font>
    <font>
      <sz val="10"/>
      <name val="楷体"/>
      <family val="3"/>
      <charset val="134"/>
    </font>
    <font>
      <vertAlign val="subscript"/>
      <sz val="10"/>
      <color rgb="FF000000"/>
      <name val="Arial"/>
      <family val="2"/>
    </font>
    <font>
      <b/>
      <sz val="10"/>
      <color rgb="FFFFFFFF"/>
      <name val="Arial"/>
      <family val="2"/>
    </font>
    <font>
      <sz val="10"/>
      <color theme="1"/>
      <name val="Arial"/>
      <family val="2"/>
      <charset val="134"/>
    </font>
  </fonts>
  <fills count="14">
    <fill>
      <patternFill patternType="none"/>
    </fill>
    <fill>
      <patternFill patternType="gray125"/>
    </fill>
    <fill>
      <patternFill patternType="solid">
        <fgColor rgb="FFC00000"/>
        <bgColor indexed="64"/>
      </patternFill>
    </fill>
    <fill>
      <patternFill patternType="solid">
        <fgColor theme="0"/>
        <bgColor indexed="64"/>
      </patternFill>
    </fill>
    <fill>
      <patternFill patternType="solid">
        <fgColor rgb="FFFFFFFF"/>
        <bgColor indexed="64"/>
      </patternFill>
    </fill>
    <fill>
      <patternFill patternType="solid">
        <fgColor rgb="FFFF000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FF"/>
        <bgColor rgb="FF000000"/>
      </patternFill>
    </fill>
    <fill>
      <patternFill patternType="solid">
        <fgColor rgb="FFC00000"/>
        <bgColor rgb="FF000000"/>
      </patternFill>
    </fill>
    <fill>
      <patternFill patternType="solid">
        <fgColor rgb="FFFFFFCC"/>
        <bgColor indexed="64"/>
      </patternFill>
    </fill>
    <fill>
      <patternFill patternType="solid">
        <fgColor rgb="FF002060"/>
        <bgColor indexed="64"/>
      </patternFill>
    </fill>
    <fill>
      <patternFill patternType="solid">
        <fgColor rgb="FFDDEBF7"/>
        <bgColor indexed="64"/>
      </patternFill>
    </fill>
    <fill>
      <patternFill patternType="solid">
        <fgColor rgb="FFFFFFCC"/>
        <bgColor rgb="FF000000"/>
      </patternFill>
    </fill>
  </fills>
  <borders count="38">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rgb="FFFFFFFF"/>
      </left>
      <right style="medium">
        <color rgb="FFFFFFFF"/>
      </right>
      <top style="medium">
        <color rgb="FFFFFFFF"/>
      </top>
      <bottom/>
      <diagonal/>
    </border>
    <border>
      <left style="thin">
        <color indexed="64"/>
      </left>
      <right/>
      <top style="thin">
        <color indexed="64"/>
      </top>
      <bottom style="medium">
        <color rgb="FF000000"/>
      </bottom>
      <diagonal/>
    </border>
    <border>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top style="medium">
        <color rgb="FF000000"/>
      </top>
      <bottom style="medium">
        <color rgb="FF000000"/>
      </bottom>
      <diagonal/>
    </border>
    <border>
      <left/>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rgb="FF474747"/>
      </left>
      <right style="medium">
        <color rgb="FF888E93"/>
      </right>
      <top style="medium">
        <color rgb="FF474747"/>
      </top>
      <bottom style="medium">
        <color rgb="FF888E93"/>
      </bottom>
      <diagonal/>
    </border>
    <border>
      <left style="medium">
        <color rgb="FF888E93"/>
      </left>
      <right style="medium">
        <color rgb="FF888E93"/>
      </right>
      <top style="medium">
        <color rgb="FF474747"/>
      </top>
      <bottom style="medium">
        <color rgb="FF888E93"/>
      </bottom>
      <diagonal/>
    </border>
    <border>
      <left style="medium">
        <color rgb="FF888E93"/>
      </left>
      <right/>
      <top/>
      <bottom/>
      <diagonal/>
    </border>
    <border>
      <left style="medium">
        <color rgb="FF474747"/>
      </left>
      <right style="medium">
        <color rgb="FF888E93"/>
      </right>
      <top style="medium">
        <color rgb="FF888E93"/>
      </top>
      <bottom style="medium">
        <color rgb="FF888E93"/>
      </bottom>
      <diagonal/>
    </border>
    <border>
      <left style="medium">
        <color rgb="FF888E93"/>
      </left>
      <right/>
      <top style="medium">
        <color rgb="FF888E93"/>
      </top>
      <bottom style="medium">
        <color rgb="FF888E93"/>
      </bottom>
      <diagonal/>
    </border>
    <border>
      <left style="medium">
        <color rgb="FF888E93"/>
      </left>
      <right/>
      <top style="medium">
        <color rgb="FF888E93"/>
      </top>
      <bottom/>
      <diagonal/>
    </border>
    <border>
      <left style="medium">
        <color rgb="FF888E93"/>
      </left>
      <right/>
      <top/>
      <bottom style="medium">
        <color rgb="FF888E93"/>
      </bottom>
      <diagonal/>
    </border>
    <border>
      <left style="medium">
        <color rgb="FF474747"/>
      </left>
      <right style="medium">
        <color rgb="FF888E93"/>
      </right>
      <top style="medium">
        <color rgb="FF888E93"/>
      </top>
      <bottom style="medium">
        <color rgb="FF474747"/>
      </bottom>
      <diagonal/>
    </border>
    <border>
      <left style="medium">
        <color rgb="FF888E93"/>
      </left>
      <right/>
      <top style="medium">
        <color rgb="FF888E93"/>
      </top>
      <bottom style="medium">
        <color rgb="FF474747"/>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medium">
        <color rgb="FF5F82AA"/>
      </top>
      <bottom/>
      <diagonal/>
    </border>
  </borders>
  <cellStyleXfs count="37">
    <xf numFmtId="0" fontId="0" fillId="0" borderId="0">
      <alignment vertical="center"/>
    </xf>
    <xf numFmtId="9" fontId="10" fillId="0" borderId="0" applyFont="0" applyFill="0" applyBorder="0" applyAlignment="0" applyProtection="0">
      <alignment vertical="center"/>
    </xf>
    <xf numFmtId="0" fontId="10" fillId="0" borderId="0"/>
    <xf numFmtId="0" fontId="10" fillId="0" borderId="0"/>
    <xf numFmtId="43" fontId="8" fillId="0" borderId="0" applyFont="0" applyFill="0" applyBorder="0" applyAlignment="0" applyProtection="0">
      <alignment vertical="center"/>
    </xf>
    <xf numFmtId="0" fontId="10" fillId="0" borderId="0">
      <alignment vertical="center"/>
    </xf>
    <xf numFmtId="43" fontId="10" fillId="0" borderId="0" applyFont="0" applyFill="0" applyBorder="0" applyAlignment="0" applyProtection="0">
      <alignment vertical="center"/>
    </xf>
    <xf numFmtId="0" fontId="4" fillId="0" borderId="0"/>
    <xf numFmtId="9" fontId="4" fillId="0" borderId="0" applyFont="0" applyFill="0" applyBorder="0" applyAlignment="0" applyProtection="0">
      <alignment vertical="center"/>
    </xf>
    <xf numFmtId="0" fontId="10" fillId="0" borderId="0"/>
    <xf numFmtId="9" fontId="10" fillId="0" borderId="0" applyFont="0" applyFill="0" applyBorder="0" applyAlignment="0" applyProtection="0">
      <alignment vertical="center"/>
    </xf>
    <xf numFmtId="0" fontId="10" fillId="0" borderId="0">
      <alignment vertical="center"/>
    </xf>
    <xf numFmtId="9" fontId="10" fillId="0" borderId="0" applyFont="0" applyFill="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alignment vertical="center"/>
    </xf>
    <xf numFmtId="0" fontId="21" fillId="0" borderId="0" applyNumberFormat="0" applyFill="0" applyBorder="0" applyAlignment="0" applyProtection="0"/>
    <xf numFmtId="0" fontId="10" fillId="0" borderId="0"/>
    <xf numFmtId="0" fontId="29" fillId="0" borderId="0"/>
    <xf numFmtId="0" fontId="10" fillId="0" borderId="0"/>
    <xf numFmtId="0" fontId="34" fillId="0" borderId="0">
      <alignment vertical="center"/>
    </xf>
    <xf numFmtId="9" fontId="3" fillId="0" borderId="0" applyFont="0" applyFill="0" applyBorder="0" applyAlignment="0" applyProtection="0">
      <alignment vertical="center"/>
    </xf>
    <xf numFmtId="185" fontId="10" fillId="0" borderId="0"/>
    <xf numFmtId="0" fontId="10" fillId="0" borderId="0"/>
    <xf numFmtId="0" fontId="3" fillId="0" borderId="0">
      <alignment vertical="center"/>
    </xf>
    <xf numFmtId="0" fontId="40" fillId="0" borderId="0" applyNumberFormat="0" applyFill="0" applyBorder="0" applyAlignment="0" applyProtection="0">
      <alignment vertical="center"/>
    </xf>
    <xf numFmtId="0" fontId="34" fillId="0" borderId="0">
      <alignment vertical="center"/>
    </xf>
    <xf numFmtId="0" fontId="10" fillId="0" borderId="0"/>
    <xf numFmtId="0" fontId="1" fillId="0" borderId="0"/>
    <xf numFmtId="9" fontId="1" fillId="0" borderId="0" applyFont="0" applyFill="0" applyBorder="0" applyAlignment="0" applyProtection="0">
      <alignment vertical="center"/>
    </xf>
    <xf numFmtId="0" fontId="29" fillId="0" borderId="0"/>
    <xf numFmtId="0" fontId="2" fillId="0" borderId="0">
      <alignment vertical="center"/>
    </xf>
    <xf numFmtId="0" fontId="46" fillId="0" borderId="0" applyNumberForma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60" fillId="0" borderId="0"/>
    <xf numFmtId="0" fontId="28" fillId="0" borderId="0">
      <alignment vertical="center"/>
    </xf>
    <xf numFmtId="0" fontId="10" fillId="0" borderId="0">
      <alignment vertical="center"/>
    </xf>
  </cellStyleXfs>
  <cellXfs count="477">
    <xf numFmtId="0" fontId="0" fillId="0" borderId="0" xfId="0">
      <alignment vertical="center"/>
    </xf>
    <xf numFmtId="0" fontId="16" fillId="0" borderId="0" xfId="0" applyFont="1">
      <alignment vertical="center"/>
    </xf>
    <xf numFmtId="0" fontId="18" fillId="0" borderId="0" xfId="0" applyFont="1">
      <alignment vertical="center"/>
    </xf>
    <xf numFmtId="0" fontId="0" fillId="3" borderId="0" xfId="0" applyFill="1">
      <alignment vertical="center"/>
    </xf>
    <xf numFmtId="0" fontId="10" fillId="3" borderId="0" xfId="11" applyFill="1">
      <alignment vertical="center"/>
    </xf>
    <xf numFmtId="0" fontId="10" fillId="0" borderId="0" xfId="0" applyFont="1">
      <alignment vertical="center"/>
    </xf>
    <xf numFmtId="0" fontId="23" fillId="3" borderId="0" xfId="5" applyFont="1" applyFill="1" applyAlignment="1">
      <alignment horizontal="center" vertical="center"/>
    </xf>
    <xf numFmtId="14" fontId="23" fillId="3" borderId="0" xfId="5" applyNumberFormat="1" applyFont="1" applyFill="1" applyAlignment="1">
      <alignment horizontal="center" vertical="center"/>
    </xf>
    <xf numFmtId="0" fontId="23" fillId="3" borderId="0" xfId="5" applyFont="1" applyFill="1">
      <alignment vertical="center"/>
    </xf>
    <xf numFmtId="0" fontId="23" fillId="6" borderId="0" xfId="5" applyFont="1" applyFill="1" applyAlignment="1">
      <alignment horizontal="center" vertical="center"/>
    </xf>
    <xf numFmtId="0" fontId="24" fillId="5" borderId="0" xfId="5" applyFont="1" applyFill="1">
      <alignment vertical="center"/>
    </xf>
    <xf numFmtId="0" fontId="25" fillId="3" borderId="0" xfId="5" applyFont="1" applyFill="1">
      <alignment vertical="center"/>
    </xf>
    <xf numFmtId="0" fontId="23" fillId="6" borderId="0" xfId="5" applyFont="1" applyFill="1">
      <alignment vertical="center"/>
    </xf>
    <xf numFmtId="179" fontId="23" fillId="3" borderId="0" xfId="5" applyNumberFormat="1" applyFont="1" applyFill="1" applyAlignment="1">
      <alignment horizontal="center" vertical="center"/>
    </xf>
    <xf numFmtId="179" fontId="24" fillId="5" borderId="0" xfId="5" applyNumberFormat="1" applyFont="1" applyFill="1" applyAlignment="1">
      <alignment horizontal="center" vertical="center"/>
    </xf>
    <xf numFmtId="179" fontId="23" fillId="6" borderId="0" xfId="5" applyNumberFormat="1" applyFont="1" applyFill="1" applyAlignment="1">
      <alignment horizontal="center" vertical="center"/>
    </xf>
    <xf numFmtId="183" fontId="27" fillId="2" borderId="0" xfId="5" applyNumberFormat="1" applyFont="1" applyFill="1">
      <alignment vertical="center"/>
    </xf>
    <xf numFmtId="0" fontId="24" fillId="2" borderId="0" xfId="5" applyFont="1" applyFill="1">
      <alignment vertical="center"/>
    </xf>
    <xf numFmtId="179" fontId="24" fillId="2" borderId="0" xfId="5" applyNumberFormat="1" applyFont="1" applyFill="1" applyAlignment="1">
      <alignment horizontal="center" vertical="center"/>
    </xf>
    <xf numFmtId="0" fontId="32" fillId="3" borderId="0" xfId="16" applyFont="1" applyFill="1" applyAlignment="1">
      <alignment vertical="center"/>
    </xf>
    <xf numFmtId="0" fontId="33" fillId="3" borderId="0" xfId="16" applyFont="1" applyFill="1" applyAlignment="1">
      <alignment vertical="center"/>
    </xf>
    <xf numFmtId="0" fontId="21" fillId="7" borderId="4" xfId="13" applyFill="1" applyBorder="1" applyAlignment="1">
      <alignment horizontal="left" vertical="center"/>
    </xf>
    <xf numFmtId="0" fontId="21" fillId="7" borderId="5" xfId="13" applyFill="1" applyBorder="1" applyAlignment="1">
      <alignment horizontal="left" vertical="center"/>
    </xf>
    <xf numFmtId="0" fontId="15" fillId="7" borderId="3" xfId="11" applyFont="1" applyFill="1" applyBorder="1">
      <alignment vertical="center"/>
    </xf>
    <xf numFmtId="0" fontId="19" fillId="7" borderId="4" xfId="11" applyFont="1" applyFill="1" applyBorder="1" applyAlignment="1">
      <alignment horizontal="center" vertical="center"/>
    </xf>
    <xf numFmtId="0" fontId="34" fillId="3" borderId="0" xfId="19" applyFill="1">
      <alignment vertical="center"/>
    </xf>
    <xf numFmtId="0" fontId="26" fillId="3" borderId="0" xfId="19" applyFont="1" applyFill="1">
      <alignment vertical="center"/>
    </xf>
    <xf numFmtId="10" fontId="23" fillId="3" borderId="0" xfId="5" applyNumberFormat="1" applyFont="1" applyFill="1" applyAlignment="1">
      <alignment horizontal="center" vertical="center"/>
    </xf>
    <xf numFmtId="179" fontId="23" fillId="6" borderId="0" xfId="5" applyNumberFormat="1" applyFont="1" applyFill="1" applyAlignment="1">
      <alignment horizontal="left" vertical="center"/>
    </xf>
    <xf numFmtId="179" fontId="26" fillId="3" borderId="0" xfId="19" applyNumberFormat="1" applyFont="1" applyFill="1">
      <alignment vertical="center"/>
    </xf>
    <xf numFmtId="176" fontId="23" fillId="3" borderId="0" xfId="5" applyNumberFormat="1" applyFont="1" applyFill="1" applyAlignment="1">
      <alignment horizontal="center" vertical="center"/>
    </xf>
    <xf numFmtId="0" fontId="26" fillId="3" borderId="0" xfId="19" applyFont="1" applyFill="1" applyAlignment="1">
      <alignment horizontal="center" vertical="center"/>
    </xf>
    <xf numFmtId="10" fontId="23" fillId="6" borderId="0" xfId="5" applyNumberFormat="1" applyFont="1" applyFill="1" applyAlignment="1">
      <alignment horizontal="center" vertical="center"/>
    </xf>
    <xf numFmtId="179" fontId="34" fillId="3" borderId="0" xfId="19" applyNumberFormat="1" applyFill="1">
      <alignment vertical="center"/>
    </xf>
    <xf numFmtId="0" fontId="23" fillId="7" borderId="0" xfId="5" applyFont="1" applyFill="1" applyAlignment="1">
      <alignment horizontal="center" vertical="center"/>
    </xf>
    <xf numFmtId="14" fontId="23" fillId="7" borderId="0" xfId="5" applyNumberFormat="1" applyFont="1" applyFill="1" applyAlignment="1">
      <alignment horizontal="center" vertical="center"/>
    </xf>
    <xf numFmtId="179" fontId="23" fillId="7" borderId="0" xfId="5" applyNumberFormat="1" applyFont="1" applyFill="1" applyAlignment="1">
      <alignment horizontal="center" vertical="center"/>
    </xf>
    <xf numFmtId="0" fontId="38" fillId="0" borderId="0" xfId="5" applyFont="1">
      <alignment vertical="center"/>
    </xf>
    <xf numFmtId="0" fontId="36" fillId="2" borderId="0" xfId="0" applyFont="1" applyFill="1" applyAlignment="1">
      <alignment horizontal="center" vertical="center"/>
    </xf>
    <xf numFmtId="0" fontId="35" fillId="0" borderId="0" xfId="0" applyFont="1">
      <alignment vertical="center"/>
    </xf>
    <xf numFmtId="0" fontId="36" fillId="2" borderId="7" xfId="0" applyFont="1" applyFill="1" applyBorder="1" applyAlignment="1">
      <alignment horizontal="left" vertical="center"/>
    </xf>
    <xf numFmtId="0" fontId="35" fillId="0" borderId="2" xfId="0" applyFont="1" applyBorder="1" applyAlignment="1">
      <alignment horizontal="left" vertical="center"/>
    </xf>
    <xf numFmtId="2" fontId="35" fillId="0" borderId="6" xfId="0" applyNumberFormat="1" applyFont="1" applyBorder="1">
      <alignment vertical="center"/>
    </xf>
    <xf numFmtId="0" fontId="36" fillId="2" borderId="2" xfId="0" applyFont="1" applyFill="1" applyBorder="1" applyAlignment="1">
      <alignment horizontal="left" vertical="center"/>
    </xf>
    <xf numFmtId="180" fontId="35" fillId="0" borderId="0" xfId="0" applyNumberFormat="1" applyFont="1">
      <alignment vertical="center"/>
    </xf>
    <xf numFmtId="10" fontId="35" fillId="0" borderId="0" xfId="1" applyNumberFormat="1" applyFont="1" applyBorder="1">
      <alignment vertical="center"/>
    </xf>
    <xf numFmtId="176" fontId="35" fillId="0" borderId="0" xfId="0" applyNumberFormat="1" applyFont="1">
      <alignment vertical="center"/>
    </xf>
    <xf numFmtId="0" fontId="35" fillId="0" borderId="2" xfId="0" applyFont="1" applyBorder="1" applyAlignment="1">
      <alignment horizontal="left"/>
    </xf>
    <xf numFmtId="0" fontId="35" fillId="0" borderId="2" xfId="0" applyFont="1" applyBorder="1" applyAlignment="1">
      <alignment horizontal="left" indent="2"/>
    </xf>
    <xf numFmtId="181" fontId="42" fillId="0" borderId="0" xfId="0" applyNumberFormat="1" applyFont="1" applyAlignment="1"/>
    <xf numFmtId="0" fontId="35" fillId="0" borderId="10" xfId="0" applyFont="1" applyBorder="1" applyAlignment="1">
      <alignment horizontal="left"/>
    </xf>
    <xf numFmtId="0" fontId="35" fillId="0" borderId="7" xfId="0" applyFont="1" applyBorder="1" applyAlignment="1">
      <alignment horizontal="left"/>
    </xf>
    <xf numFmtId="0" fontId="42" fillId="0" borderId="0" xfId="0" applyFont="1" applyAlignment="1"/>
    <xf numFmtId="0" fontId="35" fillId="0" borderId="2" xfId="0" applyFont="1" applyBorder="1" applyAlignment="1">
      <alignment horizontal="left" indent="1"/>
    </xf>
    <xf numFmtId="0" fontId="37" fillId="0" borderId="7" xfId="0" applyFont="1" applyBorder="1" applyAlignment="1">
      <alignment horizontal="left"/>
    </xf>
    <xf numFmtId="0" fontId="37" fillId="0" borderId="2" xfId="0" applyFont="1" applyBorder="1" applyAlignment="1">
      <alignment horizontal="left"/>
    </xf>
    <xf numFmtId="0" fontId="43" fillId="0" borderId="2" xfId="0" applyFont="1" applyBorder="1" applyAlignment="1">
      <alignment horizontal="left" indent="1"/>
    </xf>
    <xf numFmtId="181" fontId="44" fillId="0" borderId="0" xfId="0" applyNumberFormat="1" applyFont="1" applyAlignment="1"/>
    <xf numFmtId="0" fontId="43" fillId="0" borderId="0" xfId="0" applyFont="1">
      <alignment vertical="center"/>
    </xf>
    <xf numFmtId="0" fontId="44" fillId="0" borderId="0" xfId="0" applyFont="1" applyAlignment="1"/>
    <xf numFmtId="3" fontId="37" fillId="0" borderId="7" xfId="0" applyNumberFormat="1" applyFont="1" applyBorder="1" applyAlignment="1"/>
    <xf numFmtId="0" fontId="43" fillId="0" borderId="10" xfId="0" applyFont="1" applyBorder="1" applyAlignment="1">
      <alignment horizontal="left" indent="1"/>
    </xf>
    <xf numFmtId="182" fontId="35" fillId="0" borderId="0" xfId="0" applyNumberFormat="1" applyFont="1">
      <alignment vertical="center"/>
    </xf>
    <xf numFmtId="0" fontId="37" fillId="3" borderId="7" xfId="0" applyFont="1" applyFill="1" applyBorder="1" applyAlignment="1"/>
    <xf numFmtId="0" fontId="43" fillId="3" borderId="2" xfId="0" applyFont="1" applyFill="1" applyBorder="1" applyAlignment="1">
      <alignment horizontal="center"/>
    </xf>
    <xf numFmtId="0" fontId="35" fillId="3" borderId="2" xfId="0" applyFont="1" applyFill="1" applyBorder="1" applyAlignment="1">
      <alignment horizontal="left" vertical="center"/>
    </xf>
    <xf numFmtId="0" fontId="43" fillId="3" borderId="2" xfId="0" applyFont="1" applyFill="1" applyBorder="1" applyAlignment="1">
      <alignment horizontal="center" vertical="center"/>
    </xf>
    <xf numFmtId="0" fontId="41" fillId="5" borderId="0" xfId="0" applyFont="1" applyFill="1" applyAlignment="1"/>
    <xf numFmtId="0" fontId="47" fillId="5" borderId="0" xfId="0" applyFont="1" applyFill="1" applyAlignment="1"/>
    <xf numFmtId="0" fontId="28" fillId="0" borderId="0" xfId="0" applyFont="1">
      <alignment vertical="center"/>
    </xf>
    <xf numFmtId="0" fontId="6" fillId="0" borderId="0" xfId="0" applyFont="1">
      <alignment vertical="center"/>
    </xf>
    <xf numFmtId="0" fontId="48" fillId="0" borderId="0" xfId="0" applyFont="1">
      <alignment vertical="center"/>
    </xf>
    <xf numFmtId="177" fontId="48" fillId="0" borderId="0" xfId="0" applyNumberFormat="1" applyFont="1" applyAlignment="1">
      <alignment vertical="top"/>
    </xf>
    <xf numFmtId="49" fontId="48" fillId="0" borderId="0" xfId="0" applyNumberFormat="1" applyFont="1" applyAlignment="1">
      <alignment vertical="top"/>
    </xf>
    <xf numFmtId="0" fontId="49" fillId="0" borderId="0" xfId="0" applyFont="1">
      <alignment vertical="center"/>
    </xf>
    <xf numFmtId="0" fontId="41" fillId="2" borderId="0" xfId="0" applyFont="1" applyFill="1">
      <alignment vertical="center"/>
    </xf>
    <xf numFmtId="0" fontId="28" fillId="2" borderId="0" xfId="0" applyFont="1" applyFill="1">
      <alignment vertical="center"/>
    </xf>
    <xf numFmtId="0" fontId="28" fillId="0" borderId="0" xfId="0" applyFont="1" applyAlignment="1"/>
    <xf numFmtId="0" fontId="52" fillId="0" borderId="0" xfId="0" applyFont="1" applyAlignment="1"/>
    <xf numFmtId="0" fontId="28" fillId="0" borderId="0" xfId="0" applyFont="1" applyAlignment="1">
      <alignment horizontal="left" vertical="center"/>
    </xf>
    <xf numFmtId="0" fontId="28" fillId="0" borderId="0" xfId="0" applyFont="1" applyAlignment="1">
      <alignment horizontal="center" vertical="center"/>
    </xf>
    <xf numFmtId="0" fontId="48" fillId="8" borderId="1" xfId="0" applyFont="1" applyFill="1" applyBorder="1" applyAlignment="1">
      <alignment horizontal="center"/>
    </xf>
    <xf numFmtId="10" fontId="48" fillId="8" borderId="1" xfId="0" applyNumberFormat="1" applyFont="1" applyFill="1" applyBorder="1" applyAlignment="1">
      <alignment horizontal="center"/>
    </xf>
    <xf numFmtId="4" fontId="28" fillId="0" borderId="1" xfId="0" applyNumberFormat="1" applyFont="1" applyBorder="1">
      <alignment vertical="center"/>
    </xf>
    <xf numFmtId="0" fontId="28" fillId="0" borderId="1" xfId="0" applyFont="1" applyBorder="1">
      <alignment vertical="center"/>
    </xf>
    <xf numFmtId="4" fontId="28" fillId="0" borderId="0" xfId="0" applyNumberFormat="1" applyFont="1">
      <alignment vertical="center"/>
    </xf>
    <xf numFmtId="0" fontId="41" fillId="2" borderId="0" xfId="5" applyFont="1" applyFill="1" applyAlignment="1">
      <alignment horizontal="left"/>
    </xf>
    <xf numFmtId="0" fontId="28" fillId="2" borderId="0" xfId="5" applyFont="1" applyFill="1" applyAlignment="1"/>
    <xf numFmtId="0" fontId="28" fillId="0" borderId="0" xfId="5" applyFont="1">
      <alignment vertical="center"/>
    </xf>
    <xf numFmtId="0" fontId="6" fillId="0" borderId="1" xfId="5" applyFont="1" applyBorder="1" applyAlignment="1">
      <alignment horizontal="center" vertical="center"/>
    </xf>
    <xf numFmtId="0" fontId="6" fillId="0" borderId="1" xfId="0" applyFont="1" applyBorder="1" applyAlignment="1">
      <alignment horizontal="center" vertical="center"/>
    </xf>
    <xf numFmtId="0" fontId="28" fillId="0" borderId="1" xfId="0" applyFont="1" applyBorder="1" applyAlignment="1">
      <alignment horizontal="center" vertical="center"/>
    </xf>
    <xf numFmtId="3" fontId="28" fillId="0" borderId="1" xfId="0" applyNumberFormat="1" applyFont="1" applyBorder="1" applyAlignment="1">
      <alignment horizontal="center" vertical="center"/>
    </xf>
    <xf numFmtId="0" fontId="54" fillId="0" borderId="0" xfId="0" applyFont="1">
      <alignment vertical="center"/>
    </xf>
    <xf numFmtId="0" fontId="55" fillId="9" borderId="0" xfId="0" applyFont="1" applyFill="1" applyAlignment="1">
      <alignment horizontal="center" vertical="center"/>
    </xf>
    <xf numFmtId="2" fontId="28" fillId="0" borderId="0" xfId="0" applyNumberFormat="1" applyFont="1">
      <alignment vertical="center"/>
    </xf>
    <xf numFmtId="178" fontId="56" fillId="0" borderId="0" xfId="1" applyNumberFormat="1" applyFont="1" applyFill="1" applyBorder="1" applyAlignment="1"/>
    <xf numFmtId="178" fontId="57" fillId="0" borderId="0" xfId="1" applyNumberFormat="1" applyFont="1" applyFill="1" applyBorder="1" applyAlignment="1"/>
    <xf numFmtId="2" fontId="58" fillId="0" borderId="0" xfId="0" applyNumberFormat="1" applyFont="1">
      <alignment vertical="center"/>
    </xf>
    <xf numFmtId="0" fontId="28" fillId="0" borderId="11" xfId="0" applyFont="1" applyBorder="1">
      <alignment vertical="center"/>
    </xf>
    <xf numFmtId="2" fontId="28" fillId="0" borderId="11" xfId="0" applyNumberFormat="1" applyFont="1" applyBorder="1">
      <alignment vertical="center"/>
    </xf>
    <xf numFmtId="178" fontId="57" fillId="0" borderId="11" xfId="1" applyNumberFormat="1" applyFont="1" applyFill="1" applyBorder="1" applyAlignment="1"/>
    <xf numFmtId="4" fontId="53" fillId="0" borderId="0" xfId="0" applyNumberFormat="1" applyFont="1">
      <alignment vertical="center"/>
    </xf>
    <xf numFmtId="4" fontId="53" fillId="4" borderId="0" xfId="0" applyNumberFormat="1" applyFont="1" applyFill="1" applyAlignment="1">
      <alignment vertical="center" wrapText="1"/>
    </xf>
    <xf numFmtId="0" fontId="41" fillId="2" borderId="1" xfId="0" applyFont="1" applyFill="1" applyBorder="1" applyAlignment="1">
      <alignment horizontal="center" vertical="center"/>
    </xf>
    <xf numFmtId="0" fontId="41" fillId="0" borderId="0" xfId="0" applyFont="1" applyAlignment="1">
      <alignment horizontal="left" vertical="center" wrapText="1"/>
    </xf>
    <xf numFmtId="0" fontId="41" fillId="0" borderId="0" xfId="0" applyFont="1" applyAlignment="1">
      <alignment horizontal="center" vertical="center"/>
    </xf>
    <xf numFmtId="10" fontId="35" fillId="0" borderId="6" xfId="0" applyNumberFormat="1" applyFont="1" applyBorder="1">
      <alignment vertical="center"/>
    </xf>
    <xf numFmtId="0" fontId="28" fillId="0" borderId="0" xfId="0" applyFont="1" applyAlignment="1">
      <alignment vertical="top" wrapText="1"/>
    </xf>
    <xf numFmtId="0" fontId="47" fillId="5" borderId="0" xfId="0" applyFont="1" applyFill="1" applyAlignment="1">
      <alignment horizontal="left"/>
    </xf>
    <xf numFmtId="0" fontId="28" fillId="0" borderId="0" xfId="5" applyFont="1" applyAlignment="1">
      <alignment horizontal="left" vertical="center"/>
    </xf>
    <xf numFmtId="0" fontId="28" fillId="0" borderId="1" xfId="5" applyFont="1" applyBorder="1" applyAlignment="1">
      <alignment horizontal="left" vertical="center"/>
    </xf>
    <xf numFmtId="0" fontId="38" fillId="0" borderId="0" xfId="5" applyFont="1" applyAlignment="1">
      <alignment horizontal="left" vertical="center"/>
    </xf>
    <xf numFmtId="0" fontId="59" fillId="10" borderId="0" xfId="0" applyFont="1" applyFill="1" applyAlignment="1">
      <alignment horizontal="left" vertical="center"/>
    </xf>
    <xf numFmtId="178" fontId="35" fillId="0" borderId="0" xfId="1" applyNumberFormat="1" applyFont="1" applyBorder="1">
      <alignment vertical="center"/>
    </xf>
    <xf numFmtId="178" fontId="35" fillId="0" borderId="6" xfId="1" applyNumberFormat="1" applyFont="1" applyBorder="1">
      <alignment vertical="center"/>
    </xf>
    <xf numFmtId="0" fontId="59" fillId="0" borderId="0" xfId="0" applyFont="1" applyAlignment="1">
      <alignment horizontal="left" vertical="center"/>
    </xf>
    <xf numFmtId="176" fontId="42" fillId="0" borderId="0" xfId="0" applyNumberFormat="1" applyFont="1" applyAlignment="1"/>
    <xf numFmtId="4" fontId="42" fillId="0" borderId="0" xfId="0" applyNumberFormat="1" applyFont="1" applyAlignment="1"/>
    <xf numFmtId="179" fontId="42" fillId="0" borderId="0" xfId="0" applyNumberFormat="1" applyFont="1" applyAlignment="1"/>
    <xf numFmtId="186" fontId="35" fillId="0" borderId="0" xfId="0" applyNumberFormat="1" applyFont="1">
      <alignment vertical="center"/>
    </xf>
    <xf numFmtId="0" fontId="28" fillId="0" borderId="1" xfId="0" applyFont="1" applyBorder="1" applyAlignment="1">
      <alignment horizontal="left" vertical="center"/>
    </xf>
    <xf numFmtId="0" fontId="6" fillId="0" borderId="1" xfId="0" applyFont="1" applyBorder="1" applyAlignment="1">
      <alignment horizontal="center" vertical="top"/>
    </xf>
    <xf numFmtId="0" fontId="54" fillId="0" borderId="1" xfId="0" applyFont="1" applyBorder="1" applyAlignment="1">
      <alignment horizontal="center" vertical="top" wrapText="1"/>
    </xf>
    <xf numFmtId="0" fontId="35" fillId="0" borderId="0" xfId="5" applyFont="1">
      <alignment vertical="center"/>
    </xf>
    <xf numFmtId="178" fontId="23" fillId="6" borderId="0" xfId="33" applyNumberFormat="1" applyFont="1" applyFill="1" applyAlignment="1">
      <alignment horizontal="center" vertical="center"/>
    </xf>
    <xf numFmtId="0" fontId="38" fillId="5" borderId="0" xfId="5" applyFont="1" applyFill="1">
      <alignment vertical="center"/>
    </xf>
    <xf numFmtId="0" fontId="35" fillId="0" borderId="0" xfId="5" applyFont="1" applyAlignment="1">
      <alignment horizontal="left" vertical="center"/>
    </xf>
    <xf numFmtId="0" fontId="35" fillId="0" borderId="1" xfId="5" applyFont="1" applyBorder="1" applyAlignment="1">
      <alignment horizontal="left" vertical="center" wrapText="1"/>
    </xf>
    <xf numFmtId="4" fontId="35" fillId="0" borderId="1" xfId="5" applyNumberFormat="1" applyFont="1" applyBorder="1" applyAlignment="1">
      <alignment horizontal="left" vertical="center" wrapText="1"/>
    </xf>
    <xf numFmtId="0" fontId="35" fillId="0" borderId="0" xfId="5" applyFont="1" applyAlignment="1">
      <alignment horizontal="right" vertical="center" wrapText="1"/>
    </xf>
    <xf numFmtId="0" fontId="36" fillId="5" borderId="0" xfId="5" applyFont="1" applyFill="1" applyAlignment="1">
      <alignment horizontal="left" vertical="center"/>
    </xf>
    <xf numFmtId="0" fontId="35" fillId="5" borderId="0" xfId="5" applyFont="1" applyFill="1">
      <alignment vertical="center"/>
    </xf>
    <xf numFmtId="0" fontId="37" fillId="0" borderId="1" xfId="5" applyFont="1" applyBorder="1" applyAlignment="1">
      <alignment horizontal="center" vertical="center"/>
    </xf>
    <xf numFmtId="0" fontId="35" fillId="0" borderId="1" xfId="5" applyFont="1" applyBorder="1" applyAlignment="1">
      <alignment horizontal="left" vertical="center"/>
    </xf>
    <xf numFmtId="4" fontId="28" fillId="0" borderId="1" xfId="0" applyNumberFormat="1" applyFont="1" applyBorder="1" applyAlignment="1">
      <alignment horizontal="left" vertical="center"/>
    </xf>
    <xf numFmtId="4" fontId="35" fillId="0" borderId="1" xfId="5" applyNumberFormat="1" applyFont="1" applyBorder="1" applyAlignment="1">
      <alignment horizontal="left" vertical="center"/>
    </xf>
    <xf numFmtId="0" fontId="28" fillId="0" borderId="7" xfId="0" applyFont="1" applyBorder="1">
      <alignment vertical="center"/>
    </xf>
    <xf numFmtId="0" fontId="28" fillId="0" borderId="8" xfId="0" applyFont="1" applyBorder="1">
      <alignment vertical="center"/>
    </xf>
    <xf numFmtId="0" fontId="28" fillId="0" borderId="9" xfId="0" applyFont="1" applyBorder="1">
      <alignment vertical="center"/>
    </xf>
    <xf numFmtId="0" fontId="28" fillId="0" borderId="2" xfId="0" applyFont="1" applyBorder="1">
      <alignment vertical="center"/>
    </xf>
    <xf numFmtId="0" fontId="28" fillId="0" borderId="6" xfId="0" applyFont="1" applyBorder="1">
      <alignment vertical="center"/>
    </xf>
    <xf numFmtId="0" fontId="28" fillId="0" borderId="10" xfId="0" applyFont="1" applyBorder="1">
      <alignment vertical="center"/>
    </xf>
    <xf numFmtId="0" fontId="28" fillId="0" borderId="12" xfId="0" applyFont="1" applyBorder="1">
      <alignment vertical="center"/>
    </xf>
    <xf numFmtId="4" fontId="28" fillId="0" borderId="1" xfId="0" applyNumberFormat="1" applyFont="1" applyBorder="1" applyAlignment="1">
      <alignment horizontal="right" vertical="center"/>
    </xf>
    <xf numFmtId="181" fontId="61" fillId="0" borderId="0" xfId="0" applyNumberFormat="1" applyFont="1" applyAlignment="1"/>
    <xf numFmtId="0" fontId="61" fillId="0" borderId="0" xfId="0" applyFont="1" applyAlignment="1"/>
    <xf numFmtId="0" fontId="62" fillId="0" borderId="0" xfId="0" applyFont="1" applyAlignment="1"/>
    <xf numFmtId="184" fontId="61" fillId="0" borderId="0" xfId="0" applyNumberFormat="1" applyFont="1" applyAlignment="1"/>
    <xf numFmtId="0" fontId="0" fillId="2" borderId="0" xfId="0" applyFill="1">
      <alignment vertical="center"/>
    </xf>
    <xf numFmtId="0" fontId="28" fillId="0" borderId="0" xfId="0" applyFont="1" applyAlignment="1">
      <alignment vertical="center" wrapText="1"/>
    </xf>
    <xf numFmtId="2" fontId="28" fillId="0" borderId="1" xfId="0" applyNumberFormat="1" applyFont="1" applyBorder="1">
      <alignment vertical="center"/>
    </xf>
    <xf numFmtId="179" fontId="28" fillId="0" borderId="1" xfId="0" applyNumberFormat="1" applyFont="1" applyBorder="1">
      <alignment vertical="center"/>
    </xf>
    <xf numFmtId="0" fontId="45" fillId="0" borderId="0" xfId="0" applyFont="1" applyAlignment="1">
      <alignment horizontal="left" vertical="center"/>
    </xf>
    <xf numFmtId="0" fontId="36" fillId="2" borderId="8" xfId="0" quotePrefix="1" applyFont="1" applyFill="1" applyBorder="1" applyAlignment="1">
      <alignment horizontal="center" vertical="center"/>
    </xf>
    <xf numFmtId="0" fontId="36" fillId="2" borderId="8" xfId="0" applyFont="1" applyFill="1" applyBorder="1" applyAlignment="1">
      <alignment horizontal="center" vertical="center"/>
    </xf>
    <xf numFmtId="0" fontId="36" fillId="2" borderId="9" xfId="0" applyFont="1" applyFill="1" applyBorder="1" applyAlignment="1">
      <alignment horizontal="center" vertical="center"/>
    </xf>
    <xf numFmtId="0" fontId="35" fillId="2" borderId="2" xfId="0" applyFont="1" applyFill="1" applyBorder="1">
      <alignment vertical="center"/>
    </xf>
    <xf numFmtId="0" fontId="36" fillId="2" borderId="6" xfId="0" applyFont="1" applyFill="1" applyBorder="1" applyAlignment="1">
      <alignment horizontal="center" vertical="center"/>
    </xf>
    <xf numFmtId="0" fontId="64" fillId="0" borderId="0" xfId="0" applyFont="1" applyAlignment="1"/>
    <xf numFmtId="2" fontId="48" fillId="8" borderId="1" xfId="0" applyNumberFormat="1" applyFont="1" applyFill="1" applyBorder="1" applyAlignment="1">
      <alignment horizontal="center"/>
    </xf>
    <xf numFmtId="0" fontId="28" fillId="0" borderId="0" xfId="0" applyFont="1" applyAlignment="1">
      <alignment horizontal="left" vertical="center" wrapText="1"/>
    </xf>
    <xf numFmtId="0" fontId="28" fillId="0" borderId="0" xfId="0" applyFont="1" applyAlignment="1">
      <alignment horizontal="left" vertical="top" wrapText="1"/>
    </xf>
    <xf numFmtId="2" fontId="35" fillId="0" borderId="8" xfId="0" applyNumberFormat="1" applyFont="1" applyBorder="1" applyAlignment="1">
      <alignment horizontal="right"/>
    </xf>
    <xf numFmtId="2" fontId="48" fillId="8" borderId="1" xfId="0" applyNumberFormat="1" applyFont="1" applyFill="1" applyBorder="1" applyAlignment="1">
      <alignment horizontal="center" vertical="center"/>
    </xf>
    <xf numFmtId="10" fontId="48" fillId="8" borderId="1" xfId="0" applyNumberFormat="1" applyFont="1" applyFill="1" applyBorder="1" applyAlignment="1">
      <alignment horizontal="center" vertical="center"/>
    </xf>
    <xf numFmtId="2" fontId="28" fillId="0" borderId="1" xfId="0" applyNumberFormat="1" applyFont="1" applyBorder="1" applyAlignment="1">
      <alignment horizontal="center" vertical="center"/>
    </xf>
    <xf numFmtId="10" fontId="28" fillId="0" borderId="1" xfId="0" applyNumberFormat="1" applyFont="1" applyBorder="1" applyAlignment="1">
      <alignment horizontal="center" vertical="center"/>
    </xf>
    <xf numFmtId="0" fontId="51" fillId="0" borderId="1" xfId="0" applyFont="1" applyBorder="1" applyAlignment="1">
      <alignment horizontal="left" vertical="center" wrapText="1"/>
    </xf>
    <xf numFmtId="0" fontId="51" fillId="0" borderId="1" xfId="0" applyFont="1" applyBorder="1" applyAlignment="1">
      <alignment horizontal="center" vertical="center" wrapText="1"/>
    </xf>
    <xf numFmtId="4" fontId="28" fillId="0" borderId="1" xfId="0" applyNumberFormat="1" applyFont="1" applyBorder="1" applyAlignment="1">
      <alignment horizontal="center" vertical="center"/>
    </xf>
    <xf numFmtId="0" fontId="28" fillId="0" borderId="1" xfId="0" applyFont="1" applyBorder="1" applyAlignment="1">
      <alignment horizontal="right" vertical="center"/>
    </xf>
    <xf numFmtId="9" fontId="28" fillId="0" borderId="0" xfId="0" applyNumberFormat="1" applyFont="1" applyAlignment="1">
      <alignment horizontal="left" vertical="center"/>
    </xf>
    <xf numFmtId="10" fontId="28" fillId="0" borderId="0" xfId="0" applyNumberFormat="1" applyFont="1" applyAlignment="1">
      <alignment horizontal="left" vertical="center"/>
    </xf>
    <xf numFmtId="2" fontId="53" fillId="4" borderId="0" xfId="0" applyNumberFormat="1" applyFont="1" applyFill="1" applyAlignment="1">
      <alignment vertical="center" wrapText="1"/>
    </xf>
    <xf numFmtId="10" fontId="56" fillId="0" borderId="0" xfId="1" applyNumberFormat="1" applyFont="1" applyFill="1" applyBorder="1" applyAlignment="1"/>
    <xf numFmtId="10" fontId="56" fillId="0" borderId="11" xfId="1" applyNumberFormat="1" applyFont="1" applyFill="1" applyBorder="1" applyAlignment="1"/>
    <xf numFmtId="2" fontId="53" fillId="0" borderId="0" xfId="0" applyNumberFormat="1" applyFont="1">
      <alignment vertical="center"/>
    </xf>
    <xf numFmtId="2" fontId="28" fillId="0" borderId="0" xfId="0" applyNumberFormat="1" applyFont="1" applyAlignment="1"/>
    <xf numFmtId="4" fontId="48" fillId="0" borderId="0" xfId="0" applyNumberFormat="1" applyFont="1" applyAlignment="1"/>
    <xf numFmtId="4" fontId="58" fillId="0" borderId="0" xfId="0" applyNumberFormat="1" applyFont="1">
      <alignment vertical="center"/>
    </xf>
    <xf numFmtId="4" fontId="28" fillId="0" borderId="11" xfId="0" applyNumberFormat="1" applyFont="1" applyBorder="1">
      <alignment vertical="center"/>
    </xf>
    <xf numFmtId="4" fontId="28" fillId="0" borderId="0" xfId="0" applyNumberFormat="1" applyFont="1" applyAlignment="1"/>
    <xf numFmtId="0" fontId="36" fillId="2" borderId="0" xfId="5" applyFont="1" applyFill="1" applyAlignment="1">
      <alignment horizontal="left" vertical="center"/>
    </xf>
    <xf numFmtId="0" fontId="38" fillId="2" borderId="0" xfId="5" applyFont="1" applyFill="1">
      <alignment vertical="center"/>
    </xf>
    <xf numFmtId="0" fontId="35" fillId="0" borderId="1" xfId="5" applyFont="1" applyBorder="1" applyAlignment="1">
      <alignment horizontal="center" vertical="center"/>
    </xf>
    <xf numFmtId="2" fontId="28" fillId="0" borderId="1" xfId="0" applyNumberFormat="1" applyFont="1" applyBorder="1" applyAlignment="1">
      <alignment horizontal="left" vertical="center"/>
    </xf>
    <xf numFmtId="0" fontId="28" fillId="0" borderId="1" xfId="5" applyFont="1" applyBorder="1" applyAlignment="1">
      <alignment horizontal="center" vertical="center"/>
    </xf>
    <xf numFmtId="0" fontId="35" fillId="0" borderId="0" xfId="5" applyFont="1" applyAlignment="1">
      <alignment vertical="center" wrapText="1"/>
    </xf>
    <xf numFmtId="0" fontId="28" fillId="0" borderId="0" xfId="5" applyFont="1" applyAlignment="1">
      <alignment vertical="center" wrapText="1"/>
    </xf>
    <xf numFmtId="0" fontId="28" fillId="0" borderId="1" xfId="0" applyFont="1" applyBorder="1" applyAlignment="1">
      <alignment horizontal="center" vertical="center" wrapText="1"/>
    </xf>
    <xf numFmtId="31" fontId="41" fillId="2" borderId="0" xfId="0" applyNumberFormat="1" applyFont="1" applyFill="1">
      <alignment vertical="center"/>
    </xf>
    <xf numFmtId="0" fontId="35" fillId="0" borderId="0" xfId="5" applyFont="1" applyAlignment="1">
      <alignment horizontal="left" vertical="center" wrapText="1"/>
    </xf>
    <xf numFmtId="0" fontId="28" fillId="0" borderId="0" xfId="5" applyFont="1" applyAlignment="1">
      <alignment horizontal="center" vertical="center" wrapText="1"/>
    </xf>
    <xf numFmtId="0" fontId="48" fillId="0" borderId="1" xfId="0" applyFont="1" applyBorder="1" applyAlignment="1">
      <alignment horizontal="center" vertical="center"/>
    </xf>
    <xf numFmtId="2" fontId="48" fillId="0" borderId="1" xfId="0" applyNumberFormat="1" applyFont="1" applyBorder="1" applyAlignment="1">
      <alignment horizontal="center" vertical="center"/>
    </xf>
    <xf numFmtId="0" fontId="16" fillId="0" borderId="1" xfId="0" applyFont="1" applyBorder="1">
      <alignment vertical="center"/>
    </xf>
    <xf numFmtId="14" fontId="23" fillId="3" borderId="0" xfId="5" applyNumberFormat="1" applyFont="1" applyFill="1">
      <alignment vertical="center"/>
    </xf>
    <xf numFmtId="0" fontId="28" fillId="0" borderId="1" xfId="5" applyFont="1" applyBorder="1" applyAlignment="1">
      <alignment horizontal="center" vertical="center" wrapText="1"/>
    </xf>
    <xf numFmtId="4" fontId="28" fillId="3" borderId="1" xfId="0" applyNumberFormat="1" applyFont="1" applyFill="1" applyBorder="1" applyAlignment="1">
      <alignment horizontal="left" vertical="center"/>
    </xf>
    <xf numFmtId="4" fontId="35" fillId="3" borderId="1" xfId="5" applyNumberFormat="1" applyFont="1" applyFill="1" applyBorder="1" applyAlignment="1">
      <alignment horizontal="left" vertical="center" wrapText="1"/>
    </xf>
    <xf numFmtId="0" fontId="38" fillId="3" borderId="0" xfId="5" applyFont="1" applyFill="1">
      <alignment vertical="center"/>
    </xf>
    <xf numFmtId="10" fontId="35" fillId="0" borderId="1" xfId="5" applyNumberFormat="1" applyFont="1" applyBorder="1" applyAlignment="1">
      <alignment horizontal="center" vertical="center"/>
    </xf>
    <xf numFmtId="31" fontId="28" fillId="0" borderId="0" xfId="0" applyNumberFormat="1" applyFont="1" applyAlignment="1">
      <alignment vertical="center" wrapText="1"/>
    </xf>
    <xf numFmtId="0" fontId="28" fillId="0" borderId="0" xfId="0" applyFont="1" applyAlignment="1">
      <alignment horizontal="right" vertical="center" wrapText="1"/>
    </xf>
    <xf numFmtId="0" fontId="28" fillId="0" borderId="0" xfId="0" applyFont="1" applyAlignment="1">
      <alignment horizontal="right" vertical="center"/>
    </xf>
    <xf numFmtId="3" fontId="0" fillId="0" borderId="0" xfId="0" applyNumberFormat="1" applyAlignment="1">
      <alignment horizontal="center" vertical="center"/>
    </xf>
    <xf numFmtId="0" fontId="0" fillId="0" borderId="0" xfId="0" applyAlignment="1">
      <alignment horizontal="center" vertical="center"/>
    </xf>
    <xf numFmtId="9" fontId="0" fillId="0" borderId="0" xfId="0" applyNumberFormat="1" applyAlignment="1">
      <alignment horizontal="center" vertical="center"/>
    </xf>
    <xf numFmtId="10" fontId="0" fillId="0" borderId="0" xfId="0" applyNumberFormat="1" applyAlignment="1">
      <alignment horizontal="center" vertical="center"/>
    </xf>
    <xf numFmtId="0" fontId="48" fillId="0" borderId="0" xfId="0" applyFont="1" applyAlignment="1">
      <alignment vertical="center" wrapText="1"/>
    </xf>
    <xf numFmtId="31" fontId="28" fillId="0" borderId="1" xfId="0" applyNumberFormat="1" applyFont="1" applyBorder="1" applyAlignment="1">
      <alignment vertical="center" wrapText="1"/>
    </xf>
    <xf numFmtId="31" fontId="28" fillId="0" borderId="1" xfId="0" applyNumberFormat="1" applyFont="1" applyBorder="1" applyAlignment="1">
      <alignment horizontal="center" vertical="center" wrapText="1"/>
    </xf>
    <xf numFmtId="2" fontId="28" fillId="0" borderId="1" xfId="0" applyNumberFormat="1" applyFont="1" applyBorder="1" applyAlignment="1">
      <alignment horizontal="center" vertical="center" wrapText="1"/>
    </xf>
    <xf numFmtId="10" fontId="28" fillId="0" borderId="1" xfId="0" applyNumberFormat="1" applyFont="1" applyBorder="1" applyAlignment="1">
      <alignment horizontal="center" vertical="center" wrapText="1"/>
    </xf>
    <xf numFmtId="31" fontId="28" fillId="0" borderId="0" xfId="0" applyNumberFormat="1" applyFont="1" applyAlignment="1">
      <alignment horizontal="center" vertical="center" wrapText="1"/>
    </xf>
    <xf numFmtId="10" fontId="28" fillId="0" borderId="0" xfId="0" applyNumberFormat="1" applyFont="1" applyAlignment="1">
      <alignment horizontal="center" vertical="center" wrapText="1"/>
    </xf>
    <xf numFmtId="31" fontId="65" fillId="0" borderId="0" xfId="0" applyNumberFormat="1" applyFont="1" applyAlignment="1">
      <alignment horizontal="left" vertical="center" wrapText="1"/>
    </xf>
    <xf numFmtId="2" fontId="28" fillId="0" borderId="0" xfId="0" applyNumberFormat="1" applyFont="1" applyAlignment="1">
      <alignment horizontal="center" vertical="center" wrapText="1"/>
    </xf>
    <xf numFmtId="31" fontId="28" fillId="0" borderId="1" xfId="0" applyNumberFormat="1" applyFont="1" applyBorder="1" applyAlignment="1">
      <alignment horizontal="left" vertical="center" wrapText="1"/>
    </xf>
    <xf numFmtId="0" fontId="21" fillId="7" borderId="4" xfId="13" applyFill="1" applyBorder="1" applyAlignment="1">
      <alignment horizontal="center" vertical="center"/>
    </xf>
    <xf numFmtId="0" fontId="21" fillId="7" borderId="5" xfId="13" applyFill="1" applyBorder="1" applyAlignment="1">
      <alignment horizontal="center" vertical="center"/>
    </xf>
    <xf numFmtId="0" fontId="66" fillId="2" borderId="0" xfId="3" applyFont="1" applyFill="1"/>
    <xf numFmtId="0" fontId="67" fillId="2" borderId="0" xfId="3" applyFont="1" applyFill="1"/>
    <xf numFmtId="0" fontId="68" fillId="2" borderId="0" xfId="3" applyFont="1" applyFill="1"/>
    <xf numFmtId="0" fontId="66" fillId="2" borderId="0" xfId="24" applyFont="1" applyFill="1" applyAlignment="1">
      <alignment horizontal="left" vertical="center"/>
    </xf>
    <xf numFmtId="0" fontId="66" fillId="2" borderId="0" xfId="5" applyFont="1" applyFill="1">
      <alignment vertical="center"/>
    </xf>
    <xf numFmtId="0" fontId="41" fillId="2" borderId="0" xfId="5" applyFont="1" applyFill="1">
      <alignment vertical="center"/>
    </xf>
    <xf numFmtId="0" fontId="69" fillId="2" borderId="0" xfId="5" applyFont="1" applyFill="1" applyAlignment="1"/>
    <xf numFmtId="0" fontId="66" fillId="11" borderId="0" xfId="5" applyFont="1" applyFill="1" applyAlignment="1">
      <alignment horizontal="center" vertical="center"/>
    </xf>
    <xf numFmtId="0" fontId="66" fillId="11" borderId="0" xfId="5" applyFont="1" applyFill="1" applyAlignment="1">
      <alignment horizontal="center" vertical="center" wrapText="1"/>
    </xf>
    <xf numFmtId="0" fontId="70" fillId="0" borderId="0" xfId="5" applyFont="1" applyAlignment="1"/>
    <xf numFmtId="0" fontId="70" fillId="0" borderId="1" xfId="5" applyFont="1" applyBorder="1" applyAlignment="1">
      <alignment horizontal="center" vertical="center"/>
    </xf>
    <xf numFmtId="0" fontId="70" fillId="0" borderId="1" xfId="5" quotePrefix="1" applyFont="1" applyBorder="1" applyAlignment="1">
      <alignment horizontal="center" vertical="center"/>
    </xf>
    <xf numFmtId="9" fontId="70" fillId="0" borderId="1" xfId="5" applyNumberFormat="1" applyFont="1" applyBorder="1" applyAlignment="1">
      <alignment horizontal="center" vertical="center"/>
    </xf>
    <xf numFmtId="0" fontId="71" fillId="0" borderId="0" xfId="24" applyFont="1" applyFill="1" applyAlignment="1">
      <alignment horizontal="left" vertical="center"/>
    </xf>
    <xf numFmtId="0" fontId="70" fillId="0" borderId="0" xfId="5" applyFont="1">
      <alignment vertical="center"/>
    </xf>
    <xf numFmtId="187" fontId="70" fillId="0" borderId="0" xfId="5" applyNumberFormat="1" applyFont="1">
      <alignment vertical="center"/>
    </xf>
    <xf numFmtId="0" fontId="69" fillId="0" borderId="0" xfId="5" applyFont="1" applyAlignment="1"/>
    <xf numFmtId="0" fontId="28" fillId="0" borderId="0" xfId="5" applyFont="1" applyAlignment="1"/>
    <xf numFmtId="0" fontId="72" fillId="11" borderId="13" xfId="5" applyFont="1" applyFill="1" applyBorder="1" applyAlignment="1">
      <alignment horizontal="center" vertical="center"/>
    </xf>
    <xf numFmtId="0" fontId="73" fillId="11" borderId="14" xfId="5" applyFont="1" applyFill="1" applyBorder="1" applyAlignment="1">
      <alignment horizontal="center" vertical="center"/>
    </xf>
    <xf numFmtId="0" fontId="73" fillId="11" borderId="15" xfId="5" applyFont="1" applyFill="1" applyBorder="1" applyAlignment="1">
      <alignment horizontal="center" vertical="center"/>
    </xf>
    <xf numFmtId="0" fontId="41" fillId="0" borderId="0" xfId="5" applyFont="1">
      <alignment vertical="center"/>
    </xf>
    <xf numFmtId="0" fontId="74" fillId="0" borderId="1" xfId="5" applyFont="1" applyBorder="1" applyAlignment="1">
      <alignment horizontal="justify" vertical="center"/>
    </xf>
    <xf numFmtId="0" fontId="75" fillId="0" borderId="0" xfId="5" applyFont="1" applyAlignment="1">
      <alignment horizontal="left" vertical="center" wrapText="1"/>
    </xf>
    <xf numFmtId="0" fontId="76" fillId="0" borderId="0" xfId="5" applyFont="1" applyAlignment="1">
      <alignment horizontal="left" vertical="center" wrapText="1"/>
    </xf>
    <xf numFmtId="0" fontId="77" fillId="0" borderId="0" xfId="5" applyFont="1" applyAlignment="1">
      <alignment horizontal="left" vertical="center" wrapText="1"/>
    </xf>
    <xf numFmtId="0" fontId="71" fillId="0" borderId="0" xfId="24" applyFont="1" applyFill="1" applyBorder="1" applyAlignment="1">
      <alignment horizontal="left" vertical="center"/>
    </xf>
    <xf numFmtId="0" fontId="70" fillId="0" borderId="0" xfId="29" applyFont="1" applyAlignment="1">
      <alignment vertical="center"/>
    </xf>
    <xf numFmtId="0" fontId="28" fillId="0" borderId="0" xfId="29" applyFont="1" applyAlignment="1">
      <alignment vertical="center"/>
    </xf>
    <xf numFmtId="0" fontId="41" fillId="2" borderId="0" xfId="3" applyFont="1" applyFill="1"/>
    <xf numFmtId="0" fontId="78" fillId="2" borderId="0" xfId="3" applyFont="1" applyFill="1"/>
    <xf numFmtId="0" fontId="68" fillId="11" borderId="16" xfId="5" applyFont="1" applyFill="1" applyBorder="1" applyAlignment="1">
      <alignment horizontal="left" vertical="center" wrapText="1" readingOrder="1"/>
    </xf>
    <xf numFmtId="0" fontId="68" fillId="11" borderId="16" xfId="5" applyFont="1" applyFill="1" applyBorder="1" applyAlignment="1">
      <alignment horizontal="center" vertical="center" wrapText="1" readingOrder="1"/>
    </xf>
    <xf numFmtId="0" fontId="63" fillId="0" borderId="0" xfId="5" applyFont="1" applyAlignment="1"/>
    <xf numFmtId="0" fontId="79" fillId="0" borderId="1" xfId="5" applyFont="1" applyBorder="1" applyAlignment="1"/>
    <xf numFmtId="9" fontId="79" fillId="0" borderId="1" xfId="5" applyNumberFormat="1" applyFont="1" applyBorder="1" applyAlignment="1"/>
    <xf numFmtId="188" fontId="79" fillId="0" borderId="0" xfId="5" applyNumberFormat="1" applyFont="1" applyAlignment="1"/>
    <xf numFmtId="179" fontId="79" fillId="0" borderId="1" xfId="5" applyNumberFormat="1" applyFont="1" applyBorder="1" applyAlignment="1"/>
    <xf numFmtId="179" fontId="79" fillId="0" borderId="0" xfId="5" applyNumberFormat="1" applyFont="1" applyAlignment="1"/>
    <xf numFmtId="0" fontId="79" fillId="0" borderId="0" xfId="3" applyFont="1"/>
    <xf numFmtId="0" fontId="79" fillId="0" borderId="0" xfId="35" applyFont="1" applyAlignment="1"/>
    <xf numFmtId="9" fontId="82" fillId="4" borderId="0" xfId="36" applyNumberFormat="1" applyFont="1" applyFill="1" applyAlignment="1">
      <alignment horizontal="center" vertical="center" wrapText="1" readingOrder="1"/>
    </xf>
    <xf numFmtId="0" fontId="79" fillId="0" borderId="0" xfId="2" applyFont="1"/>
    <xf numFmtId="0" fontId="68" fillId="2" borderId="0" xfId="2" applyFont="1" applyFill="1" applyAlignment="1">
      <alignment vertical="center"/>
    </xf>
    <xf numFmtId="0" fontId="79" fillId="2" borderId="0" xfId="2" applyFont="1" applyFill="1"/>
    <xf numFmtId="0" fontId="73" fillId="11" borderId="17" xfId="2" applyFont="1" applyFill="1" applyBorder="1" applyAlignment="1">
      <alignment vertical="center" wrapText="1"/>
    </xf>
    <xf numFmtId="0" fontId="73" fillId="11" borderId="18" xfId="2" applyFont="1" applyFill="1" applyBorder="1" applyAlignment="1">
      <alignment horizontal="right" vertical="center" wrapText="1"/>
    </xf>
    <xf numFmtId="0" fontId="73" fillId="11" borderId="19" xfId="2" applyFont="1" applyFill="1" applyBorder="1" applyAlignment="1">
      <alignment horizontal="right" vertical="center" wrapText="1"/>
    </xf>
    <xf numFmtId="0" fontId="83" fillId="12" borderId="20" xfId="2" applyFont="1" applyFill="1" applyBorder="1" applyAlignment="1">
      <alignment vertical="center" wrapText="1"/>
    </xf>
    <xf numFmtId="0" fontId="73" fillId="12" borderId="21" xfId="2" applyFont="1" applyFill="1" applyBorder="1" applyAlignment="1">
      <alignment vertical="center" wrapText="1"/>
    </xf>
    <xf numFmtId="0" fontId="73" fillId="12" borderId="22" xfId="2" applyFont="1" applyFill="1" applyBorder="1" applyAlignment="1">
      <alignment vertical="center" wrapText="1"/>
    </xf>
    <xf numFmtId="0" fontId="74" fillId="0" borderId="20" xfId="2" applyFont="1" applyBorder="1" applyAlignment="1">
      <alignment vertical="center" wrapText="1"/>
    </xf>
    <xf numFmtId="0" fontId="74" fillId="0" borderId="21" xfId="2" applyFont="1" applyBorder="1" applyAlignment="1">
      <alignment vertical="center" wrapText="1"/>
    </xf>
    <xf numFmtId="0" fontId="74" fillId="0" borderId="22" xfId="2" applyFont="1" applyBorder="1" applyAlignment="1">
      <alignment vertical="center" wrapText="1"/>
    </xf>
    <xf numFmtId="10" fontId="74" fillId="0" borderId="21" xfId="2" applyNumberFormat="1" applyFont="1" applyBorder="1" applyAlignment="1">
      <alignment vertical="center" wrapText="1"/>
    </xf>
    <xf numFmtId="10" fontId="74" fillId="0" borderId="22" xfId="2" applyNumberFormat="1" applyFont="1" applyBorder="1" applyAlignment="1">
      <alignment vertical="center" wrapText="1"/>
    </xf>
    <xf numFmtId="9" fontId="74" fillId="0" borderId="21" xfId="2" applyNumberFormat="1" applyFont="1" applyBorder="1" applyAlignment="1">
      <alignment vertical="center" wrapText="1"/>
    </xf>
    <xf numFmtId="9" fontId="74" fillId="0" borderId="22" xfId="2" applyNumberFormat="1" applyFont="1" applyBorder="1" applyAlignment="1">
      <alignment vertical="center" wrapText="1"/>
    </xf>
    <xf numFmtId="0" fontId="10" fillId="0" borderId="21" xfId="2" applyBorder="1"/>
    <xf numFmtId="0" fontId="83" fillId="12" borderId="23" xfId="2" applyFont="1" applyFill="1" applyBorder="1" applyAlignment="1">
      <alignment vertical="center" wrapText="1"/>
    </xf>
    <xf numFmtId="0" fontId="74" fillId="12" borderId="24" xfId="2" applyFont="1" applyFill="1" applyBorder="1" applyAlignment="1">
      <alignment vertical="center" wrapText="1"/>
    </xf>
    <xf numFmtId="0" fontId="83" fillId="12" borderId="24" xfId="2" applyFont="1" applyFill="1" applyBorder="1" applyAlignment="1">
      <alignment vertical="center" wrapText="1"/>
    </xf>
    <xf numFmtId="0" fontId="83" fillId="12" borderId="25" xfId="2" applyFont="1" applyFill="1" applyBorder="1" applyAlignment="1">
      <alignment vertical="center" wrapText="1"/>
    </xf>
    <xf numFmtId="0" fontId="68" fillId="2" borderId="0" xfId="3" applyFont="1" applyFill="1" applyAlignment="1">
      <alignment horizontal="left"/>
    </xf>
    <xf numFmtId="0" fontId="84" fillId="11" borderId="26" xfId="2" applyFont="1" applyFill="1" applyBorder="1" applyAlignment="1">
      <alignment horizontal="left" vertical="center" wrapText="1"/>
    </xf>
    <xf numFmtId="0" fontId="84" fillId="11" borderId="27" xfId="2" applyFont="1" applyFill="1" applyBorder="1" applyAlignment="1">
      <alignment horizontal="left" vertical="center" wrapText="1"/>
    </xf>
    <xf numFmtId="0" fontId="84" fillId="11" borderId="28" xfId="2" applyFont="1" applyFill="1" applyBorder="1" applyAlignment="1">
      <alignment vertical="center" wrapText="1"/>
    </xf>
    <xf numFmtId="0" fontId="84" fillId="11" borderId="0" xfId="2" applyFont="1" applyFill="1" applyAlignment="1">
      <alignment vertical="center" wrapText="1"/>
    </xf>
    <xf numFmtId="0" fontId="10" fillId="3" borderId="0" xfId="2" applyFill="1"/>
    <xf numFmtId="0" fontId="10" fillId="0" borderId="0" xfId="2"/>
    <xf numFmtId="0" fontId="85" fillId="3" borderId="29" xfId="2" applyFont="1" applyFill="1" applyBorder="1" applyAlignment="1">
      <alignment horizontal="left" vertical="center" wrapText="1"/>
    </xf>
    <xf numFmtId="0" fontId="85" fillId="3" borderId="30" xfId="2" applyFont="1" applyFill="1" applyBorder="1" applyAlignment="1">
      <alignment horizontal="left" vertical="center" wrapText="1"/>
    </xf>
    <xf numFmtId="0" fontId="85" fillId="3" borderId="1" xfId="2" applyFont="1" applyFill="1" applyBorder="1" applyAlignment="1">
      <alignment horizontal="left" vertical="center" wrapText="1"/>
    </xf>
    <xf numFmtId="0" fontId="85" fillId="3" borderId="33" xfId="2" applyFont="1" applyFill="1" applyBorder="1" applyAlignment="1">
      <alignment horizontal="left" vertical="center" wrapText="1"/>
    </xf>
    <xf numFmtId="0" fontId="85" fillId="3" borderId="34" xfId="2" applyFont="1" applyFill="1" applyBorder="1" applyAlignment="1">
      <alignment horizontal="left" vertical="center" wrapText="1"/>
    </xf>
    <xf numFmtId="0" fontId="10" fillId="3" borderId="0" xfId="2" applyFill="1" applyAlignment="1">
      <alignment horizontal="left"/>
    </xf>
    <xf numFmtId="0" fontId="79" fillId="0" borderId="0" xfId="5" applyFont="1" applyAlignment="1"/>
    <xf numFmtId="0" fontId="68" fillId="2" borderId="0" xfId="5" applyFont="1" applyFill="1">
      <alignment vertical="center"/>
    </xf>
    <xf numFmtId="0" fontId="79" fillId="2" borderId="0" xfId="5" applyFont="1" applyFill="1" applyAlignment="1"/>
    <xf numFmtId="0" fontId="73" fillId="11" borderId="0" xfId="5" applyFont="1" applyFill="1" applyAlignment="1">
      <alignment horizontal="left" wrapText="1"/>
    </xf>
    <xf numFmtId="0" fontId="73" fillId="11" borderId="0" xfId="5" applyFont="1" applyFill="1" applyAlignment="1">
      <alignment horizontal="left" vertical="top" wrapText="1"/>
    </xf>
    <xf numFmtId="0" fontId="74" fillId="0" borderId="1" xfId="5" applyFont="1" applyBorder="1" applyAlignment="1">
      <alignment horizontal="justify" vertical="top" wrapText="1"/>
    </xf>
    <xf numFmtId="0" fontId="70" fillId="0" borderId="1" xfId="5" applyFont="1" applyBorder="1" applyAlignment="1">
      <alignment horizontal="justify" vertical="top" wrapText="1"/>
    </xf>
    <xf numFmtId="0" fontId="73" fillId="11" borderId="14" xfId="5" applyFont="1" applyFill="1" applyBorder="1" applyAlignment="1">
      <alignment horizontal="center" vertical="center" wrapText="1"/>
    </xf>
    <xf numFmtId="0" fontId="74" fillId="0" borderId="1" xfId="5" applyFont="1" applyBorder="1" applyAlignment="1">
      <alignment horizontal="left" vertical="center" wrapText="1"/>
    </xf>
    <xf numFmtId="0" fontId="70" fillId="0" borderId="1" xfId="29" applyFont="1" applyBorder="1" applyAlignment="1">
      <alignment horizontal="left" vertical="center" wrapText="1"/>
    </xf>
    <xf numFmtId="0" fontId="74" fillId="0" borderId="35" xfId="5" applyFont="1" applyBorder="1" applyAlignment="1">
      <alignment horizontal="left"/>
    </xf>
    <xf numFmtId="0" fontId="74" fillId="0" borderId="36" xfId="5" applyFont="1" applyBorder="1" applyAlignment="1">
      <alignment horizontal="left"/>
    </xf>
    <xf numFmtId="0" fontId="66" fillId="11" borderId="4" xfId="29" applyFont="1" applyFill="1" applyBorder="1" applyAlignment="1">
      <alignment horizontal="center" vertical="center" wrapText="1"/>
    </xf>
    <xf numFmtId="0" fontId="70" fillId="0" borderId="3" xfId="29" applyFont="1" applyBorder="1" applyAlignment="1">
      <alignment horizontal="left" vertical="center" wrapText="1"/>
    </xf>
    <xf numFmtId="0" fontId="79" fillId="0" borderId="0" xfId="5" applyFont="1" applyAlignment="1">
      <alignment horizontal="left" vertical="center"/>
    </xf>
    <xf numFmtId="0" fontId="73" fillId="11" borderId="37" xfId="5" applyFont="1" applyFill="1" applyBorder="1" applyAlignment="1">
      <alignment horizontal="left" wrapText="1"/>
    </xf>
    <xf numFmtId="0" fontId="88" fillId="11" borderId="37" xfId="5" applyFont="1" applyFill="1" applyBorder="1" applyAlignment="1">
      <alignment horizontal="left" wrapText="1"/>
    </xf>
    <xf numFmtId="0" fontId="82" fillId="0" borderId="1" xfId="5" applyFont="1" applyBorder="1" applyAlignment="1">
      <alignment horizontal="justify" vertical="top" wrapText="1"/>
    </xf>
    <xf numFmtId="0" fontId="79" fillId="0" borderId="0" xfId="5" applyFont="1">
      <alignment vertical="center"/>
    </xf>
    <xf numFmtId="0" fontId="79" fillId="3" borderId="0" xfId="5" applyFont="1" applyFill="1" applyAlignment="1"/>
    <xf numFmtId="0" fontId="73" fillId="11" borderId="37" xfId="5" applyFont="1" applyFill="1" applyBorder="1" applyAlignment="1">
      <alignment horizontal="justify" vertical="top" wrapText="1"/>
    </xf>
    <xf numFmtId="0" fontId="74" fillId="3" borderId="1" xfId="5" applyFont="1" applyFill="1" applyBorder="1" applyAlignment="1">
      <alignment horizontal="left" vertical="center" wrapText="1"/>
    </xf>
    <xf numFmtId="0" fontId="82" fillId="3" borderId="1" xfId="5" applyFont="1" applyFill="1" applyBorder="1" applyAlignment="1">
      <alignment horizontal="left" vertical="center" wrapText="1"/>
    </xf>
    <xf numFmtId="0" fontId="19" fillId="7" borderId="8" xfId="11" applyFont="1" applyFill="1" applyBorder="1" applyAlignment="1">
      <alignment horizontal="center" vertical="center"/>
    </xf>
    <xf numFmtId="0" fontId="19" fillId="7" borderId="11" xfId="11" applyFont="1" applyFill="1" applyBorder="1" applyAlignment="1">
      <alignment horizontal="center" vertical="center"/>
    </xf>
    <xf numFmtId="0" fontId="28" fillId="2" borderId="0" xfId="5" applyFont="1" applyFill="1">
      <alignment vertical="center"/>
    </xf>
    <xf numFmtId="0" fontId="41" fillId="2" borderId="0" xfId="5" applyFont="1" applyFill="1" applyAlignment="1">
      <alignment horizontal="left" vertical="center" wrapText="1"/>
    </xf>
    <xf numFmtId="0" fontId="41" fillId="0" borderId="0" xfId="5" applyFont="1" applyAlignment="1">
      <alignment horizontal="left" vertical="center" wrapText="1"/>
    </xf>
    <xf numFmtId="0" fontId="6" fillId="0" borderId="0" xfId="5" applyFont="1">
      <alignment vertical="center"/>
    </xf>
    <xf numFmtId="0" fontId="28" fillId="0" borderId="0" xfId="5" applyFont="1" applyAlignment="1">
      <alignment horizontal="center" vertical="center"/>
    </xf>
    <xf numFmtId="4" fontId="28" fillId="0" borderId="0" xfId="5" applyNumberFormat="1" applyFont="1" applyAlignment="1">
      <alignment horizontal="center" vertical="center"/>
    </xf>
    <xf numFmtId="0" fontId="14" fillId="0" borderId="0" xfId="5" applyFont="1">
      <alignment vertical="center"/>
    </xf>
    <xf numFmtId="0" fontId="14" fillId="2" borderId="0" xfId="5" applyFont="1" applyFill="1">
      <alignment vertical="center"/>
    </xf>
    <xf numFmtId="179" fontId="28" fillId="0" borderId="1" xfId="0" applyNumberFormat="1" applyFont="1" applyBorder="1" applyAlignment="1">
      <alignment horizontal="center" vertical="center" wrapText="1"/>
    </xf>
    <xf numFmtId="0" fontId="28" fillId="0" borderId="1" xfId="5" applyFont="1" applyBorder="1" applyAlignment="1">
      <alignment horizontal="left" vertical="center" wrapText="1"/>
    </xf>
    <xf numFmtId="0" fontId="28" fillId="0" borderId="0" xfId="5" applyFont="1" applyAlignment="1">
      <alignment horizontal="left" vertical="center" wrapText="1"/>
    </xf>
    <xf numFmtId="0" fontId="28" fillId="2" borderId="0" xfId="5" applyFont="1" applyFill="1" applyAlignment="1">
      <alignment horizontal="left" vertical="center"/>
    </xf>
    <xf numFmtId="0" fontId="14" fillId="0" borderId="0" xfId="5" applyFont="1" applyAlignment="1">
      <alignment horizontal="left" vertical="center"/>
    </xf>
    <xf numFmtId="0" fontId="6" fillId="0" borderId="0" xfId="5" applyFont="1" applyAlignment="1">
      <alignment horizontal="right" vertical="center"/>
    </xf>
    <xf numFmtId="0" fontId="28" fillId="0" borderId="0" xfId="5" applyFont="1" applyAlignment="1">
      <alignment horizontal="right" vertical="center"/>
    </xf>
    <xf numFmtId="0" fontId="14" fillId="0" borderId="0" xfId="5" applyFont="1" applyAlignment="1">
      <alignment horizontal="right" vertical="center"/>
    </xf>
    <xf numFmtId="0" fontId="61" fillId="5" borderId="0" xfId="0" applyFont="1" applyFill="1" applyAlignment="1"/>
    <xf numFmtId="10" fontId="48" fillId="0" borderId="1" xfId="0" applyNumberFormat="1" applyFont="1" applyBorder="1" applyAlignment="1">
      <alignment horizontal="center"/>
    </xf>
    <xf numFmtId="179" fontId="48" fillId="10" borderId="1" xfId="0" applyNumberFormat="1" applyFont="1" applyFill="1" applyBorder="1" applyAlignment="1">
      <alignment horizontal="center"/>
    </xf>
    <xf numFmtId="189" fontId="28" fillId="0" borderId="1" xfId="0" applyNumberFormat="1" applyFont="1" applyBorder="1" applyAlignment="1">
      <alignment horizontal="center" vertical="center"/>
    </xf>
    <xf numFmtId="10" fontId="28" fillId="10" borderId="1" xfId="0" applyNumberFormat="1" applyFont="1" applyFill="1" applyBorder="1" applyAlignment="1">
      <alignment horizontal="center" vertical="center"/>
    </xf>
    <xf numFmtId="10" fontId="48" fillId="13" borderId="1" xfId="0" applyNumberFormat="1" applyFont="1" applyFill="1" applyBorder="1" applyAlignment="1">
      <alignment horizontal="center"/>
    </xf>
    <xf numFmtId="10" fontId="28" fillId="10" borderId="1" xfId="0" applyNumberFormat="1" applyFont="1" applyFill="1" applyBorder="1">
      <alignment vertical="center"/>
    </xf>
    <xf numFmtId="179" fontId="28" fillId="0" borderId="1" xfId="0" applyNumberFormat="1" applyFont="1" applyBorder="1" applyAlignment="1">
      <alignment horizontal="center" vertical="center"/>
    </xf>
    <xf numFmtId="179" fontId="42" fillId="10" borderId="8" xfId="0" applyNumberFormat="1" applyFont="1" applyFill="1" applyBorder="1" applyAlignment="1">
      <alignment horizontal="right"/>
    </xf>
    <xf numFmtId="179" fontId="42" fillId="10" borderId="9" xfId="0" applyNumberFormat="1" applyFont="1" applyFill="1" applyBorder="1" applyAlignment="1">
      <alignment horizontal="right"/>
    </xf>
    <xf numFmtId="4" fontId="37" fillId="0" borderId="8" xfId="0" applyNumberFormat="1" applyFont="1" applyBorder="1" applyAlignment="1">
      <alignment horizontal="right"/>
    </xf>
    <xf numFmtId="4" fontId="37" fillId="0" borderId="9" xfId="0" applyNumberFormat="1" applyFont="1" applyBorder="1" applyAlignment="1">
      <alignment horizontal="right"/>
    </xf>
    <xf numFmtId="2" fontId="42" fillId="10" borderId="6" xfId="0" applyNumberFormat="1" applyFont="1" applyFill="1" applyBorder="1" applyAlignment="1">
      <alignment horizontal="right"/>
    </xf>
    <xf numFmtId="4" fontId="37" fillId="0" borderId="6" xfId="0" applyNumberFormat="1" applyFont="1" applyBorder="1" applyAlignment="1">
      <alignment horizontal="right"/>
    </xf>
    <xf numFmtId="0" fontId="43" fillId="0" borderId="11" xfId="0" applyFont="1" applyBorder="1" applyAlignment="1">
      <alignment horizontal="right"/>
    </xf>
    <xf numFmtId="178" fontId="43" fillId="0" borderId="0" xfId="1" applyNumberFormat="1" applyFont="1" applyBorder="1" applyAlignment="1">
      <alignment horizontal="right"/>
    </xf>
    <xf numFmtId="9" fontId="43" fillId="0" borderId="0" xfId="1" applyFont="1" applyFill="1" applyBorder="1" applyAlignment="1">
      <alignment horizontal="right"/>
    </xf>
    <xf numFmtId="9" fontId="43" fillId="0" borderId="6" xfId="1" applyFont="1" applyFill="1" applyBorder="1" applyAlignment="1">
      <alignment horizontal="right"/>
    </xf>
    <xf numFmtId="2" fontId="35" fillId="0" borderId="6" xfId="0" applyNumberFormat="1" applyFont="1" applyBorder="1" applyAlignment="1">
      <alignment horizontal="right"/>
    </xf>
    <xf numFmtId="179" fontId="35" fillId="0" borderId="6" xfId="0" applyNumberFormat="1" applyFont="1" applyBorder="1" applyAlignment="1">
      <alignment horizontal="right"/>
    </xf>
    <xf numFmtId="178" fontId="43" fillId="10" borderId="6" xfId="0" applyNumberFormat="1" applyFont="1" applyFill="1" applyBorder="1" applyAlignment="1">
      <alignment horizontal="right"/>
    </xf>
    <xf numFmtId="179" fontId="35" fillId="0" borderId="0" xfId="1" applyNumberFormat="1" applyFont="1" applyBorder="1" applyAlignment="1">
      <alignment horizontal="right"/>
    </xf>
    <xf numFmtId="179" fontId="35" fillId="0" borderId="6" xfId="1" applyNumberFormat="1" applyFont="1" applyBorder="1" applyAlignment="1">
      <alignment horizontal="right"/>
    </xf>
    <xf numFmtId="178" fontId="43" fillId="10" borderId="0" xfId="1" applyNumberFormat="1" applyFont="1" applyFill="1" applyBorder="1" applyAlignment="1">
      <alignment horizontal="right"/>
    </xf>
    <xf numFmtId="178" fontId="43" fillId="10" borderId="6" xfId="1" applyNumberFormat="1" applyFont="1" applyFill="1" applyBorder="1" applyAlignment="1">
      <alignment horizontal="right"/>
    </xf>
    <xf numFmtId="10" fontId="43" fillId="0" borderId="0" xfId="1" applyNumberFormat="1" applyFont="1" applyBorder="1" applyAlignment="1">
      <alignment horizontal="right"/>
    </xf>
    <xf numFmtId="178" fontId="43" fillId="0" borderId="11" xfId="0" applyNumberFormat="1" applyFont="1" applyBorder="1" applyAlignment="1">
      <alignment horizontal="right"/>
    </xf>
    <xf numFmtId="178" fontId="43" fillId="0" borderId="12" xfId="0" applyNumberFormat="1" applyFont="1" applyBorder="1" applyAlignment="1">
      <alignment horizontal="right"/>
    </xf>
    <xf numFmtId="179" fontId="35" fillId="10" borderId="6" xfId="0" applyNumberFormat="1" applyFont="1" applyFill="1" applyBorder="1" applyAlignment="1">
      <alignment horizontal="right"/>
    </xf>
    <xf numFmtId="178" fontId="43" fillId="0" borderId="6" xfId="1" applyNumberFormat="1" applyFont="1" applyBorder="1" applyAlignment="1">
      <alignment horizontal="right"/>
    </xf>
    <xf numFmtId="179" fontId="37" fillId="0" borderId="8" xfId="1" applyNumberFormat="1" applyFont="1" applyBorder="1" applyAlignment="1">
      <alignment horizontal="right"/>
    </xf>
    <xf numFmtId="178" fontId="43" fillId="0" borderId="11" xfId="1" applyNumberFormat="1" applyFont="1" applyBorder="1" applyAlignment="1">
      <alignment horizontal="right"/>
    </xf>
    <xf numFmtId="178" fontId="43" fillId="0" borderId="12" xfId="1" applyNumberFormat="1" applyFont="1" applyBorder="1" applyAlignment="1">
      <alignment horizontal="right"/>
    </xf>
    <xf numFmtId="179" fontId="37" fillId="0" borderId="8" xfId="0" applyNumberFormat="1" applyFont="1" applyBorder="1" applyAlignment="1">
      <alignment horizontal="right"/>
    </xf>
    <xf numFmtId="179" fontId="35" fillId="0" borderId="0" xfId="0" applyNumberFormat="1" applyFont="1" applyAlignment="1">
      <alignment horizontal="right"/>
    </xf>
    <xf numFmtId="2" fontId="42" fillId="10" borderId="0" xfId="0" applyNumberFormat="1" applyFont="1" applyFill="1" applyAlignment="1">
      <alignment horizontal="right"/>
    </xf>
    <xf numFmtId="0" fontId="35" fillId="0" borderId="0" xfId="0" applyFont="1" applyAlignment="1">
      <alignment horizontal="right"/>
    </xf>
    <xf numFmtId="179" fontId="37" fillId="0" borderId="0" xfId="0" applyNumberFormat="1" applyFont="1" applyAlignment="1">
      <alignment horizontal="right"/>
    </xf>
    <xf numFmtId="4" fontId="37" fillId="0" borderId="0" xfId="0" applyNumberFormat="1" applyFont="1" applyAlignment="1">
      <alignment horizontal="right"/>
    </xf>
    <xf numFmtId="0" fontId="43" fillId="0" borderId="0" xfId="0" applyFont="1" applyAlignment="1">
      <alignment horizontal="right"/>
    </xf>
    <xf numFmtId="2" fontId="35" fillId="0" borderId="0" xfId="0" applyNumberFormat="1" applyFont="1" applyAlignment="1">
      <alignment horizontal="right"/>
    </xf>
    <xf numFmtId="10" fontId="35" fillId="10" borderId="0" xfId="1" applyNumberFormat="1" applyFont="1" applyFill="1" applyBorder="1">
      <alignment vertical="center"/>
    </xf>
    <xf numFmtId="178" fontId="35" fillId="0" borderId="0" xfId="1" applyNumberFormat="1" applyFont="1" applyBorder="1" applyAlignment="1">
      <alignment horizontal="right"/>
    </xf>
    <xf numFmtId="178" fontId="35" fillId="10" borderId="0" xfId="1" applyNumberFormat="1" applyFont="1" applyFill="1" applyBorder="1" applyAlignment="1">
      <alignment horizontal="right"/>
    </xf>
    <xf numFmtId="2" fontId="35" fillId="3" borderId="0" xfId="0" applyNumberFormat="1" applyFont="1" applyFill="1" applyAlignment="1">
      <alignment horizontal="right" vertical="center"/>
    </xf>
    <xf numFmtId="2" fontId="35" fillId="0" borderId="0" xfId="0" applyNumberFormat="1" applyFont="1">
      <alignment vertical="center"/>
    </xf>
    <xf numFmtId="10" fontId="35" fillId="3" borderId="0" xfId="0" applyNumberFormat="1" applyFont="1" applyFill="1" applyAlignment="1">
      <alignment horizontal="right" vertical="center"/>
    </xf>
    <xf numFmtId="10" fontId="35" fillId="0" borderId="0" xfId="0" applyNumberFormat="1" applyFont="1">
      <alignment vertical="center"/>
    </xf>
    <xf numFmtId="2" fontId="35" fillId="3" borderId="6" xfId="0" applyNumberFormat="1" applyFont="1" applyFill="1" applyBorder="1" applyAlignment="1">
      <alignment horizontal="right" vertical="center"/>
    </xf>
    <xf numFmtId="10" fontId="35" fillId="3" borderId="6" xfId="0" applyNumberFormat="1" applyFont="1" applyFill="1" applyBorder="1" applyAlignment="1">
      <alignment horizontal="right" vertical="center"/>
    </xf>
    <xf numFmtId="2" fontId="35" fillId="0" borderId="0" xfId="0" applyNumberFormat="1" applyFont="1" applyAlignment="1">
      <alignment horizontal="right" vertical="center"/>
    </xf>
    <xf numFmtId="10" fontId="35" fillId="0" borderId="0" xfId="0" applyNumberFormat="1" applyFont="1" applyAlignment="1">
      <alignment horizontal="right" vertical="center"/>
    </xf>
    <xf numFmtId="10" fontId="35" fillId="10" borderId="6" xfId="1" applyNumberFormat="1" applyFont="1" applyFill="1" applyBorder="1">
      <alignment vertical="center"/>
    </xf>
    <xf numFmtId="179" fontId="35" fillId="0" borderId="0" xfId="0" applyNumberFormat="1" applyFont="1" applyAlignment="1">
      <alignment horizontal="right" vertical="center"/>
    </xf>
    <xf numFmtId="179" fontId="35" fillId="0" borderId="6" xfId="0" applyNumberFormat="1" applyFont="1" applyBorder="1" applyAlignment="1">
      <alignment horizontal="right" vertical="center"/>
    </xf>
    <xf numFmtId="10" fontId="35" fillId="0" borderId="6" xfId="0" applyNumberFormat="1" applyFont="1" applyBorder="1" applyAlignment="1">
      <alignment horizontal="right" vertical="center"/>
    </xf>
    <xf numFmtId="10" fontId="35" fillId="0" borderId="0" xfId="1" applyNumberFormat="1" applyFont="1" applyBorder="1" applyAlignment="1">
      <alignment horizontal="right" vertical="center"/>
    </xf>
    <xf numFmtId="10" fontId="35" fillId="0" borderId="6" xfId="1" applyNumberFormat="1" applyFont="1" applyBorder="1" applyAlignment="1">
      <alignment horizontal="right" vertical="center"/>
    </xf>
    <xf numFmtId="0" fontId="36" fillId="2" borderId="0" xfId="0" quotePrefix="1" applyFont="1" applyFill="1" applyAlignment="1">
      <alignment horizontal="center" vertical="center"/>
    </xf>
    <xf numFmtId="0" fontId="37" fillId="0" borderId="0" xfId="0" applyFont="1" applyAlignment="1">
      <alignment horizontal="right"/>
    </xf>
    <xf numFmtId="2" fontId="37" fillId="0" borderId="0" xfId="0" applyNumberFormat="1" applyFont="1" applyAlignment="1">
      <alignment horizontal="right"/>
    </xf>
    <xf numFmtId="176" fontId="37" fillId="0" borderId="0" xfId="0" applyNumberFormat="1" applyFont="1" applyAlignment="1">
      <alignment horizontal="right"/>
    </xf>
    <xf numFmtId="176" fontId="37" fillId="0" borderId="6" xfId="0" applyNumberFormat="1" applyFont="1" applyBorder="1" applyAlignment="1">
      <alignment horizontal="right"/>
    </xf>
    <xf numFmtId="0" fontId="43" fillId="3" borderId="0" xfId="0" applyFont="1" applyFill="1" applyAlignment="1">
      <alignment horizontal="right"/>
    </xf>
    <xf numFmtId="178" fontId="43" fillId="3" borderId="0" xfId="0" applyNumberFormat="1" applyFont="1" applyFill="1" applyAlignment="1">
      <alignment horizontal="right"/>
    </xf>
    <xf numFmtId="176" fontId="35" fillId="0" borderId="0" xfId="0" applyNumberFormat="1" applyFont="1" applyAlignment="1">
      <alignment horizontal="right"/>
    </xf>
    <xf numFmtId="176" fontId="35" fillId="0" borderId="6" xfId="0" applyNumberFormat="1" applyFont="1" applyBorder="1" applyAlignment="1">
      <alignment horizontal="right"/>
    </xf>
    <xf numFmtId="178" fontId="43" fillId="0" borderId="0" xfId="0" applyNumberFormat="1" applyFont="1" applyAlignment="1">
      <alignment horizontal="right"/>
    </xf>
    <xf numFmtId="178" fontId="43" fillId="10" borderId="0" xfId="0" applyNumberFormat="1" applyFont="1" applyFill="1" applyAlignment="1">
      <alignment horizontal="right"/>
    </xf>
    <xf numFmtId="179" fontId="35" fillId="10" borderId="0" xfId="0" applyNumberFormat="1" applyFont="1" applyFill="1" applyAlignment="1">
      <alignment horizontal="right"/>
    </xf>
    <xf numFmtId="178" fontId="35" fillId="10" borderId="6" xfId="1" applyNumberFormat="1" applyFont="1" applyFill="1" applyBorder="1" applyAlignment="1">
      <alignment horizontal="right"/>
    </xf>
    <xf numFmtId="179" fontId="37" fillId="0" borderId="9" xfId="1" applyNumberFormat="1" applyFont="1" applyBorder="1" applyAlignment="1">
      <alignment horizontal="right"/>
    </xf>
    <xf numFmtId="190" fontId="48" fillId="0" borderId="0" xfId="0" applyNumberFormat="1" applyFont="1">
      <alignment vertical="center"/>
    </xf>
    <xf numFmtId="178" fontId="43" fillId="0" borderId="0" xfId="1" applyNumberFormat="1" applyFont="1" applyFill="1" applyBorder="1" applyAlignment="1">
      <alignment horizontal="right"/>
    </xf>
    <xf numFmtId="178" fontId="43" fillId="0" borderId="6" xfId="1" applyNumberFormat="1" applyFont="1" applyFill="1" applyBorder="1" applyAlignment="1">
      <alignment horizontal="right"/>
    </xf>
    <xf numFmtId="0" fontId="5" fillId="2" borderId="0" xfId="0" applyFont="1" applyFill="1" applyAlignment="1">
      <alignment horizontal="center" vertical="center"/>
    </xf>
    <xf numFmtId="0" fontId="7" fillId="0" borderId="0" xfId="18" applyFont="1" applyAlignment="1">
      <alignment horizontal="left" vertical="center"/>
    </xf>
    <xf numFmtId="0" fontId="5" fillId="2" borderId="0" xfId="0" applyFont="1" applyFill="1" applyAlignment="1">
      <alignment horizontal="left" vertical="center" wrapText="1"/>
    </xf>
    <xf numFmtId="0" fontId="5" fillId="2" borderId="0" xfId="5" applyFont="1" applyFill="1" applyAlignment="1">
      <alignment horizontal="left" vertical="center" wrapText="1"/>
    </xf>
    <xf numFmtId="0" fontId="85" fillId="3" borderId="29" xfId="2" applyFont="1" applyFill="1" applyBorder="1" applyAlignment="1">
      <alignment horizontal="left" vertical="center" wrapText="1"/>
    </xf>
    <xf numFmtId="0" fontId="85" fillId="3" borderId="30" xfId="2" applyFont="1" applyFill="1" applyBorder="1" applyAlignment="1">
      <alignment horizontal="left" vertical="center" wrapText="1"/>
    </xf>
    <xf numFmtId="0" fontId="85" fillId="3" borderId="1" xfId="2" applyFont="1" applyFill="1" applyBorder="1" applyAlignment="1">
      <alignment horizontal="left" vertical="center" wrapText="1"/>
    </xf>
    <xf numFmtId="0" fontId="74" fillId="0" borderId="1" xfId="5" applyFont="1" applyBorder="1" applyAlignment="1">
      <alignment horizontal="justify" vertical="top"/>
    </xf>
    <xf numFmtId="0" fontId="82" fillId="0" borderId="36" xfId="5" applyFont="1" applyBorder="1" applyAlignment="1">
      <alignment horizontal="justify" vertical="top"/>
    </xf>
    <xf numFmtId="0" fontId="74" fillId="0" borderId="1" xfId="5" applyFont="1" applyBorder="1" applyAlignment="1">
      <alignment horizontal="left" vertical="top" wrapText="1"/>
    </xf>
    <xf numFmtId="0" fontId="85" fillId="3" borderId="31" xfId="2" applyFont="1" applyFill="1" applyBorder="1" applyAlignment="1">
      <alignment horizontal="left" vertical="center" wrapText="1"/>
    </xf>
    <xf numFmtId="0" fontId="85" fillId="3" borderId="28" xfId="2" applyFont="1" applyFill="1" applyBorder="1" applyAlignment="1">
      <alignment horizontal="left" vertical="center" wrapText="1"/>
    </xf>
    <xf numFmtId="0" fontId="85" fillId="3" borderId="32" xfId="2" applyFont="1" applyFill="1" applyBorder="1" applyAlignment="1">
      <alignment horizontal="left" vertical="center" wrapText="1"/>
    </xf>
    <xf numFmtId="0" fontId="86" fillId="0" borderId="0" xfId="24" applyFont="1" applyFill="1" applyAlignment="1">
      <alignment horizontal="left" vertical="center"/>
    </xf>
    <xf numFmtId="0" fontId="29" fillId="0" borderId="0" xfId="24" applyFont="1" applyFill="1" applyAlignment="1">
      <alignment horizontal="left" vertical="center"/>
    </xf>
    <xf numFmtId="187" fontId="29" fillId="0" borderId="0" xfId="24" applyNumberFormat="1" applyFont="1" applyFill="1" applyAlignment="1">
      <alignment horizontal="left" vertical="center"/>
    </xf>
    <xf numFmtId="0" fontId="73" fillId="11" borderId="0" xfId="5" applyFont="1" applyFill="1" applyAlignment="1">
      <alignment horizontal="left"/>
    </xf>
    <xf numFmtId="0" fontId="88" fillId="11" borderId="0" xfId="5" applyFont="1" applyFill="1" applyAlignment="1">
      <alignment horizontal="left"/>
    </xf>
    <xf numFmtId="0" fontId="73" fillId="11" borderId="0" xfId="5" applyFont="1" applyFill="1" applyAlignment="1">
      <alignment horizontal="center" wrapText="1"/>
    </xf>
    <xf numFmtId="0" fontId="74" fillId="0" borderId="3" xfId="5" applyFont="1" applyBorder="1" applyAlignment="1">
      <alignment horizontal="justify" vertical="top"/>
    </xf>
    <xf numFmtId="0" fontId="82" fillId="0" borderId="3" xfId="5" applyFont="1" applyBorder="1" applyAlignment="1">
      <alignment horizontal="justify" vertical="top"/>
    </xf>
    <xf numFmtId="0" fontId="74" fillId="0" borderId="5" xfId="5" applyFont="1" applyBorder="1" applyAlignment="1">
      <alignment horizontal="left" wrapText="1"/>
    </xf>
    <xf numFmtId="0" fontId="74" fillId="0" borderId="1" xfId="5" applyFont="1" applyBorder="1" applyAlignment="1">
      <alignment horizontal="left" wrapText="1"/>
    </xf>
    <xf numFmtId="0" fontId="70" fillId="0" borderId="0" xfId="5" applyFont="1" applyAlignment="1">
      <alignment horizontal="left" vertical="center" wrapText="1"/>
    </xf>
    <xf numFmtId="0" fontId="82" fillId="0" borderId="1" xfId="5" applyFont="1" applyBorder="1" applyAlignment="1">
      <alignment horizontal="justify" vertical="top"/>
    </xf>
    <xf numFmtId="0" fontId="66" fillId="11" borderId="1" xfId="29" applyFont="1" applyFill="1" applyBorder="1" applyAlignment="1">
      <alignment horizontal="center" vertical="center" wrapText="1"/>
    </xf>
    <xf numFmtId="0" fontId="70" fillId="0" borderId="1" xfId="29" applyFont="1" applyBorder="1" applyAlignment="1">
      <alignment horizontal="left" vertical="center" wrapText="1"/>
    </xf>
    <xf numFmtId="0" fontId="79" fillId="0" borderId="1" xfId="29" applyFont="1" applyBorder="1" applyAlignment="1">
      <alignment horizontal="left" vertical="center" wrapText="1"/>
    </xf>
    <xf numFmtId="0" fontId="89" fillId="0" borderId="0" xfId="5" applyFont="1" applyAlignment="1">
      <alignment horizontal="left" vertical="center" wrapText="1"/>
    </xf>
    <xf numFmtId="0" fontId="28" fillId="0" borderId="0" xfId="0" applyFont="1" applyAlignment="1">
      <alignment horizontal="center" vertical="center"/>
    </xf>
    <xf numFmtId="0" fontId="28" fillId="0" borderId="0" xfId="0" applyFont="1" applyAlignment="1">
      <alignment horizontal="left" vertical="center" wrapText="1"/>
    </xf>
    <xf numFmtId="0" fontId="6" fillId="0" borderId="2" xfId="0" applyFont="1" applyBorder="1" applyAlignment="1">
      <alignment horizontal="center" vertical="top"/>
    </xf>
    <xf numFmtId="0" fontId="6" fillId="0" borderId="0" xfId="0" applyFont="1" applyAlignment="1">
      <alignment horizontal="center" vertical="top"/>
    </xf>
    <xf numFmtId="0" fontId="28" fillId="0" borderId="3" xfId="0" applyFont="1" applyBorder="1" applyAlignment="1">
      <alignment horizontal="left" vertical="center" wrapText="1"/>
    </xf>
    <xf numFmtId="0" fontId="28" fillId="0" borderId="4" xfId="0" applyFont="1" applyBorder="1" applyAlignment="1">
      <alignment horizontal="left" vertical="center" wrapText="1"/>
    </xf>
    <xf numFmtId="0" fontId="28" fillId="0" borderId="5" xfId="0" applyFont="1" applyBorder="1" applyAlignment="1">
      <alignment horizontal="left" vertical="center" wrapText="1"/>
    </xf>
    <xf numFmtId="0" fontId="28" fillId="0" borderId="1" xfId="0" applyFont="1" applyBorder="1" applyAlignment="1">
      <alignment horizontal="left" vertical="center" wrapText="1"/>
    </xf>
    <xf numFmtId="0" fontId="5" fillId="2" borderId="0" xfId="19" applyFont="1" applyFill="1" applyAlignment="1">
      <alignment horizontal="left" vertical="center" wrapText="1"/>
    </xf>
    <xf numFmtId="179" fontId="5" fillId="2" borderId="0" xfId="19" applyNumberFormat="1" applyFont="1" applyFill="1" applyAlignment="1">
      <alignment horizontal="left" vertical="center" wrapText="1"/>
    </xf>
    <xf numFmtId="0" fontId="35" fillId="0" borderId="1" xfId="5" applyFont="1" applyBorder="1" applyAlignment="1">
      <alignment horizontal="center" vertical="center"/>
    </xf>
    <xf numFmtId="0" fontId="6" fillId="0" borderId="1" xfId="5" applyFont="1" applyBorder="1" applyAlignment="1">
      <alignment horizontal="center" vertical="center"/>
    </xf>
    <xf numFmtId="0" fontId="35" fillId="3" borderId="1" xfId="5" applyFont="1" applyFill="1" applyBorder="1" applyAlignment="1">
      <alignment horizontal="center" vertical="center"/>
    </xf>
    <xf numFmtId="0" fontId="35" fillId="0" borderId="0" xfId="5" applyFont="1" applyAlignment="1">
      <alignment horizontal="left" vertical="center" wrapText="1"/>
    </xf>
    <xf numFmtId="0" fontId="28" fillId="0" borderId="1" xfId="5" applyFont="1" applyBorder="1" applyAlignment="1">
      <alignment horizontal="center" vertical="center"/>
    </xf>
    <xf numFmtId="0" fontId="28" fillId="0" borderId="1" xfId="5" applyFont="1" applyBorder="1" applyAlignment="1">
      <alignment horizontal="center" vertical="center" wrapText="1"/>
    </xf>
    <xf numFmtId="0" fontId="28" fillId="0" borderId="3" xfId="5" applyFont="1" applyBorder="1" applyAlignment="1">
      <alignment horizontal="center" vertical="center"/>
    </xf>
    <xf numFmtId="0" fontId="28" fillId="0" borderId="4" xfId="5" applyFont="1" applyBorder="1" applyAlignment="1">
      <alignment horizontal="center" vertical="center"/>
    </xf>
    <xf numFmtId="0" fontId="28" fillId="0" borderId="5" xfId="5" applyFont="1" applyBorder="1" applyAlignment="1">
      <alignment horizontal="center" vertical="center"/>
    </xf>
    <xf numFmtId="0" fontId="28" fillId="0" borderId="3" xfId="5" applyFont="1" applyBorder="1" applyAlignment="1">
      <alignment horizontal="center" vertical="center" wrapText="1"/>
    </xf>
    <xf numFmtId="0" fontId="28" fillId="0" borderId="4" xfId="5" applyFont="1" applyBorder="1" applyAlignment="1">
      <alignment horizontal="center" vertical="center" wrapText="1"/>
    </xf>
    <xf numFmtId="0" fontId="28" fillId="0" borderId="5" xfId="5" applyFont="1" applyBorder="1" applyAlignment="1">
      <alignment horizontal="center" vertical="center" wrapText="1"/>
    </xf>
    <xf numFmtId="0" fontId="6" fillId="0" borderId="3" xfId="5" applyFont="1" applyBorder="1" applyAlignment="1">
      <alignment horizontal="center" vertical="center"/>
    </xf>
    <xf numFmtId="0" fontId="6" fillId="0" borderId="4" xfId="5" applyFont="1" applyBorder="1" applyAlignment="1">
      <alignment horizontal="center" vertical="center"/>
    </xf>
    <xf numFmtId="0" fontId="6" fillId="0" borderId="5" xfId="5" applyFont="1" applyBorder="1" applyAlignment="1">
      <alignment horizontal="center" vertical="center"/>
    </xf>
    <xf numFmtId="0" fontId="28" fillId="0" borderId="3" xfId="0" applyFont="1" applyBorder="1" applyAlignment="1">
      <alignment horizontal="center" vertical="center" wrapText="1"/>
    </xf>
    <xf numFmtId="0" fontId="28" fillId="0" borderId="5" xfId="0" applyFont="1" applyBorder="1" applyAlignment="1">
      <alignment horizontal="center" vertical="center" wrapText="1"/>
    </xf>
    <xf numFmtId="31" fontId="28" fillId="0" borderId="3" xfId="0" applyNumberFormat="1" applyFont="1" applyBorder="1" applyAlignment="1">
      <alignment horizontal="center" vertical="center" wrapText="1"/>
    </xf>
    <xf numFmtId="31" fontId="28" fillId="0" borderId="5" xfId="0" applyNumberFormat="1" applyFont="1" applyBorder="1" applyAlignment="1">
      <alignment horizontal="center" vertical="center" wrapText="1"/>
    </xf>
    <xf numFmtId="31" fontId="28" fillId="0" borderId="1" xfId="0" applyNumberFormat="1" applyFont="1" applyBorder="1" applyAlignment="1">
      <alignment horizontal="center" vertical="center" wrapText="1"/>
    </xf>
    <xf numFmtId="31" fontId="28" fillId="0" borderId="4" xfId="0" applyNumberFormat="1" applyFont="1" applyBorder="1" applyAlignment="1">
      <alignment horizontal="center" vertical="center" wrapText="1"/>
    </xf>
    <xf numFmtId="0" fontId="31" fillId="2" borderId="0" xfId="0" applyFont="1" applyFill="1" applyAlignment="1">
      <alignment horizontal="left" vertical="center" wrapText="1"/>
    </xf>
    <xf numFmtId="0" fontId="17" fillId="2" borderId="0" xfId="0" applyFont="1" applyFill="1" applyAlignment="1">
      <alignment horizontal="left" vertical="center" wrapText="1"/>
    </xf>
    <xf numFmtId="0" fontId="28" fillId="0" borderId="0" xfId="5" applyFont="1" applyAlignment="1">
      <alignment horizontal="left" vertical="center" wrapText="1"/>
    </xf>
  </cellXfs>
  <cellStyles count="37">
    <cellStyle name="Hyperlink" xfId="31" xr:uid="{8D7589FC-C245-4332-B91D-E782289EBB96}"/>
    <cellStyle name="百分比" xfId="1" builtinId="5"/>
    <cellStyle name="百分比 2" xfId="8" xr:uid="{00000000-0005-0000-0000-000001000000}"/>
    <cellStyle name="百分比 2 2" xfId="20" xr:uid="{00000000-0005-0000-0000-000002000000}"/>
    <cellStyle name="百分比 2 2 2" xfId="10" xr:uid="{00000000-0005-0000-0000-000003000000}"/>
    <cellStyle name="百分比 2 2 3" xfId="33" xr:uid="{F84C2392-010A-45D2-9C9C-330AA951C0F5}"/>
    <cellStyle name="百分比 3" xfId="28" xr:uid="{2BE1E246-01F9-4DC6-A490-3E99ACDDD5CD}"/>
    <cellStyle name="百分比 4" xfId="12" xr:uid="{00000000-0005-0000-0000-000004000000}"/>
    <cellStyle name="常规" xfId="0" builtinId="0"/>
    <cellStyle name="常规 10" xfId="2" xr:uid="{00000000-0005-0000-0000-000006000000}"/>
    <cellStyle name="常规 17" xfId="26" xr:uid="{00000000-0005-0000-0000-000007000000}"/>
    <cellStyle name="常规 2" xfId="3" xr:uid="{00000000-0005-0000-0000-000008000000}"/>
    <cellStyle name="常规 2 2" xfId="23" xr:uid="{00000000-0005-0000-0000-000009000000}"/>
    <cellStyle name="常规 2 2 2" xfId="9" xr:uid="{00000000-0005-0000-0000-00000A000000}"/>
    <cellStyle name="常规 2 2 3" xfId="32" xr:uid="{1DF095CA-0D02-42D5-BB97-2D11E19AF6F2}"/>
    <cellStyle name="常规 2 3 2" xfId="22" xr:uid="{00000000-0005-0000-0000-00000B000000}"/>
    <cellStyle name="常规 3" xfId="5" xr:uid="{00000000-0005-0000-0000-00000C000000}"/>
    <cellStyle name="常规 3 2" xfId="25" xr:uid="{00000000-0005-0000-0000-00000D000000}"/>
    <cellStyle name="常规 3 2 2" xfId="30" xr:uid="{073BE8FB-4D23-46C8-9080-A002D22E7840}"/>
    <cellStyle name="常规 3 2 3" xfId="35" xr:uid="{8E665CAD-1186-48A7-8A31-CAF58ED1D03A}"/>
    <cellStyle name="常规 3 3" xfId="29" xr:uid="{0D49E662-58FF-4116-B6A7-5EFAE37F574F}"/>
    <cellStyle name="常规 4" xfId="7" xr:uid="{00000000-0005-0000-0000-00000E000000}"/>
    <cellStyle name="常规 4 2" xfId="18" xr:uid="{00000000-0005-0000-0000-00000F000000}"/>
    <cellStyle name="常规 4 3" xfId="36" xr:uid="{24F2D56C-415C-4810-A875-B86FCE97469C}"/>
    <cellStyle name="常规 5" xfId="17" xr:uid="{00000000-0005-0000-0000-000010000000}"/>
    <cellStyle name="常规 5 2" xfId="16" xr:uid="{00000000-0005-0000-0000-000011000000}"/>
    <cellStyle name="常规 6" xfId="11" xr:uid="{00000000-0005-0000-0000-000012000000}"/>
    <cellStyle name="常规 6 2" xfId="21" xr:uid="{00000000-0005-0000-0000-000013000000}"/>
    <cellStyle name="常规 7" xfId="19" xr:uid="{00000000-0005-0000-0000-000014000000}"/>
    <cellStyle name="常规 8" xfId="27" xr:uid="{C6D0D0E9-295E-435A-A19F-652962870CB2}"/>
    <cellStyle name="常规 9" xfId="34" xr:uid="{0C5A60A1-6875-41A8-BFF9-0170B37AA654}"/>
    <cellStyle name="超链接" xfId="13" builtinId="8"/>
    <cellStyle name="超链接 2" xfId="14" xr:uid="{00000000-0005-0000-0000-000016000000}"/>
    <cellStyle name="超链接 2 2" xfId="15" xr:uid="{00000000-0005-0000-0000-000017000000}"/>
    <cellStyle name="超链接 3" xfId="24" xr:uid="{00000000-0005-0000-0000-000018000000}"/>
    <cellStyle name="千位分隔 2" xfId="4" xr:uid="{00000000-0005-0000-0000-000019000000}"/>
    <cellStyle name="千位分隔 2 5" xfId="6" xr:uid="{00000000-0005-0000-0000-00001A000000}"/>
  </cellStyles>
  <dxfs count="0"/>
  <tableStyles count="0" defaultTableStyle="TableStyleMedium2" defaultPivotStyle="PivotStyleLight16"/>
  <colors>
    <mruColors>
      <color rgb="FFFFFFCC"/>
      <color rgb="FFF5E9C7"/>
      <color rgb="FFF5E5C7"/>
      <color rgb="FFF1DAB1"/>
      <color rgb="FFF3FDCF"/>
      <color rgb="FFE420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2.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30446;&#24405;!A1"/><Relationship Id="rId1" Type="http://schemas.openxmlformats.org/officeDocument/2006/relationships/image" Target="../media/image1.png"/><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5.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hyperlink" Target="#&#30446;&#24405;!A1"/><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8.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9.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10.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11.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1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30446;&#24405;!A1"/></Relationships>
</file>

<file path=xl/drawings/_rels/drawing13.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14.xml.rels><?xml version="1.0" encoding="UTF-8" standalone="yes"?>
<Relationships xmlns="http://schemas.openxmlformats.org/package/2006/relationships"><Relationship Id="rId1" Type="http://schemas.openxmlformats.org/officeDocument/2006/relationships/hyperlink" Target="#&#30446;&#24405;!A1"/></Relationships>
</file>

<file path=xl/drawings/drawing1.xml><?xml version="1.0" encoding="utf-8"?>
<xdr:wsDr xmlns:xdr="http://schemas.openxmlformats.org/drawingml/2006/spreadsheetDrawing" xmlns:a="http://schemas.openxmlformats.org/drawingml/2006/main">
  <xdr:twoCellAnchor>
    <xdr:from>
      <xdr:col>7</xdr:col>
      <xdr:colOff>541867</xdr:colOff>
      <xdr:row>0</xdr:row>
      <xdr:rowOff>49212</xdr:rowOff>
    </xdr:from>
    <xdr:to>
      <xdr:col>10</xdr:col>
      <xdr:colOff>22162</xdr:colOff>
      <xdr:row>2</xdr:row>
      <xdr:rowOff>113086</xdr:rowOff>
    </xdr:to>
    <xdr:sp macro="" textlink="">
      <xdr:nvSpPr>
        <xdr:cNvPr id="4" name="圆角矩形 7">
          <a:hlinkClick xmlns:r="http://schemas.openxmlformats.org/officeDocument/2006/relationships" r:id="rId1"/>
          <a:extLst>
            <a:ext uri="{FF2B5EF4-FFF2-40B4-BE49-F238E27FC236}">
              <a16:creationId xmlns:a16="http://schemas.microsoft.com/office/drawing/2014/main" id="{00000000-0008-0000-0100-000004000000}"/>
            </a:ext>
          </a:extLst>
        </xdr:cNvPr>
        <xdr:cNvSpPr/>
      </xdr:nvSpPr>
      <xdr:spPr>
        <a:xfrm>
          <a:off x="7786159" y="49212"/>
          <a:ext cx="1417045" cy="402541"/>
        </a:xfrm>
        <a:prstGeom prst="roundRect">
          <a:avLst/>
        </a:prstGeom>
        <a:solidFill>
          <a:srgbClr val="C0504D"/>
        </a:solidFill>
        <a:ln w="25400" cap="flat" cmpd="sng" algn="ctr">
          <a:noFill/>
          <a:prstDash val="solid"/>
        </a:ln>
        <a:effectLst/>
        <a:scene3d>
          <a:camera prst="orthographicFront"/>
          <a:lightRig rig="threePt" dir="t"/>
        </a:scene3d>
        <a:sp3d>
          <a:bevelT w="114300" prst="artDeco"/>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defRPr/>
          </a:pPr>
          <a:r>
            <a:rPr kumimoji="0" lang="zh-CN" altLang="en-US" sz="1600" b="1" i="0" u="none" strike="noStrike" kern="0" cap="none" spc="0" normalizeH="0" baseline="0" noProof="0">
              <a:ln>
                <a:noFill/>
              </a:ln>
              <a:solidFill>
                <a:sysClr val="window" lastClr="FFFFFF"/>
              </a:solidFill>
              <a:effectLst/>
              <a:uLnTx/>
              <a:uFillTx/>
              <a:latin typeface="微软雅黑" panose="020B0503020204020204" pitchFamily="34" charset="-122"/>
              <a:ea typeface="微软雅黑" panose="020B0503020204020204" pitchFamily="34" charset="-122"/>
              <a:cs typeface="+mn-cs"/>
            </a:rPr>
            <a:t>返回目录</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236008</xdr:colOff>
      <xdr:row>0</xdr:row>
      <xdr:rowOff>84667</xdr:rowOff>
    </xdr:from>
    <xdr:to>
      <xdr:col>8</xdr:col>
      <xdr:colOff>781049</xdr:colOff>
      <xdr:row>2</xdr:row>
      <xdr:rowOff>148541</xdr:rowOff>
    </xdr:to>
    <xdr:sp macro="" textlink="">
      <xdr:nvSpPr>
        <xdr:cNvPr id="3" name="圆角矩形 7">
          <a:hlinkClick xmlns:r="http://schemas.openxmlformats.org/officeDocument/2006/relationships" r:id="rId1"/>
          <a:extLst>
            <a:ext uri="{FF2B5EF4-FFF2-40B4-BE49-F238E27FC236}">
              <a16:creationId xmlns:a16="http://schemas.microsoft.com/office/drawing/2014/main" id="{00000000-0008-0000-0200-000003000000}"/>
            </a:ext>
          </a:extLst>
        </xdr:cNvPr>
        <xdr:cNvSpPr/>
      </xdr:nvSpPr>
      <xdr:spPr>
        <a:xfrm>
          <a:off x="7453841" y="84667"/>
          <a:ext cx="1423458" cy="402541"/>
        </a:xfrm>
        <a:prstGeom prst="roundRect">
          <a:avLst/>
        </a:prstGeom>
        <a:solidFill>
          <a:srgbClr val="C0504D"/>
        </a:solidFill>
        <a:ln w="25400" cap="flat" cmpd="sng" algn="ctr">
          <a:noFill/>
          <a:prstDash val="solid"/>
        </a:ln>
        <a:effectLst/>
        <a:scene3d>
          <a:camera prst="orthographicFront"/>
          <a:lightRig rig="threePt" dir="t"/>
        </a:scene3d>
        <a:sp3d>
          <a:bevelT w="114300" prst="artDeco"/>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defRPr/>
          </a:pPr>
          <a:r>
            <a:rPr kumimoji="0" lang="zh-CN" altLang="en-US" sz="1600" b="1" i="0" u="none" strike="noStrike" kern="0" cap="none" spc="0" normalizeH="0" baseline="0" noProof="0">
              <a:ln>
                <a:noFill/>
              </a:ln>
              <a:solidFill>
                <a:sysClr val="window" lastClr="FFFFFF"/>
              </a:solidFill>
              <a:effectLst/>
              <a:uLnTx/>
              <a:uFillTx/>
              <a:latin typeface="微软雅黑" panose="020B0503020204020204" pitchFamily="34" charset="-122"/>
              <a:ea typeface="微软雅黑" panose="020B0503020204020204" pitchFamily="34" charset="-122"/>
              <a:cs typeface="+mn-cs"/>
            </a:rPr>
            <a:t>返回目录</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71041</xdr:colOff>
      <xdr:row>5</xdr:row>
      <xdr:rowOff>56515</xdr:rowOff>
    </xdr:from>
    <xdr:to>
      <xdr:col>1</xdr:col>
      <xdr:colOff>3309541</xdr:colOff>
      <xdr:row>21</xdr:row>
      <xdr:rowOff>8889</xdr:rowOff>
    </xdr:to>
    <xdr:pic>
      <xdr:nvPicPr>
        <xdr:cNvPr id="2" name="图片 1">
          <a:extLst>
            <a:ext uri="{FF2B5EF4-FFF2-40B4-BE49-F238E27FC236}">
              <a16:creationId xmlns:a16="http://schemas.microsoft.com/office/drawing/2014/main" id="{2116E3E6-BC0A-4C60-B7ED-FE085684DCFD}"/>
            </a:ext>
          </a:extLst>
        </xdr:cNvPr>
        <xdr:cNvPicPr>
          <a:picLocks noChangeAspect="1"/>
        </xdr:cNvPicPr>
      </xdr:nvPicPr>
      <xdr:blipFill>
        <a:blip xmlns:r="http://schemas.openxmlformats.org/officeDocument/2006/relationships" r:embed="rId1"/>
        <a:stretch>
          <a:fillRect/>
        </a:stretch>
      </xdr:blipFill>
      <xdr:spPr>
        <a:xfrm>
          <a:off x="71041" y="901065"/>
          <a:ext cx="4864100" cy="2492374"/>
        </a:xfrm>
        <a:prstGeom prst="rect">
          <a:avLst/>
        </a:prstGeom>
        <a:noFill/>
        <a:ln w="9525">
          <a:noFill/>
        </a:ln>
      </xdr:spPr>
    </xdr:pic>
    <xdr:clientData/>
  </xdr:twoCellAnchor>
  <xdr:twoCellAnchor>
    <xdr:from>
      <xdr:col>4</xdr:col>
      <xdr:colOff>333375</xdr:colOff>
      <xdr:row>0</xdr:row>
      <xdr:rowOff>82550</xdr:rowOff>
    </xdr:from>
    <xdr:to>
      <xdr:col>5</xdr:col>
      <xdr:colOff>579904</xdr:colOff>
      <xdr:row>2</xdr:row>
      <xdr:rowOff>146424</xdr:rowOff>
    </xdr:to>
    <xdr:sp macro="" textlink="">
      <xdr:nvSpPr>
        <xdr:cNvPr id="3" name="圆角矩形 7">
          <a:hlinkClick xmlns:r="http://schemas.openxmlformats.org/officeDocument/2006/relationships" r:id="rId2"/>
          <a:extLst>
            <a:ext uri="{FF2B5EF4-FFF2-40B4-BE49-F238E27FC236}">
              <a16:creationId xmlns:a16="http://schemas.microsoft.com/office/drawing/2014/main" id="{164E8580-BA05-4CAA-97A5-3D7CDE80C42C}"/>
            </a:ext>
          </a:extLst>
        </xdr:cNvPr>
        <xdr:cNvSpPr/>
      </xdr:nvSpPr>
      <xdr:spPr>
        <a:xfrm>
          <a:off x="9794875" y="82550"/>
          <a:ext cx="1218079" cy="406774"/>
        </a:xfrm>
        <a:prstGeom prst="roundRect">
          <a:avLst/>
        </a:prstGeom>
        <a:solidFill>
          <a:srgbClr val="C0504D"/>
        </a:solidFill>
        <a:ln w="25400" cap="flat" cmpd="sng" algn="ctr">
          <a:noFill/>
          <a:prstDash val="solid"/>
        </a:ln>
        <a:effectLst/>
        <a:scene3d>
          <a:camera prst="orthographicFront"/>
          <a:lightRig rig="threePt" dir="t"/>
        </a:scene3d>
        <a:sp3d>
          <a:bevelT w="114300" prst="artDeco"/>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defRPr/>
          </a:pPr>
          <a:r>
            <a:rPr kumimoji="0" lang="zh-CN" altLang="en-US" sz="1600" b="1" i="0" u="none" strike="noStrike" kern="0" cap="none" spc="0" normalizeH="0" baseline="0" noProof="0">
              <a:ln>
                <a:noFill/>
              </a:ln>
              <a:solidFill>
                <a:sysClr val="window" lastClr="FFFFFF"/>
              </a:solidFill>
              <a:effectLst/>
              <a:uLnTx/>
              <a:uFillTx/>
              <a:latin typeface="微软雅黑" panose="020B0503020204020204" pitchFamily="34" charset="-122"/>
              <a:ea typeface="微软雅黑" panose="020B0503020204020204" pitchFamily="34" charset="-122"/>
              <a:cs typeface="+mn-cs"/>
            </a:rPr>
            <a:t>返回目录</a:t>
          </a:r>
        </a:p>
      </xdr:txBody>
    </xdr:sp>
    <xdr:clientData/>
  </xdr:twoCellAnchor>
  <xdr:twoCellAnchor editAs="oneCell">
    <xdr:from>
      <xdr:col>0</xdr:col>
      <xdr:colOff>11430</xdr:colOff>
      <xdr:row>41</xdr:row>
      <xdr:rowOff>23495</xdr:rowOff>
    </xdr:from>
    <xdr:to>
      <xdr:col>2</xdr:col>
      <xdr:colOff>8450</xdr:colOff>
      <xdr:row>57</xdr:row>
      <xdr:rowOff>27940</xdr:rowOff>
    </xdr:to>
    <xdr:pic>
      <xdr:nvPicPr>
        <xdr:cNvPr id="4" name="图片 3">
          <a:extLst>
            <a:ext uri="{FF2B5EF4-FFF2-40B4-BE49-F238E27FC236}">
              <a16:creationId xmlns:a16="http://schemas.microsoft.com/office/drawing/2014/main" id="{A6FE56FF-A550-4E4E-B9A1-71092EB7BC32}"/>
            </a:ext>
          </a:extLst>
        </xdr:cNvPr>
        <xdr:cNvPicPr>
          <a:picLocks noChangeAspect="1"/>
        </xdr:cNvPicPr>
      </xdr:nvPicPr>
      <xdr:blipFill>
        <a:blip xmlns:r="http://schemas.openxmlformats.org/officeDocument/2006/relationships" r:embed="rId3"/>
        <a:stretch>
          <a:fillRect/>
        </a:stretch>
      </xdr:blipFill>
      <xdr:spPr>
        <a:xfrm>
          <a:off x="11430" y="9262745"/>
          <a:ext cx="5248470" cy="2830195"/>
        </a:xfrm>
        <a:prstGeom prst="rect">
          <a:avLst/>
        </a:prstGeom>
      </xdr:spPr>
    </xdr:pic>
    <xdr:clientData/>
  </xdr:twoCellAnchor>
  <xdr:oneCellAnchor>
    <xdr:from>
      <xdr:col>0</xdr:col>
      <xdr:colOff>0</xdr:colOff>
      <xdr:row>64</xdr:row>
      <xdr:rowOff>103817</xdr:rowOff>
    </xdr:from>
    <xdr:ext cx="6370624" cy="1978402"/>
    <xdr:pic>
      <xdr:nvPicPr>
        <xdr:cNvPr id="5" name="图片 4">
          <a:extLst>
            <a:ext uri="{FF2B5EF4-FFF2-40B4-BE49-F238E27FC236}">
              <a16:creationId xmlns:a16="http://schemas.microsoft.com/office/drawing/2014/main" id="{8E64D1B3-2A24-499A-94EA-F26CDAC036B1}"/>
            </a:ext>
          </a:extLst>
        </xdr:cNvPr>
        <xdr:cNvPicPr>
          <a:picLocks noChangeAspect="1"/>
        </xdr:cNvPicPr>
      </xdr:nvPicPr>
      <xdr:blipFill>
        <a:blip xmlns:r="http://schemas.openxmlformats.org/officeDocument/2006/relationships" r:embed="rId4"/>
        <a:stretch>
          <a:fillRect/>
        </a:stretch>
      </xdr:blipFill>
      <xdr:spPr>
        <a:xfrm>
          <a:off x="0" y="13464217"/>
          <a:ext cx="6370624" cy="1978402"/>
        </a:xfrm>
        <a:prstGeom prst="rect">
          <a:avLst/>
        </a:prstGeom>
        <a:noFill/>
        <a:ln w="9525">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6</xdr:col>
      <xdr:colOff>606425</xdr:colOff>
      <xdr:row>0</xdr:row>
      <xdr:rowOff>101600</xdr:rowOff>
    </xdr:from>
    <xdr:to>
      <xdr:col>8</xdr:col>
      <xdr:colOff>577850</xdr:colOff>
      <xdr:row>2</xdr:row>
      <xdr:rowOff>165474</xdr:rowOff>
    </xdr:to>
    <xdr:sp macro="" textlink="">
      <xdr:nvSpPr>
        <xdr:cNvPr id="2" name="圆角矩形 7">
          <a:hlinkClick xmlns:r="http://schemas.openxmlformats.org/officeDocument/2006/relationships" r:id="rId1"/>
          <a:extLst>
            <a:ext uri="{FF2B5EF4-FFF2-40B4-BE49-F238E27FC236}">
              <a16:creationId xmlns:a16="http://schemas.microsoft.com/office/drawing/2014/main" id="{3784869D-066C-4B0D-B08A-222C5D0EBB42}"/>
            </a:ext>
          </a:extLst>
        </xdr:cNvPr>
        <xdr:cNvSpPr/>
      </xdr:nvSpPr>
      <xdr:spPr>
        <a:xfrm>
          <a:off x="6416675" y="101600"/>
          <a:ext cx="1279525" cy="406774"/>
        </a:xfrm>
        <a:prstGeom prst="roundRect">
          <a:avLst/>
        </a:prstGeom>
        <a:solidFill>
          <a:srgbClr val="C0504D"/>
        </a:solidFill>
        <a:ln w="25400" cap="flat" cmpd="sng" algn="ctr">
          <a:noFill/>
          <a:prstDash val="solid"/>
        </a:ln>
        <a:effectLst/>
        <a:scene3d>
          <a:camera prst="orthographicFront"/>
          <a:lightRig rig="threePt" dir="t"/>
        </a:scene3d>
        <a:sp3d>
          <a:bevelT w="114300" prst="artDeco"/>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defRPr/>
          </a:pPr>
          <a:r>
            <a:rPr kumimoji="0" lang="zh-CN" altLang="en-US" sz="1600" b="1" i="0" u="none" strike="noStrike" kern="0" cap="none" spc="0" normalizeH="0" baseline="0" noProof="0">
              <a:ln>
                <a:noFill/>
              </a:ln>
              <a:solidFill>
                <a:sysClr val="window" lastClr="FFFFFF"/>
              </a:solidFill>
              <a:effectLst/>
              <a:uLnTx/>
              <a:uFillTx/>
              <a:latin typeface="微软雅黑" panose="020B0503020204020204" pitchFamily="34" charset="-122"/>
              <a:ea typeface="微软雅黑" panose="020B0503020204020204" pitchFamily="34" charset="-122"/>
              <a:cs typeface="+mn-cs"/>
            </a:rPr>
            <a:t>返回目录</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333375</xdr:colOff>
      <xdr:row>0</xdr:row>
      <xdr:rowOff>82550</xdr:rowOff>
    </xdr:from>
    <xdr:to>
      <xdr:col>5</xdr:col>
      <xdr:colOff>579904</xdr:colOff>
      <xdr:row>2</xdr:row>
      <xdr:rowOff>146424</xdr:rowOff>
    </xdr:to>
    <xdr:sp macro="" textlink="">
      <xdr:nvSpPr>
        <xdr:cNvPr id="2" name="圆角矩形 7">
          <a:hlinkClick xmlns:r="http://schemas.openxmlformats.org/officeDocument/2006/relationships" r:id="rId1"/>
          <a:extLst>
            <a:ext uri="{FF2B5EF4-FFF2-40B4-BE49-F238E27FC236}">
              <a16:creationId xmlns:a16="http://schemas.microsoft.com/office/drawing/2014/main" id="{A0A0E154-BDCB-4A8E-9ACA-34E2CD167F81}"/>
            </a:ext>
          </a:extLst>
        </xdr:cNvPr>
        <xdr:cNvSpPr/>
      </xdr:nvSpPr>
      <xdr:spPr>
        <a:xfrm>
          <a:off x="8918575" y="82550"/>
          <a:ext cx="2049929" cy="419474"/>
        </a:xfrm>
        <a:prstGeom prst="roundRect">
          <a:avLst/>
        </a:prstGeom>
        <a:solidFill>
          <a:srgbClr val="C0504D"/>
        </a:solidFill>
        <a:ln w="25400" cap="flat" cmpd="sng" algn="ctr">
          <a:noFill/>
          <a:prstDash val="solid"/>
        </a:ln>
        <a:effectLst/>
        <a:scene3d>
          <a:camera prst="orthographicFront"/>
          <a:lightRig rig="threePt" dir="t"/>
        </a:scene3d>
        <a:sp3d>
          <a:bevelT w="114300" prst="artDeco"/>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defRPr/>
          </a:pPr>
          <a:r>
            <a:rPr kumimoji="0" lang="zh-CN" altLang="en-US" sz="1600" b="1" i="0" u="none" strike="noStrike" kern="0" cap="none" spc="0" normalizeH="0" baseline="0" noProof="0">
              <a:ln>
                <a:noFill/>
              </a:ln>
              <a:solidFill>
                <a:sysClr val="window" lastClr="FFFFFF"/>
              </a:solidFill>
              <a:effectLst/>
              <a:uLnTx/>
              <a:uFillTx/>
              <a:latin typeface="微软雅黑" panose="020B0503020204020204" pitchFamily="34" charset="-122"/>
              <a:ea typeface="微软雅黑" panose="020B0503020204020204" pitchFamily="34" charset="-122"/>
              <a:cs typeface="+mn-cs"/>
            </a:rPr>
            <a:t>返回目录</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3730998</xdr:colOff>
      <xdr:row>0</xdr:row>
      <xdr:rowOff>7471</xdr:rowOff>
    </xdr:from>
    <xdr:to>
      <xdr:col>4</xdr:col>
      <xdr:colOff>524994</xdr:colOff>
      <xdr:row>2</xdr:row>
      <xdr:rowOff>71345</xdr:rowOff>
    </xdr:to>
    <xdr:sp macro="" textlink="">
      <xdr:nvSpPr>
        <xdr:cNvPr id="4" name="圆角矩形 7">
          <a:hlinkClick xmlns:r="http://schemas.openxmlformats.org/officeDocument/2006/relationships" r:id="rId1"/>
          <a:extLst>
            <a:ext uri="{FF2B5EF4-FFF2-40B4-BE49-F238E27FC236}">
              <a16:creationId xmlns:a16="http://schemas.microsoft.com/office/drawing/2014/main" id="{00000000-0008-0000-0D00-000004000000}"/>
            </a:ext>
          </a:extLst>
        </xdr:cNvPr>
        <xdr:cNvSpPr/>
      </xdr:nvSpPr>
      <xdr:spPr>
        <a:xfrm>
          <a:off x="10738410" y="7471"/>
          <a:ext cx="1224055" cy="407521"/>
        </a:xfrm>
        <a:prstGeom prst="roundRect">
          <a:avLst/>
        </a:prstGeom>
        <a:solidFill>
          <a:srgbClr val="C0504D"/>
        </a:solidFill>
        <a:ln w="25400" cap="flat" cmpd="sng" algn="ctr">
          <a:noFill/>
          <a:prstDash val="solid"/>
        </a:ln>
        <a:effectLst/>
        <a:scene3d>
          <a:camera prst="orthographicFront"/>
          <a:lightRig rig="threePt" dir="t"/>
        </a:scene3d>
        <a:sp3d>
          <a:bevelT w="114300" prst="artDeco"/>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defRPr/>
          </a:pPr>
          <a:r>
            <a:rPr kumimoji="0" lang="zh-CN" altLang="en-US" sz="1600" b="1" i="0" u="none" strike="noStrike" kern="0" cap="none" spc="0" normalizeH="0" baseline="0" noProof="0">
              <a:ln>
                <a:noFill/>
              </a:ln>
              <a:solidFill>
                <a:sysClr val="window" lastClr="FFFFFF"/>
              </a:solidFill>
              <a:effectLst/>
              <a:uLnTx/>
              <a:uFillTx/>
              <a:latin typeface="微软雅黑" panose="020B0503020204020204" pitchFamily="34" charset="-122"/>
              <a:ea typeface="微软雅黑" panose="020B0503020204020204" pitchFamily="34" charset="-122"/>
              <a:cs typeface="+mn-cs"/>
            </a:rPr>
            <a:t>返回目录</a:t>
          </a:r>
        </a:p>
      </xdr:txBody>
    </xdr:sp>
    <xdr:clientData/>
  </xdr:twoCellAnchor>
  <xdr:twoCellAnchor editAs="oneCell">
    <xdr:from>
      <xdr:col>5</xdr:col>
      <xdr:colOff>77189</xdr:colOff>
      <xdr:row>14</xdr:row>
      <xdr:rowOff>221</xdr:rowOff>
    </xdr:from>
    <xdr:to>
      <xdr:col>15</xdr:col>
      <xdr:colOff>53440</xdr:colOff>
      <xdr:row>18</xdr:row>
      <xdr:rowOff>297772</xdr:rowOff>
    </xdr:to>
    <xdr:pic>
      <xdr:nvPicPr>
        <xdr:cNvPr id="2" name="图片 1">
          <a:extLst>
            <a:ext uri="{FF2B5EF4-FFF2-40B4-BE49-F238E27FC236}">
              <a16:creationId xmlns:a16="http://schemas.microsoft.com/office/drawing/2014/main" id="{25E7DDB7-7980-64B5-FA0F-BADC37B2EC69}"/>
            </a:ext>
          </a:extLst>
        </xdr:cNvPr>
        <xdr:cNvPicPr>
          <a:picLocks noChangeAspect="1"/>
        </xdr:cNvPicPr>
      </xdr:nvPicPr>
      <xdr:blipFill>
        <a:blip xmlns:r="http://schemas.openxmlformats.org/officeDocument/2006/relationships" r:embed="rId2"/>
        <a:stretch>
          <a:fillRect/>
        </a:stretch>
      </xdr:blipFill>
      <xdr:spPr>
        <a:xfrm>
          <a:off x="14090072" y="5641000"/>
          <a:ext cx="6638308" cy="3082314"/>
        </a:xfrm>
        <a:prstGeom prst="rect">
          <a:avLst/>
        </a:prstGeom>
      </xdr:spPr>
    </xdr:pic>
    <xdr:clientData/>
  </xdr:twoCellAnchor>
  <xdr:twoCellAnchor editAs="oneCell">
    <xdr:from>
      <xdr:col>5</xdr:col>
      <xdr:colOff>225630</xdr:colOff>
      <xdr:row>18</xdr:row>
      <xdr:rowOff>34275</xdr:rowOff>
    </xdr:from>
    <xdr:to>
      <xdr:col>15</xdr:col>
      <xdr:colOff>160317</xdr:colOff>
      <xdr:row>22</xdr:row>
      <xdr:rowOff>382864</xdr:rowOff>
    </xdr:to>
    <xdr:pic>
      <xdr:nvPicPr>
        <xdr:cNvPr id="3" name="图片 2">
          <a:extLst>
            <a:ext uri="{FF2B5EF4-FFF2-40B4-BE49-F238E27FC236}">
              <a16:creationId xmlns:a16="http://schemas.microsoft.com/office/drawing/2014/main" id="{B09B58CA-AED5-45AF-B357-C401A70DBD17}"/>
            </a:ext>
          </a:extLst>
        </xdr:cNvPr>
        <xdr:cNvPicPr>
          <a:picLocks noChangeAspect="1"/>
        </xdr:cNvPicPr>
      </xdr:nvPicPr>
      <xdr:blipFill>
        <a:blip xmlns:r="http://schemas.openxmlformats.org/officeDocument/2006/relationships" r:embed="rId3"/>
        <a:stretch>
          <a:fillRect/>
        </a:stretch>
      </xdr:blipFill>
      <xdr:spPr>
        <a:xfrm>
          <a:off x="14238513" y="8459818"/>
          <a:ext cx="6596744" cy="3442112"/>
        </a:xfrm>
        <a:prstGeom prst="rect">
          <a:avLst/>
        </a:prstGeom>
      </xdr:spPr>
    </xdr:pic>
    <xdr:clientData/>
  </xdr:twoCellAnchor>
  <xdr:twoCellAnchor editAs="oneCell">
    <xdr:from>
      <xdr:col>5</xdr:col>
      <xdr:colOff>195943</xdr:colOff>
      <xdr:row>22</xdr:row>
      <xdr:rowOff>577611</xdr:rowOff>
    </xdr:from>
    <xdr:to>
      <xdr:col>14</xdr:col>
      <xdr:colOff>82072</xdr:colOff>
      <xdr:row>28</xdr:row>
      <xdr:rowOff>504380</xdr:rowOff>
    </xdr:to>
    <xdr:pic>
      <xdr:nvPicPr>
        <xdr:cNvPr id="5" name="图片 4">
          <a:extLst>
            <a:ext uri="{FF2B5EF4-FFF2-40B4-BE49-F238E27FC236}">
              <a16:creationId xmlns:a16="http://schemas.microsoft.com/office/drawing/2014/main" id="{446975D8-7FC3-5ECE-0268-03553DC4194A}"/>
            </a:ext>
          </a:extLst>
        </xdr:cNvPr>
        <xdr:cNvPicPr>
          <a:picLocks noChangeAspect="1"/>
        </xdr:cNvPicPr>
      </xdr:nvPicPr>
      <xdr:blipFill>
        <a:blip xmlns:r="http://schemas.openxmlformats.org/officeDocument/2006/relationships" r:embed="rId4"/>
        <a:stretch>
          <a:fillRect/>
        </a:stretch>
      </xdr:blipFill>
      <xdr:spPr>
        <a:xfrm>
          <a:off x="14208826" y="12096676"/>
          <a:ext cx="5918794" cy="323404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12</xdr:col>
      <xdr:colOff>261620</xdr:colOff>
      <xdr:row>0</xdr:row>
      <xdr:rowOff>74930</xdr:rowOff>
    </xdr:from>
    <xdr:to>
      <xdr:col>14</xdr:col>
      <xdr:colOff>290768</xdr:colOff>
      <xdr:row>2</xdr:row>
      <xdr:rowOff>105361</xdr:rowOff>
    </xdr:to>
    <xdr:sp macro="" textlink="">
      <xdr:nvSpPr>
        <xdr:cNvPr id="3" name="圆角矩形 7">
          <a:hlinkClick xmlns:r="http://schemas.openxmlformats.org/officeDocument/2006/relationships" r:id="rId1"/>
          <a:extLst>
            <a:ext uri="{FF2B5EF4-FFF2-40B4-BE49-F238E27FC236}">
              <a16:creationId xmlns:a16="http://schemas.microsoft.com/office/drawing/2014/main" id="{78A311CB-C0C6-4903-9B0B-FA89AF28F762}"/>
            </a:ext>
          </a:extLst>
        </xdr:cNvPr>
        <xdr:cNvSpPr/>
      </xdr:nvSpPr>
      <xdr:spPr>
        <a:xfrm>
          <a:off x="10453370" y="74930"/>
          <a:ext cx="1572198" cy="373331"/>
        </a:xfrm>
        <a:prstGeom prst="roundRect">
          <a:avLst/>
        </a:prstGeom>
        <a:solidFill>
          <a:srgbClr val="C0504D"/>
        </a:solidFill>
        <a:ln w="25400" cap="flat" cmpd="sng" algn="ctr">
          <a:noFill/>
          <a:prstDash val="solid"/>
        </a:ln>
        <a:effectLst/>
        <a:scene3d>
          <a:camera prst="orthographicFront"/>
          <a:lightRig rig="threePt" dir="t"/>
        </a:scene3d>
        <a:sp3d>
          <a:bevelT w="114300" prst="artDeco"/>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defRPr/>
          </a:pPr>
          <a:r>
            <a:rPr kumimoji="0" lang="zh-CN" altLang="en-US" sz="1600" b="1" i="0" u="none" strike="noStrike" kern="0" cap="none" spc="0" normalizeH="0" baseline="0" noProof="0">
              <a:ln>
                <a:noFill/>
              </a:ln>
              <a:solidFill>
                <a:sysClr val="window" lastClr="FFFFFF"/>
              </a:solidFill>
              <a:effectLst/>
              <a:uLnTx/>
              <a:uFillTx/>
              <a:latin typeface="微软雅黑" panose="020B0503020204020204" pitchFamily="34" charset="-122"/>
              <a:ea typeface="微软雅黑" panose="020B0503020204020204" pitchFamily="34" charset="-122"/>
              <a:cs typeface="+mn-cs"/>
            </a:rPr>
            <a:t>返回目录</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497840</xdr:colOff>
      <xdr:row>0</xdr:row>
      <xdr:rowOff>97790</xdr:rowOff>
    </xdr:from>
    <xdr:to>
      <xdr:col>11</xdr:col>
      <xdr:colOff>526988</xdr:colOff>
      <xdr:row>2</xdr:row>
      <xdr:rowOff>128221</xdr:rowOff>
    </xdr:to>
    <xdr:sp macro="" textlink="">
      <xdr:nvSpPr>
        <xdr:cNvPr id="2" name="圆角矩形 7">
          <a:hlinkClick xmlns:r="http://schemas.openxmlformats.org/officeDocument/2006/relationships" r:id="rId1"/>
          <a:extLst>
            <a:ext uri="{FF2B5EF4-FFF2-40B4-BE49-F238E27FC236}">
              <a16:creationId xmlns:a16="http://schemas.microsoft.com/office/drawing/2014/main" id="{969E03BD-82A2-403F-851C-F9671E80BD3C}"/>
            </a:ext>
          </a:extLst>
        </xdr:cNvPr>
        <xdr:cNvSpPr/>
      </xdr:nvSpPr>
      <xdr:spPr>
        <a:xfrm>
          <a:off x="7441565" y="97790"/>
          <a:ext cx="1572198" cy="373331"/>
        </a:xfrm>
        <a:prstGeom prst="roundRect">
          <a:avLst/>
        </a:prstGeom>
        <a:solidFill>
          <a:srgbClr val="C0504D"/>
        </a:solidFill>
        <a:ln w="25400" cap="flat" cmpd="sng" algn="ctr">
          <a:noFill/>
          <a:prstDash val="solid"/>
        </a:ln>
        <a:effectLst/>
        <a:scene3d>
          <a:camera prst="orthographicFront"/>
          <a:lightRig rig="threePt" dir="t"/>
        </a:scene3d>
        <a:sp3d>
          <a:bevelT w="114300" prst="artDeco"/>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defRPr/>
          </a:pPr>
          <a:r>
            <a:rPr kumimoji="0" lang="zh-CN" altLang="en-US" sz="1600" b="1" i="0" u="none" strike="noStrike" kern="0" cap="none" spc="0" normalizeH="0" baseline="0" noProof="0">
              <a:ln>
                <a:noFill/>
              </a:ln>
              <a:solidFill>
                <a:sysClr val="window" lastClr="FFFFFF"/>
              </a:solidFill>
              <a:effectLst/>
              <a:uLnTx/>
              <a:uFillTx/>
              <a:latin typeface="微软雅黑" panose="020B0503020204020204" pitchFamily="34" charset="-122"/>
              <a:ea typeface="微软雅黑" panose="020B0503020204020204" pitchFamily="34" charset="-122"/>
              <a:cs typeface="+mn-cs"/>
            </a:rPr>
            <a:t>返回目录</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13</xdr:col>
      <xdr:colOff>241935</xdr:colOff>
      <xdr:row>0</xdr:row>
      <xdr:rowOff>60960</xdr:rowOff>
    </xdr:from>
    <xdr:to>
      <xdr:col>15</xdr:col>
      <xdr:colOff>309394</xdr:colOff>
      <xdr:row>2</xdr:row>
      <xdr:rowOff>124834</xdr:rowOff>
    </xdr:to>
    <xdr:sp macro="" textlink="">
      <xdr:nvSpPr>
        <xdr:cNvPr id="2" name="圆角矩形 7">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a:off x="12052935" y="60960"/>
          <a:ext cx="2315359" cy="399154"/>
        </a:xfrm>
        <a:prstGeom prst="roundRect">
          <a:avLst/>
        </a:prstGeom>
        <a:solidFill>
          <a:srgbClr val="C0504D"/>
        </a:solidFill>
        <a:ln w="25400" cap="flat" cmpd="sng" algn="ctr">
          <a:noFill/>
          <a:prstDash val="solid"/>
        </a:ln>
        <a:effectLst/>
        <a:scene3d>
          <a:camera prst="orthographicFront"/>
          <a:lightRig rig="threePt" dir="t"/>
        </a:scene3d>
        <a:sp3d>
          <a:bevelT w="114300" prst="artDeco"/>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defRPr/>
          </a:pPr>
          <a:r>
            <a:rPr kumimoji="0" lang="zh-CN" altLang="en-US" sz="1600" b="1" i="0" u="none" strike="noStrike" kern="0" cap="none" spc="0" normalizeH="0" baseline="0" noProof="0">
              <a:ln>
                <a:noFill/>
              </a:ln>
              <a:solidFill>
                <a:sysClr val="window" lastClr="FFFFFF"/>
              </a:solidFill>
              <a:effectLst/>
              <a:uLnTx/>
              <a:uFillTx/>
              <a:latin typeface="微软雅黑" panose="020B0503020204020204" pitchFamily="34" charset="-122"/>
              <a:ea typeface="微软雅黑" panose="020B0503020204020204" pitchFamily="34" charset="-122"/>
              <a:cs typeface="+mn-cs"/>
            </a:rPr>
            <a:t>返回目录</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361950</xdr:colOff>
      <xdr:row>0</xdr:row>
      <xdr:rowOff>44450</xdr:rowOff>
    </xdr:from>
    <xdr:to>
      <xdr:col>6</xdr:col>
      <xdr:colOff>247164</xdr:colOff>
      <xdr:row>2</xdr:row>
      <xdr:rowOff>108324</xdr:rowOff>
    </xdr:to>
    <xdr:sp macro="" textlink="">
      <xdr:nvSpPr>
        <xdr:cNvPr id="2" name="圆角矩形 7">
          <a:hlinkClick xmlns:r="http://schemas.openxmlformats.org/officeDocument/2006/relationships" r:id="rId1"/>
          <a:extLst>
            <a:ext uri="{FF2B5EF4-FFF2-40B4-BE49-F238E27FC236}">
              <a16:creationId xmlns:a16="http://schemas.microsoft.com/office/drawing/2014/main" id="{EC2D0A57-29A5-4F56-9C37-0C3928C96726}"/>
            </a:ext>
          </a:extLst>
        </xdr:cNvPr>
        <xdr:cNvSpPr/>
      </xdr:nvSpPr>
      <xdr:spPr>
        <a:xfrm>
          <a:off x="5086350" y="44450"/>
          <a:ext cx="1523514" cy="406774"/>
        </a:xfrm>
        <a:prstGeom prst="roundRect">
          <a:avLst/>
        </a:prstGeom>
        <a:solidFill>
          <a:srgbClr val="C0504D"/>
        </a:solidFill>
        <a:ln w="25400" cap="flat" cmpd="sng" algn="ctr">
          <a:noFill/>
          <a:prstDash val="solid"/>
        </a:ln>
        <a:effectLst/>
        <a:scene3d>
          <a:camera prst="orthographicFront"/>
          <a:lightRig rig="threePt" dir="t"/>
        </a:scene3d>
        <a:sp3d>
          <a:bevelT w="114300" prst="artDeco"/>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defRPr/>
          </a:pPr>
          <a:r>
            <a:rPr kumimoji="0" lang="zh-CN" altLang="en-US" sz="1600" b="1" i="0" u="none" strike="noStrike" kern="0" cap="none" spc="0" normalizeH="0" baseline="0" noProof="0">
              <a:ln>
                <a:noFill/>
              </a:ln>
              <a:solidFill>
                <a:sysClr val="window" lastClr="FFFFFF"/>
              </a:solidFill>
              <a:effectLst/>
              <a:uLnTx/>
              <a:uFillTx/>
              <a:latin typeface="微软雅黑" panose="020B0503020204020204" pitchFamily="34" charset="-122"/>
              <a:ea typeface="微软雅黑" panose="020B0503020204020204" pitchFamily="34" charset="-122"/>
              <a:cs typeface="+mn-cs"/>
            </a:rPr>
            <a:t>返回目录</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2263289</xdr:colOff>
      <xdr:row>0</xdr:row>
      <xdr:rowOff>6350</xdr:rowOff>
    </xdr:from>
    <xdr:to>
      <xdr:col>3</xdr:col>
      <xdr:colOff>1919941</xdr:colOff>
      <xdr:row>2</xdr:row>
      <xdr:rowOff>70224</xdr:rowOff>
    </xdr:to>
    <xdr:sp macro="" textlink="">
      <xdr:nvSpPr>
        <xdr:cNvPr id="2" name="圆角矩形 7">
          <a:hlinkClick xmlns:r="http://schemas.openxmlformats.org/officeDocument/2006/relationships" r:id="rId1"/>
          <a:extLst>
            <a:ext uri="{FF2B5EF4-FFF2-40B4-BE49-F238E27FC236}">
              <a16:creationId xmlns:a16="http://schemas.microsoft.com/office/drawing/2014/main" id="{00000000-0008-0000-1200-000002000000}"/>
            </a:ext>
          </a:extLst>
        </xdr:cNvPr>
        <xdr:cNvSpPr/>
      </xdr:nvSpPr>
      <xdr:spPr>
        <a:xfrm flipH="1">
          <a:off x="5117054" y="6350"/>
          <a:ext cx="1920240" cy="422462"/>
        </a:xfrm>
        <a:prstGeom prst="roundRect">
          <a:avLst/>
        </a:prstGeom>
        <a:solidFill>
          <a:srgbClr val="C0504D"/>
        </a:solidFill>
        <a:ln w="25400" cap="flat" cmpd="sng" algn="ctr">
          <a:noFill/>
          <a:prstDash val="solid"/>
        </a:ln>
        <a:effectLst/>
        <a:scene3d>
          <a:camera prst="orthographicFront"/>
          <a:lightRig rig="threePt" dir="t"/>
        </a:scene3d>
        <a:sp3d>
          <a:bevelT w="114300" prst="artDeco"/>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defRPr/>
          </a:pPr>
          <a:r>
            <a:rPr kumimoji="0" lang="zh-CN" altLang="en-US" sz="1600" b="1" i="0" u="none" strike="noStrike" kern="0" cap="none" spc="0" normalizeH="0" baseline="0" noProof="0">
              <a:ln>
                <a:noFill/>
              </a:ln>
              <a:solidFill>
                <a:sysClr val="window" lastClr="FFFFFF"/>
              </a:solidFill>
              <a:effectLst/>
              <a:uLnTx/>
              <a:uFillTx/>
              <a:latin typeface="微软雅黑" panose="020B0503020204020204" pitchFamily="34" charset="-122"/>
              <a:ea typeface="微软雅黑" panose="020B0503020204020204" pitchFamily="34" charset="-122"/>
              <a:cs typeface="+mn-cs"/>
            </a:rPr>
            <a:t>返回目录</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310515</xdr:colOff>
      <xdr:row>0</xdr:row>
      <xdr:rowOff>0</xdr:rowOff>
    </xdr:from>
    <xdr:to>
      <xdr:col>7</xdr:col>
      <xdr:colOff>309394</xdr:colOff>
      <xdr:row>2</xdr:row>
      <xdr:rowOff>63874</xdr:rowOff>
    </xdr:to>
    <xdr:sp macro="" textlink="">
      <xdr:nvSpPr>
        <xdr:cNvPr id="4" name="圆角矩形 7">
          <a:hlinkClick xmlns:r="http://schemas.openxmlformats.org/officeDocument/2006/relationships" r:id="rId1"/>
          <a:extLst>
            <a:ext uri="{FF2B5EF4-FFF2-40B4-BE49-F238E27FC236}">
              <a16:creationId xmlns:a16="http://schemas.microsoft.com/office/drawing/2014/main" id="{00000000-0008-0000-1300-000004000000}"/>
            </a:ext>
          </a:extLst>
        </xdr:cNvPr>
        <xdr:cNvSpPr/>
      </xdr:nvSpPr>
      <xdr:spPr>
        <a:xfrm>
          <a:off x="4966335" y="0"/>
          <a:ext cx="1218079" cy="399154"/>
        </a:xfrm>
        <a:prstGeom prst="roundRect">
          <a:avLst/>
        </a:prstGeom>
        <a:solidFill>
          <a:srgbClr val="C0504D"/>
        </a:solidFill>
        <a:ln w="25400" cap="flat" cmpd="sng" algn="ctr">
          <a:noFill/>
          <a:prstDash val="solid"/>
        </a:ln>
        <a:effectLst/>
        <a:scene3d>
          <a:camera prst="orthographicFront"/>
          <a:lightRig rig="threePt" dir="t"/>
        </a:scene3d>
        <a:sp3d>
          <a:bevelT w="114300" prst="artDeco"/>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defRPr/>
          </a:pPr>
          <a:r>
            <a:rPr kumimoji="0" lang="zh-CN" altLang="en-US" sz="1600" b="1" i="0" u="none" strike="noStrike" kern="0" cap="none" spc="0" normalizeH="0" baseline="0" noProof="0">
              <a:ln>
                <a:noFill/>
              </a:ln>
              <a:solidFill>
                <a:sysClr val="window" lastClr="FFFFFF"/>
              </a:solidFill>
              <a:effectLst/>
              <a:uLnTx/>
              <a:uFillTx/>
              <a:latin typeface="微软雅黑" panose="020B0503020204020204" pitchFamily="34" charset="-122"/>
              <a:ea typeface="微软雅黑" panose="020B0503020204020204" pitchFamily="34" charset="-122"/>
              <a:cs typeface="+mn-cs"/>
            </a:rPr>
            <a:t>返回目录</a:t>
          </a:r>
        </a:p>
      </xdr:txBody>
    </xdr:sp>
    <xdr:clientData/>
  </xdr:twoCellAnchor>
  <xdr:twoCellAnchor editAs="oneCell">
    <xdr:from>
      <xdr:col>0</xdr:col>
      <xdr:colOff>0</xdr:colOff>
      <xdr:row>28</xdr:row>
      <xdr:rowOff>192932</xdr:rowOff>
    </xdr:from>
    <xdr:to>
      <xdr:col>3</xdr:col>
      <xdr:colOff>370232</xdr:colOff>
      <xdr:row>28</xdr:row>
      <xdr:rowOff>3315311</xdr:rowOff>
    </xdr:to>
    <xdr:pic>
      <xdr:nvPicPr>
        <xdr:cNvPr id="2" name="图片 1">
          <a:extLst>
            <a:ext uri="{FF2B5EF4-FFF2-40B4-BE49-F238E27FC236}">
              <a16:creationId xmlns:a16="http://schemas.microsoft.com/office/drawing/2014/main" id="{F9BE117F-60F6-EFEF-AB89-FA7E257C478A}"/>
            </a:ext>
          </a:extLst>
        </xdr:cNvPr>
        <xdr:cNvPicPr>
          <a:picLocks noChangeAspect="1"/>
        </xdr:cNvPicPr>
      </xdr:nvPicPr>
      <xdr:blipFill>
        <a:blip xmlns:r="http://schemas.openxmlformats.org/officeDocument/2006/relationships" r:embed="rId2"/>
        <a:stretch>
          <a:fillRect/>
        </a:stretch>
      </xdr:blipFill>
      <xdr:spPr>
        <a:xfrm>
          <a:off x="0" y="5257408"/>
          <a:ext cx="6077373" cy="312237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5</xdr:col>
      <xdr:colOff>310515</xdr:colOff>
      <xdr:row>0</xdr:row>
      <xdr:rowOff>0</xdr:rowOff>
    </xdr:from>
    <xdr:to>
      <xdr:col>7</xdr:col>
      <xdr:colOff>309394</xdr:colOff>
      <xdr:row>2</xdr:row>
      <xdr:rowOff>63874</xdr:rowOff>
    </xdr:to>
    <xdr:sp macro="" textlink="">
      <xdr:nvSpPr>
        <xdr:cNvPr id="2" name="圆角矩形 7">
          <a:hlinkClick xmlns:r="http://schemas.openxmlformats.org/officeDocument/2006/relationships" r:id="rId1"/>
          <a:extLst>
            <a:ext uri="{FF2B5EF4-FFF2-40B4-BE49-F238E27FC236}">
              <a16:creationId xmlns:a16="http://schemas.microsoft.com/office/drawing/2014/main" id="{00000000-0008-0000-1400-000002000000}"/>
            </a:ext>
          </a:extLst>
        </xdr:cNvPr>
        <xdr:cNvSpPr/>
      </xdr:nvSpPr>
      <xdr:spPr>
        <a:xfrm>
          <a:off x="4638675" y="0"/>
          <a:ext cx="1477159" cy="399154"/>
        </a:xfrm>
        <a:prstGeom prst="roundRect">
          <a:avLst/>
        </a:prstGeom>
        <a:solidFill>
          <a:srgbClr val="C0504D"/>
        </a:solidFill>
        <a:ln w="25400" cap="flat" cmpd="sng" algn="ctr">
          <a:noFill/>
          <a:prstDash val="solid"/>
        </a:ln>
        <a:effectLst/>
        <a:scene3d>
          <a:camera prst="orthographicFront"/>
          <a:lightRig rig="threePt" dir="t"/>
        </a:scene3d>
        <a:sp3d>
          <a:bevelT w="114300" prst="artDeco"/>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defRPr/>
          </a:pPr>
          <a:r>
            <a:rPr kumimoji="0" lang="zh-CN" altLang="en-US" sz="1600" b="1" i="0" u="none" strike="noStrike" kern="0" cap="none" spc="0" normalizeH="0" baseline="0" noProof="0">
              <a:ln>
                <a:noFill/>
              </a:ln>
              <a:solidFill>
                <a:sysClr val="window" lastClr="FFFFFF"/>
              </a:solidFill>
              <a:effectLst/>
              <a:uLnTx/>
              <a:uFillTx/>
              <a:latin typeface="微软雅黑" panose="020B0503020204020204" pitchFamily="34" charset="-122"/>
              <a:ea typeface="微软雅黑" panose="020B0503020204020204" pitchFamily="34" charset="-122"/>
              <a:cs typeface="+mn-cs"/>
            </a:rPr>
            <a:t>返回目录</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7</xdr:col>
      <xdr:colOff>282575</xdr:colOff>
      <xdr:row>0</xdr:row>
      <xdr:rowOff>0</xdr:rowOff>
    </xdr:from>
    <xdr:to>
      <xdr:col>9</xdr:col>
      <xdr:colOff>281454</xdr:colOff>
      <xdr:row>2</xdr:row>
      <xdr:rowOff>63874</xdr:rowOff>
    </xdr:to>
    <xdr:sp macro="" textlink="">
      <xdr:nvSpPr>
        <xdr:cNvPr id="2" name="圆角矩形 7">
          <a:hlinkClick xmlns:r="http://schemas.openxmlformats.org/officeDocument/2006/relationships" r:id="rId1"/>
          <a:extLst>
            <a:ext uri="{FF2B5EF4-FFF2-40B4-BE49-F238E27FC236}">
              <a16:creationId xmlns:a16="http://schemas.microsoft.com/office/drawing/2014/main" id="{7D06E7DC-A2A6-4B6B-856A-6BB1B8380AA9}"/>
            </a:ext>
          </a:extLst>
        </xdr:cNvPr>
        <xdr:cNvSpPr/>
      </xdr:nvSpPr>
      <xdr:spPr>
        <a:xfrm>
          <a:off x="6588125" y="0"/>
          <a:ext cx="1453029" cy="406774"/>
        </a:xfrm>
        <a:prstGeom prst="roundRect">
          <a:avLst/>
        </a:prstGeom>
        <a:solidFill>
          <a:srgbClr val="C0504D"/>
        </a:solidFill>
        <a:ln w="25400" cap="flat" cmpd="sng" algn="ctr">
          <a:noFill/>
          <a:prstDash val="solid"/>
        </a:ln>
        <a:effectLst/>
        <a:scene3d>
          <a:camera prst="orthographicFront"/>
          <a:lightRig rig="threePt" dir="t"/>
        </a:scene3d>
        <a:sp3d>
          <a:bevelT w="114300" prst="artDeco"/>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defRPr/>
          </a:pPr>
          <a:r>
            <a:rPr kumimoji="0" lang="zh-CN" altLang="en-US" sz="1600" b="1" i="0" u="none" strike="noStrike" kern="0" cap="none" spc="0" normalizeH="0" baseline="0" noProof="0">
              <a:ln>
                <a:noFill/>
              </a:ln>
              <a:solidFill>
                <a:sysClr val="window" lastClr="FFFFFF"/>
              </a:solidFill>
              <a:effectLst/>
              <a:uLnTx/>
              <a:uFillTx/>
              <a:latin typeface="微软雅黑" panose="020B0503020204020204" pitchFamily="34" charset="-122"/>
              <a:ea typeface="微软雅黑" panose="020B0503020204020204" pitchFamily="34" charset="-122"/>
              <a:cs typeface="+mn-cs"/>
            </a:rPr>
            <a:t>返回目录</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Ac03hkg0202\deptss\Applic\SOE\WORK\TR\TR-ROAD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TEMP\MasterStat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NTS0016\Rsch1\Bloomberg%20Common\AAA%20Semi%20Bloomberg\other%20dram%20(possibly%20obsole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njgisnap003\groups5\fid23groups\MORTGAGE_RESEARCH\Heike\Data\MasterStat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c03hkg0202\deptss\NA%20APR\Book\Lifecycles\Transplant2%20Lifecycl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168%20&#21335;&#21326;&#22522;&#37329;\2%20&#25968;&#25454;&#24211;\&#30005;&#26032;&#25968;&#25454;&#24211;\&#30005;&#21160;&#36710;\2018&#24180;&#25968;&#25454;&#24211;\&#12304;&#38271;&#27743;&#30005;&#26032;&#12305;&#26032;&#33021;&#28304;&#27773;&#36710;&#25968;&#25454;&#24211;20181207.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ftware/Wind/DataBrowse/XLA/WindFunc.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 road-work file"/>
      <sheetName val="Help"/>
      <sheetName val="All road-compendium file"/>
      <sheetName val="Motorways-compendium file"/>
      <sheetName val="Motorways-work file"/>
      <sheetName val="Check"/>
      <sheetName val="chart_roads"/>
      <sheetName val="chart_motorways"/>
      <sheetName val="User instru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ources"/>
      <sheetName val="GDP"/>
      <sheetName val="Unemp by Edu"/>
      <sheetName val="Willingness"/>
      <sheetName val="Debt Burden"/>
      <sheetName val="ConsCredit"/>
      <sheetName val="Prime&amp;LIBOR"/>
      <sheetName val="Annual BF"/>
      <sheetName val="QuarterlyB"/>
      <sheetName val="Monthly BF"/>
      <sheetName val="Weekly BF"/>
      <sheetName val="Cons Confid"/>
      <sheetName val="Receivables"/>
      <sheetName val="Unemp by Occ"/>
      <sheetName val="Moody"/>
      <sheetName val="still need to fix&amp;update--&gt;"/>
      <sheetName val="Cons Conf Qs"/>
      <sheetName val="Ausubel"/>
      <sheetName val="S&amp;P"/>
      <sheetName val="Charge Offs"/>
      <sheetName val="DLQ"/>
      <sheetName val="Auto Sales BBG"/>
      <sheetName val="US Popul"/>
      <sheetName val="Bankruptcy (BBG)"/>
      <sheetName val="DH where is this from"/>
      <sheetName val="Revolving"/>
      <sheetName val="Nonrevolving"/>
      <sheetName val="Auto Sales"/>
      <sheetName val="FAME Persistence"/>
      <sheetName val="Sheet1"/>
      <sheetName val="Balance"/>
      <sheetName val="Vendor Tech % "/>
      <sheetName val="BD Curve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5">
          <cell r="A15">
            <v>34730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loomberg download"/>
    </sheetNames>
    <sheetDataSet>
      <sheetData sheetId="0" refreshError="1">
        <row r="5">
          <cell r="C5">
            <v>36898</v>
          </cell>
          <cell r="F5">
            <v>36898</v>
          </cell>
          <cell r="I5">
            <v>36898</v>
          </cell>
          <cell r="L5">
            <v>36898</v>
          </cell>
          <cell r="O5">
            <v>36898</v>
          </cell>
          <cell r="R5">
            <v>36898</v>
          </cell>
          <cell r="U5">
            <v>36898</v>
          </cell>
          <cell r="X5">
            <v>36898</v>
          </cell>
          <cell r="AA5">
            <v>36898</v>
          </cell>
          <cell r="AD5">
            <v>36898</v>
          </cell>
          <cell r="AG5">
            <v>36898</v>
          </cell>
          <cell r="AJ5">
            <v>36898</v>
          </cell>
          <cell r="AM5">
            <v>36898</v>
          </cell>
          <cell r="AP5">
            <v>36898</v>
          </cell>
          <cell r="AS5">
            <v>36898</v>
          </cell>
          <cell r="AV5">
            <v>36898</v>
          </cell>
          <cell r="AY5">
            <v>36898</v>
          </cell>
          <cell r="BB5">
            <v>36898</v>
          </cell>
          <cell r="BE5">
            <v>36898</v>
          </cell>
          <cell r="BH5">
            <v>36898</v>
          </cell>
          <cell r="BK5">
            <v>36898</v>
          </cell>
          <cell r="BN5">
            <v>36898</v>
          </cell>
          <cell r="BQ5">
            <v>36898</v>
          </cell>
          <cell r="BT5">
            <v>36898</v>
          </cell>
          <cell r="BW5">
            <v>36898</v>
          </cell>
          <cell r="BZ5">
            <v>36898</v>
          </cell>
          <cell r="CC5">
            <v>36898</v>
          </cell>
          <cell r="CF5">
            <v>37304</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Sales BBG"/>
      <sheetName val="Data Sources"/>
      <sheetName val="FHA Delinq"/>
      <sheetName val="GDP"/>
      <sheetName val="Unemp total and by Edu"/>
      <sheetName val="Willingness"/>
      <sheetName val="Debt Burden"/>
      <sheetName val="ConsCredit"/>
      <sheetName val="prime, fed funds, LIBOR"/>
      <sheetName val="Annual BF"/>
      <sheetName val="QuarterlyB"/>
      <sheetName val="Monthly BF"/>
      <sheetName val="Weekly BF"/>
      <sheetName val="Cons Confid"/>
      <sheetName val="Receivables"/>
      <sheetName val="Unemp by Occ"/>
      <sheetName val="Moody"/>
      <sheetName val="S&amp;P"/>
      <sheetName val="Cons Conf Qs"/>
      <sheetName val="historical charge-offs"/>
      <sheetName val="still need to fix&amp;update--&gt;"/>
      <sheetName val="Ausubel"/>
      <sheetName val="Charge Offs"/>
      <sheetName val="DLQ"/>
      <sheetName val="US Popul"/>
      <sheetName val="Bankruptcy (BBG)"/>
      <sheetName val="DH where is this from"/>
      <sheetName val="Revolving"/>
      <sheetName val="Nonrevolving"/>
      <sheetName val="Auto Sales"/>
      <sheetName val="FAME Persist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1"/>
      <sheetName val="2"/>
      <sheetName val="3"/>
      <sheetName val="37"/>
      <sheetName val="38"/>
      <sheetName val="12"/>
      <sheetName val="39"/>
      <sheetName val="10"/>
      <sheetName val="6"/>
      <sheetName val="8"/>
      <sheetName val="9"/>
      <sheetName val="35"/>
      <sheetName val="7"/>
      <sheetName val="11"/>
      <sheetName val="20"/>
      <sheetName val="19"/>
      <sheetName val="16"/>
      <sheetName val="36"/>
      <sheetName val="34"/>
      <sheetName val="28"/>
      <sheetName val="29"/>
      <sheetName val="23"/>
      <sheetName val="24"/>
      <sheetName val="26"/>
      <sheetName val="27"/>
      <sheetName val="33"/>
      <sheetName val="30"/>
      <sheetName val="31"/>
      <sheetName val="32"/>
      <sheetName val="17"/>
      <sheetName val="14"/>
      <sheetName val="15"/>
      <sheetName val="21"/>
      <sheetName val="40"/>
      <sheetName val="Callouts"/>
      <sheetName val="4"/>
      <sheetName val="5"/>
      <sheetName val="13"/>
      <sheetName val="18"/>
      <sheetName val="22"/>
      <sheetName val="25"/>
      <sheetName val="Nissan PU 2"/>
      <sheetName val="Tesla1"/>
      <sheetName val="PQ25"/>
      <sheetName val="Net Inter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新能源车国家补贴标准(2018版)"/>
      <sheetName val="新能源汽车国家补贴标准(旧版)"/>
      <sheetName val="地方补贴政策跟踪"/>
      <sheetName val="充电桩&amp;充电服务费政策"/>
      <sheetName val="国内新能源汽车产业政策"/>
      <sheetName val="国内产销量及装机结构1"/>
      <sheetName val="国内产销量及装机结构"/>
      <sheetName val="空间丨全球整车及锂电池需求"/>
      <sheetName val="空间丨动力电池及锂电材料"/>
      <sheetName val="空间丨其他电池及锂电材料"/>
      <sheetName val="产业链价格高频&amp;季度跟踪"/>
      <sheetName val="中汽协丨产销量"/>
      <sheetName val="乘联会丨销量"/>
      <sheetName val="合格证丨产量&amp;装机总量"/>
      <sheetName val="合格证丨车企&amp;三电明细"/>
      <sheetName val="汽工协丨产销量"/>
      <sheetName val="国内产销分析"/>
      <sheetName val="全球产销分析"/>
      <sheetName val="分城市推广数据"/>
      <sheetName val="新车公告目录"/>
      <sheetName val="推荐目录丨2017年以来"/>
      <sheetName val="推荐目录丨旧版本"/>
      <sheetName val="免征购置税车型目录"/>
      <sheetName val="未来车型前瞻"/>
      <sheetName val="重点车企动态"/>
      <sheetName val="锂电池丨产能、产量、格局"/>
      <sheetName val="正极丨产能、产量、格局"/>
      <sheetName val="负极丨产能、产量、格局"/>
      <sheetName val="电解液丨产能、产量、格局"/>
      <sheetName val="隔膜丨产能、产量、格局"/>
      <sheetName val="重点供应链梳理"/>
      <sheetName val="产业链公司业务梳理"/>
      <sheetName val="产业链公司相互供应关系"/>
      <sheetName val="分环节财务数据"/>
      <sheetName val="历史行情纵览"/>
      <sheetName val="重点标的估值表"/>
      <sheetName val="Sheet1"/>
      <sheetName val="Price_Perf."/>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48">
          <cell r="L148" t="str">
            <v>来源：中汽协</v>
          </cell>
        </row>
      </sheetData>
      <sheetData sheetId="13">
        <row r="31">
          <cell r="L31" t="str">
            <v>来源：乘联会</v>
          </cell>
        </row>
      </sheetData>
      <sheetData sheetId="14">
        <row r="71">
          <cell r="M71" t="str">
            <v>月份</v>
          </cell>
        </row>
      </sheetData>
      <sheetData sheetId="15">
        <row r="55">
          <cell r="M55">
            <v>43405</v>
          </cell>
        </row>
      </sheetData>
      <sheetData sheetId="16"/>
      <sheetData sheetId="17"/>
      <sheetData sheetId="18">
        <row r="10">
          <cell r="L10" t="str">
            <v>年份</v>
          </cell>
        </row>
      </sheetData>
      <sheetData sheetId="19"/>
      <sheetData sheetId="20"/>
      <sheetData sheetId="21"/>
      <sheetData sheetId="22"/>
      <sheetData sheetId="23"/>
      <sheetData sheetId="24"/>
      <sheetData sheetId="25"/>
      <sheetData sheetId="26">
        <row r="9">
          <cell r="L9" t="str">
            <v>来源：高工锂电</v>
          </cell>
        </row>
      </sheetData>
      <sheetData sheetId="27"/>
      <sheetData sheetId="28">
        <row r="9">
          <cell r="L9" t="str">
            <v>来源：高工锂电</v>
          </cell>
        </row>
      </sheetData>
      <sheetData sheetId="29">
        <row r="9">
          <cell r="L9" t="str">
            <v>来源：高工锂电</v>
          </cell>
        </row>
      </sheetData>
      <sheetData sheetId="30">
        <row r="9">
          <cell r="L9" t="str">
            <v>来源：高工锂电</v>
          </cell>
        </row>
      </sheetData>
      <sheetData sheetId="31"/>
      <sheetData sheetId="32"/>
      <sheetData sheetId="33"/>
      <sheetData sheetId="34"/>
      <sheetData sheetId="35"/>
      <sheetData sheetId="36"/>
      <sheetData sheetId="37" refreshError="1"/>
      <sheetData sheetId="3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definedNames>
      <definedName name="fa_apturndays"/>
      <definedName name="fa_netturndays"/>
      <definedName name="s_fa_arturndays"/>
      <definedName name="s_fa_assetsturn"/>
      <definedName name="s_fa_da"/>
      <definedName name="s_fa_debttoassets"/>
      <definedName name="s_fa_deductedprofit"/>
      <definedName name="s_fa_ebitda2"/>
      <definedName name="s_fa_ebitda2_ttm"/>
      <definedName name="s_fa_faturn"/>
      <definedName name="S_FA_GROSSPROFITMARGIN"/>
      <definedName name="s_fa_invturndays"/>
      <definedName name="s_fa_netprofitcashcover"/>
      <definedName name="s_fa_netprofitmargin"/>
      <definedName name="s_fa_netprofitmargin_deducted"/>
      <definedName name="s_fa_operatecashflow_ttm2"/>
      <definedName name="s_fa_roa"/>
      <definedName name="s_fa_roe_diluted"/>
      <definedName name="s_fa_roe_exdiluted"/>
      <definedName name="s_fa_roic"/>
      <definedName name="s_info_employee"/>
      <definedName name="s_info_name"/>
      <definedName name="s_qfa_deductedprofit"/>
      <definedName name="s_qfa_grossprofitmargin"/>
      <definedName name="s_qfa_netprofitmargin"/>
      <definedName name="s_qfa_roa"/>
      <definedName name="s_qfa_roe"/>
      <definedName name="s_qfa_roe_deducted"/>
      <definedName name="s_qstm07_cs"/>
      <definedName name="s_qstm07_is"/>
      <definedName name="s_qstm07_is_101"/>
      <definedName name="s_qstm07_is_103"/>
      <definedName name="s_stm07_bs"/>
      <definedName name="s_stm07_bs_177"/>
      <definedName name="s_stm07_bs_178"/>
      <definedName name="s_stm07_cs"/>
      <definedName name="s_stm07_is"/>
      <definedName name="s_stm07_is_101"/>
      <definedName name="s_stm07_is_103"/>
      <definedName name="s_stmnote_rdemployee"/>
      <definedName name="s_stmnote_rdemployee_pct"/>
    </definedNames>
    <sheetDataSet>
      <sheetData sheetId="0"/>
      <sheetData sheetId="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
  <sheetViews>
    <sheetView workbookViewId="0">
      <selection activeCell="C5" sqref="C5:N5"/>
    </sheetView>
  </sheetViews>
  <sheetFormatPr defaultColWidth="8.81640625" defaultRowHeight="14"/>
  <cols>
    <col min="1" max="1" width="3" style="3" customWidth="1"/>
    <col min="2" max="2" width="2.36328125" style="3" customWidth="1"/>
    <col min="3" max="3" width="11.453125" style="3" customWidth="1"/>
    <col min="4" max="4" width="20.08984375" style="3" customWidth="1"/>
    <col min="5" max="11" width="18.453125" style="3" customWidth="1"/>
    <col min="12" max="12" width="16.36328125" style="3" customWidth="1"/>
    <col min="13" max="16384" width="8.81640625" style="3"/>
  </cols>
  <sheetData>
    <row r="1" spans="1:14" ht="14.5" customHeight="1">
      <c r="A1" s="414" t="s">
        <v>277</v>
      </c>
      <c r="B1" s="414"/>
      <c r="C1" s="414"/>
      <c r="D1" s="414"/>
      <c r="E1" s="414"/>
      <c r="F1" s="414"/>
      <c r="G1" s="414"/>
      <c r="H1" s="414"/>
      <c r="I1" s="414"/>
      <c r="J1" s="414"/>
      <c r="K1" s="414"/>
      <c r="L1" s="414"/>
    </row>
    <row r="2" spans="1:14" ht="14.5" customHeight="1">
      <c r="A2" s="414"/>
      <c r="B2" s="414"/>
      <c r="C2" s="414"/>
      <c r="D2" s="414"/>
      <c r="E2" s="414"/>
      <c r="F2" s="414"/>
      <c r="G2" s="414"/>
      <c r="H2" s="414"/>
      <c r="I2" s="414"/>
      <c r="J2" s="414"/>
      <c r="K2" s="414"/>
      <c r="L2" s="414"/>
    </row>
    <row r="3" spans="1:14" ht="14.5" customHeight="1">
      <c r="A3" s="414"/>
      <c r="B3" s="414"/>
      <c r="C3" s="414"/>
      <c r="D3" s="414"/>
      <c r="E3" s="414"/>
      <c r="F3" s="414"/>
      <c r="G3" s="414"/>
      <c r="H3" s="414"/>
      <c r="I3" s="414"/>
      <c r="J3" s="414"/>
      <c r="K3" s="414"/>
      <c r="L3" s="414"/>
    </row>
    <row r="4" spans="1:14" ht="20">
      <c r="C4" s="19" t="s">
        <v>193</v>
      </c>
      <c r="D4" s="20"/>
      <c r="E4" s="20"/>
      <c r="F4" s="20"/>
      <c r="G4" s="20"/>
      <c r="H4" s="20"/>
      <c r="I4" s="20"/>
      <c r="J4" s="20"/>
      <c r="K4" s="20"/>
      <c r="L4" s="20"/>
      <c r="M4" s="20"/>
      <c r="N4" s="20"/>
    </row>
    <row r="5" spans="1:14" ht="16.5">
      <c r="C5" s="415" t="s">
        <v>581</v>
      </c>
      <c r="D5" s="415"/>
      <c r="E5" s="415"/>
      <c r="F5" s="415"/>
      <c r="G5" s="415"/>
      <c r="H5" s="415"/>
      <c r="I5" s="415"/>
      <c r="J5" s="415"/>
      <c r="K5" s="415"/>
      <c r="L5" s="415"/>
      <c r="M5" s="415"/>
      <c r="N5" s="415"/>
    </row>
    <row r="7" spans="1:14" s="4" customFormat="1" ht="35.25" customHeight="1">
      <c r="B7" s="23">
        <v>1</v>
      </c>
      <c r="C7" s="321" t="s">
        <v>54</v>
      </c>
      <c r="D7" s="21" t="s">
        <v>205</v>
      </c>
      <c r="E7" s="21" t="s">
        <v>309</v>
      </c>
      <c r="F7" s="21"/>
      <c r="G7" s="21"/>
      <c r="H7" s="21"/>
      <c r="I7" s="22"/>
      <c r="J7" s="3"/>
      <c r="K7" s="3"/>
    </row>
    <row r="8" spans="1:14" s="4" customFormat="1" ht="35.25" customHeight="1">
      <c r="B8" s="23">
        <v>2</v>
      </c>
      <c r="C8" s="24" t="s">
        <v>795</v>
      </c>
      <c r="D8" s="21" t="s">
        <v>582</v>
      </c>
      <c r="E8" s="21" t="s">
        <v>583</v>
      </c>
      <c r="F8" s="220" t="s">
        <v>584</v>
      </c>
      <c r="G8" s="220"/>
      <c r="H8" s="220"/>
      <c r="I8" s="221"/>
      <c r="J8" s="3"/>
      <c r="K8" s="3"/>
    </row>
    <row r="9" spans="1:14" s="4" customFormat="1" ht="35.25" customHeight="1">
      <c r="B9" s="23">
        <v>2</v>
      </c>
      <c r="C9" s="322" t="s">
        <v>55</v>
      </c>
      <c r="D9" s="21" t="s">
        <v>58</v>
      </c>
      <c r="E9" s="21" t="s">
        <v>194</v>
      </c>
      <c r="F9" s="21" t="s">
        <v>56</v>
      </c>
      <c r="G9" s="21" t="s">
        <v>65</v>
      </c>
      <c r="H9" s="21" t="s">
        <v>66</v>
      </c>
      <c r="I9" s="22" t="s">
        <v>253</v>
      </c>
      <c r="J9" s="3"/>
      <c r="K9" s="3"/>
    </row>
    <row r="10" spans="1:14" s="4" customFormat="1" ht="35.25" customHeight="1">
      <c r="B10" s="23">
        <v>3</v>
      </c>
      <c r="C10" s="24" t="s">
        <v>57</v>
      </c>
      <c r="D10" s="21" t="s">
        <v>59</v>
      </c>
      <c r="E10" s="21" t="s">
        <v>195</v>
      </c>
      <c r="F10" s="21" t="s">
        <v>62</v>
      </c>
      <c r="G10" s="21"/>
      <c r="H10" s="21"/>
      <c r="I10" s="22"/>
      <c r="J10" s="3"/>
      <c r="K10" s="3"/>
    </row>
  </sheetData>
  <mergeCells count="2">
    <mergeCell ref="A1:L3"/>
    <mergeCell ref="C5:N5"/>
  </mergeCells>
  <phoneticPr fontId="11" type="noConversion"/>
  <hyperlinks>
    <hyperlink ref="D7" location="'1.1业绩汇总'!A1" display="业绩汇总" xr:uid="{00000000-0004-0000-0000-000000000000}"/>
    <hyperlink ref="D9" location="'3.1公司简介'!A1" display="公司简介" xr:uid="{00000000-0004-0000-0000-000001000000}"/>
    <hyperlink ref="F10" location="'4.3客户与供应商'!A1" display="客户与供应商" xr:uid="{00000000-0004-0000-0000-000002000000}"/>
    <hyperlink ref="E9" location="'3.2 年度财务数据'!A1" display="年度财务数据" xr:uid="{00000000-0004-0000-0000-000003000000}"/>
    <hyperlink ref="E10" location="'4.2参股公司'!A1" display="参股公司" xr:uid="{00000000-0004-0000-0000-000004000000}"/>
    <hyperlink ref="D10" location="'4.1人事'!A1" display="人事" xr:uid="{00000000-0004-0000-0000-000005000000}"/>
    <hyperlink ref="F9" location="'3.3 季度财务数据 '!A1" display="季度财务数据" xr:uid="{00000000-0004-0000-0000-000006000000}"/>
    <hyperlink ref="G9" location="'3.4费用分析'!A1" display="费用分析" xr:uid="{00000000-0004-0000-0000-000010000000}"/>
    <hyperlink ref="I9" location="'3.6股权激励'!A1" display="股权激励" xr:uid="{00000000-0004-0000-0000-000013000000}"/>
    <hyperlink ref="H9" location="'3.5资本开支'!A1" display="资本开支" xr:uid="{00000000-0004-0000-0000-000014000000}"/>
    <hyperlink ref="E7" location="'1.2业绩拆分'!A1" display="业绩拆分" xr:uid="{00000000-0004-0000-0000-000007000000}"/>
    <hyperlink ref="D8" location="'2.1 概况&amp;方案对比'!A1" display="行业概况&amp;方案对比" xr:uid="{DCE20968-E982-4352-A123-858FE10D0206}"/>
    <hyperlink ref="E8" location="'2.2 行业空间'!A1" display="行业空间" xr:uid="{B0D69F19-46F7-4BFC-B43A-CB05391440C2}"/>
    <hyperlink ref="F8" location="'2.3 材料环节情况及布局'!A1" display="材料环节情况及布局" xr:uid="{84F8AFD5-2D25-4C0E-8001-0792805ABCF1}"/>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O84"/>
  <sheetViews>
    <sheetView showGridLines="0" tabSelected="1" zoomScale="115" zoomScaleNormal="115" workbookViewId="0">
      <pane ySplit="4" topLeftCell="A70" activePane="bottomLeft" state="frozen"/>
      <selection pane="bottomLeft" activeCell="H82" sqref="H82"/>
    </sheetView>
  </sheetViews>
  <sheetFormatPr defaultColWidth="9.08984375" defaultRowHeight="14"/>
  <cols>
    <col min="1" max="1" width="20" style="39" customWidth="1"/>
    <col min="2" max="2" width="12.7265625" style="39" customWidth="1"/>
    <col min="3" max="3" width="11.26953125" style="39" customWidth="1"/>
    <col min="4" max="6" width="14.81640625" style="39" customWidth="1"/>
    <col min="7" max="7" width="13" style="39" customWidth="1"/>
    <col min="8" max="8" width="11.453125" style="39" bestFit="1" customWidth="1"/>
    <col min="9" max="9" width="11.453125" style="39" customWidth="1"/>
    <col min="10" max="10" width="9.453125" style="39" bestFit="1" customWidth="1"/>
    <col min="11" max="16384" width="9.08984375" style="39"/>
  </cols>
  <sheetData>
    <row r="1" spans="1:11" s="416" customFormat="1" ht="13.75" customHeight="1">
      <c r="A1" s="416" t="s">
        <v>236</v>
      </c>
    </row>
    <row r="2" spans="1:11" s="416" customFormat="1" ht="13.75" customHeight="1"/>
    <row r="3" spans="1:11" s="416" customFormat="1" ht="13.75" customHeight="1"/>
    <row r="4" spans="1:11">
      <c r="A4" s="38" t="s">
        <v>307</v>
      </c>
      <c r="F4" s="116"/>
      <c r="G4" s="113" t="s">
        <v>235</v>
      </c>
    </row>
    <row r="5" spans="1:11">
      <c r="A5" s="40" t="s">
        <v>279</v>
      </c>
      <c r="B5" s="155" t="s">
        <v>271</v>
      </c>
      <c r="C5" s="155" t="s">
        <v>272</v>
      </c>
      <c r="D5" s="154" t="s">
        <v>273</v>
      </c>
      <c r="E5" s="155" t="s">
        <v>3</v>
      </c>
      <c r="F5" s="154" t="s">
        <v>53</v>
      </c>
      <c r="G5" s="155" t="s">
        <v>0</v>
      </c>
      <c r="H5" s="155" t="s">
        <v>36</v>
      </c>
      <c r="I5" s="156" t="s">
        <v>50</v>
      </c>
    </row>
    <row r="6" spans="1:11">
      <c r="A6" s="41" t="s">
        <v>42</v>
      </c>
      <c r="B6" s="383">
        <f>'1.2业绩拆分'!B7</f>
        <v>368.10170799999997</v>
      </c>
      <c r="C6" s="383">
        <f>'1.2业绩拆分'!C7</f>
        <v>261.05578000000003</v>
      </c>
      <c r="D6" s="384"/>
      <c r="E6" s="384"/>
      <c r="F6" s="384"/>
      <c r="G6" s="384"/>
      <c r="H6" s="384"/>
      <c r="I6" s="42"/>
    </row>
    <row r="7" spans="1:11">
      <c r="A7" s="41" t="s">
        <v>5</v>
      </c>
      <c r="B7" s="385"/>
      <c r="C7" s="385">
        <f>'1.2业绩拆分'!C8</f>
        <v>-0.29080530101751101</v>
      </c>
      <c r="D7" s="386"/>
      <c r="E7" s="386"/>
      <c r="F7" s="386"/>
      <c r="G7" s="386"/>
      <c r="H7" s="386"/>
      <c r="I7" s="107"/>
    </row>
    <row r="8" spans="1:11">
      <c r="A8" s="41" t="s">
        <v>43</v>
      </c>
      <c r="B8" s="383">
        <f>'1.2业绩拆分'!B9</f>
        <v>307.71567199999998</v>
      </c>
      <c r="C8" s="383">
        <f>'1.2业绩拆分'!C9</f>
        <v>205.94779</v>
      </c>
      <c r="D8" s="384"/>
      <c r="E8" s="384"/>
      <c r="F8" s="384"/>
      <c r="G8" s="384"/>
      <c r="H8" s="384"/>
      <c r="I8" s="42"/>
    </row>
    <row r="9" spans="1:11">
      <c r="A9" s="41" t="s">
        <v>6</v>
      </c>
      <c r="B9" s="383">
        <f>'1.2业绩拆分'!B10</f>
        <v>60.38603599999999</v>
      </c>
      <c r="C9" s="383">
        <f>'1.2业绩拆分'!C10</f>
        <v>55.107990000000029</v>
      </c>
      <c r="D9" s="384"/>
      <c r="E9" s="384"/>
      <c r="F9" s="384"/>
      <c r="G9" s="384"/>
      <c r="H9" s="384"/>
      <c r="I9" s="42"/>
    </row>
    <row r="10" spans="1:11">
      <c r="A10" s="41" t="s">
        <v>44</v>
      </c>
      <c r="B10" s="385">
        <f>'1.2业绩拆分'!B11</f>
        <v>0.16404714970787365</v>
      </c>
      <c r="C10" s="385">
        <f>'1.2业绩拆分'!C11</f>
        <v>0.21109660931468371</v>
      </c>
      <c r="D10" s="386"/>
      <c r="E10" s="386"/>
      <c r="F10" s="386"/>
      <c r="G10" s="114"/>
      <c r="H10" s="114"/>
      <c r="I10" s="115"/>
    </row>
    <row r="11" spans="1:11">
      <c r="A11" s="40" t="s">
        <v>825</v>
      </c>
      <c r="B11" s="155" t="s">
        <v>271</v>
      </c>
      <c r="C11" s="155" t="s">
        <v>272</v>
      </c>
      <c r="D11" s="154" t="s">
        <v>273</v>
      </c>
      <c r="E11" s="155" t="s">
        <v>3</v>
      </c>
      <c r="F11" s="154" t="s">
        <v>53</v>
      </c>
      <c r="G11" s="155" t="s">
        <v>0</v>
      </c>
      <c r="H11" s="155" t="s">
        <v>36</v>
      </c>
      <c r="I11" s="156" t="s">
        <v>50</v>
      </c>
    </row>
    <row r="12" spans="1:11">
      <c r="A12" s="41" t="s">
        <v>42</v>
      </c>
      <c r="B12" s="383">
        <f>'1.2业绩拆分'!B14</f>
        <v>855.16629799999998</v>
      </c>
      <c r="C12" s="383">
        <f>'1.2业绩拆分'!C14</f>
        <v>870.29286100000002</v>
      </c>
      <c r="D12" s="383">
        <f>'1.2业绩拆分'!D14</f>
        <v>907.40549499999997</v>
      </c>
      <c r="E12" s="383">
        <f>'1.2业绩拆分'!E14</f>
        <v>1018.032283</v>
      </c>
      <c r="F12" s="383">
        <f>'1.2业绩拆分'!F14</f>
        <v>1377.324253</v>
      </c>
      <c r="G12" s="383">
        <f>'1.2业绩拆分'!G14</f>
        <v>1652.7891035999999</v>
      </c>
      <c r="H12" s="383">
        <f>'1.2业绩拆分'!H14</f>
        <v>2479.1836553999997</v>
      </c>
      <c r="I12" s="387">
        <f>'1.2业绩拆分'!I14</f>
        <v>2851.0612037099995</v>
      </c>
    </row>
    <row r="13" spans="1:11">
      <c r="A13" s="41" t="s">
        <v>5</v>
      </c>
      <c r="B13" s="385">
        <f>'1.2业绩拆分'!B15</f>
        <v>-0.11990000000000001</v>
      </c>
      <c r="C13" s="385">
        <f>'1.2业绩拆分'!C15</f>
        <v>1.7688446136590041E-2</v>
      </c>
      <c r="D13" s="385">
        <f>'1.2业绩拆分'!D15</f>
        <v>4.2643845150419857E-2</v>
      </c>
      <c r="E13" s="385">
        <f>'1.2业绩拆分'!E15</f>
        <v>0.1219154926982231</v>
      </c>
      <c r="F13" s="385">
        <f>'1.2业绩拆分'!F15</f>
        <v>0.3529278746850899</v>
      </c>
      <c r="G13" s="385">
        <f>'1.2业绩拆分'!G15</f>
        <v>0.2</v>
      </c>
      <c r="H13" s="385">
        <f>'1.2业绩拆分'!H15</f>
        <v>0.5</v>
      </c>
      <c r="I13" s="388">
        <f>'1.2业绩拆分'!I15</f>
        <v>0.15</v>
      </c>
    </row>
    <row r="14" spans="1:11">
      <c r="A14" s="41" t="s">
        <v>43</v>
      </c>
      <c r="B14" s="383">
        <f>'1.2业绩拆分'!B16</f>
        <v>910.71166200000005</v>
      </c>
      <c r="C14" s="383">
        <f>'1.2业绩拆分'!C16</f>
        <v>758.05755899999997</v>
      </c>
      <c r="D14" s="383">
        <f>'1.2业绩拆分'!D16</f>
        <v>787.79835800000001</v>
      </c>
      <c r="E14" s="383">
        <f>'1.2业绩拆分'!E16</f>
        <v>822.77125999999998</v>
      </c>
      <c r="F14" s="383">
        <f>'1.2业绩拆分'!F16</f>
        <v>1180.2485160000001</v>
      </c>
      <c r="G14" s="383">
        <f>'1.2业绩拆分'!G16</f>
        <v>1487.5101932399998</v>
      </c>
      <c r="H14" s="383">
        <f>'1.2业绩拆分'!H16</f>
        <v>2107.3061070899998</v>
      </c>
      <c r="I14" s="387">
        <f>'1.2业绩拆分'!I16</f>
        <v>2423.4020231534996</v>
      </c>
      <c r="K14" s="44"/>
    </row>
    <row r="15" spans="1:11">
      <c r="A15" s="41" t="s">
        <v>6</v>
      </c>
      <c r="B15" s="383">
        <f>'1.2业绩拆分'!B17</f>
        <v>-55.545364000000063</v>
      </c>
      <c r="C15" s="383">
        <f>'1.2业绩拆分'!C17</f>
        <v>112.23530200000005</v>
      </c>
      <c r="D15" s="383">
        <f>'1.2业绩拆分'!D17</f>
        <v>119.60713699999997</v>
      </c>
      <c r="E15" s="383">
        <f>'1.2业绩拆分'!E17</f>
        <v>195.26102300000002</v>
      </c>
      <c r="F15" s="383">
        <f>'1.2业绩拆分'!F17</f>
        <v>197.07573699999989</v>
      </c>
      <c r="G15" s="383">
        <f>'1.2业绩拆分'!G17</f>
        <v>165.27891036</v>
      </c>
      <c r="H15" s="383">
        <f>'1.2业绩拆分'!H17</f>
        <v>371.87754830999995</v>
      </c>
      <c r="I15" s="387">
        <f>'1.2业绩拆分'!I17</f>
        <v>427.6591805564999</v>
      </c>
      <c r="K15" s="44"/>
    </row>
    <row r="16" spans="1:11">
      <c r="A16" s="41" t="s">
        <v>44</v>
      </c>
      <c r="B16" s="385">
        <f>'1.2业绩拆分'!B18</f>
        <v>-6.4952704672653114E-2</v>
      </c>
      <c r="C16" s="385">
        <f>'1.2业绩拆分'!C18</f>
        <v>0.12896268259748489</v>
      </c>
      <c r="D16" s="385">
        <f>'1.2业绩拆分'!D18</f>
        <v>0.13181222469894782</v>
      </c>
      <c r="E16" s="385">
        <f>'1.2业绩拆分'!E18</f>
        <v>0.19180238805845415</v>
      </c>
      <c r="F16" s="385">
        <f>'1.2业绩拆分'!F18</f>
        <v>0.14308594114330164</v>
      </c>
      <c r="G16" s="385">
        <f>'1.2业绩拆分'!G18</f>
        <v>0.1</v>
      </c>
      <c r="H16" s="385">
        <f>'1.2业绩拆分'!H18</f>
        <v>0.15</v>
      </c>
      <c r="I16" s="388">
        <f>'1.2业绩拆分'!I18</f>
        <v>0.15</v>
      </c>
      <c r="K16" s="44"/>
    </row>
    <row r="17" spans="1:10">
      <c r="A17" s="40" t="s">
        <v>826</v>
      </c>
      <c r="B17" s="155" t="s">
        <v>271</v>
      </c>
      <c r="C17" s="155" t="s">
        <v>272</v>
      </c>
      <c r="D17" s="154" t="s">
        <v>273</v>
      </c>
      <c r="E17" s="155" t="s">
        <v>3</v>
      </c>
      <c r="F17" s="154" t="s">
        <v>53</v>
      </c>
      <c r="G17" s="155" t="s">
        <v>0</v>
      </c>
      <c r="H17" s="155" t="s">
        <v>36</v>
      </c>
      <c r="I17" s="156" t="s">
        <v>50</v>
      </c>
    </row>
    <row r="18" spans="1:10">
      <c r="A18" s="41" t="s">
        <v>42</v>
      </c>
      <c r="B18" s="383">
        <f>'1.2业绩拆分'!B25</f>
        <v>244.942384</v>
      </c>
      <c r="C18" s="383">
        <f>'1.2业绩拆分'!C25</f>
        <v>255.54095000000001</v>
      </c>
      <c r="D18" s="383">
        <f>'1.2业绩拆分'!D25</f>
        <v>278.481224</v>
      </c>
      <c r="E18" s="383">
        <f>'1.2业绩拆分'!E25</f>
        <v>184.35147000000001</v>
      </c>
      <c r="F18" s="383">
        <f>'1.2业绩拆分'!F25</f>
        <v>186.33510200000001</v>
      </c>
      <c r="G18" s="383">
        <f>'1.2业绩拆分'!G25</f>
        <v>251.55238770000003</v>
      </c>
      <c r="H18" s="383">
        <f>'1.2业绩拆分'!H25</f>
        <v>377.32858155000002</v>
      </c>
      <c r="I18" s="387">
        <f>'1.2业绩拆分'!I25</f>
        <v>433.92786878250001</v>
      </c>
    </row>
    <row r="19" spans="1:10">
      <c r="A19" s="41" t="s">
        <v>5</v>
      </c>
      <c r="B19" s="385">
        <f>'1.2业绩拆分'!B26</f>
        <v>1.29E-2</v>
      </c>
      <c r="C19" s="385">
        <f>'1.2业绩拆分'!C26</f>
        <v>4.3269628665000726E-2</v>
      </c>
      <c r="D19" s="385">
        <f>'1.2业绩拆分'!D26</f>
        <v>8.9771420197036766E-2</v>
      </c>
      <c r="E19" s="385">
        <f>'1.2业绩拆分'!E26</f>
        <v>-0.33801113284391482</v>
      </c>
      <c r="F19" s="385">
        <f>'1.2业绩拆分'!F26</f>
        <v>1.076005523579493E-2</v>
      </c>
      <c r="G19" s="385">
        <f>'1.2业绩拆分'!G26</f>
        <v>0.35</v>
      </c>
      <c r="H19" s="385">
        <f>'1.2业绩拆分'!H26</f>
        <v>0.5</v>
      </c>
      <c r="I19" s="388">
        <f>'1.2业绩拆分'!I26</f>
        <v>0.15</v>
      </c>
    </row>
    <row r="20" spans="1:10">
      <c r="A20" s="41" t="s">
        <v>43</v>
      </c>
      <c r="B20" s="383">
        <f>'1.2业绩拆分'!B27</f>
        <v>254.94992999999999</v>
      </c>
      <c r="C20" s="383">
        <f>'1.2业绩拆分'!C27</f>
        <v>234.23833500000001</v>
      </c>
      <c r="D20" s="383">
        <f>'1.2业绩拆分'!D27</f>
        <v>228.826222</v>
      </c>
      <c r="E20" s="383">
        <f>'1.2业绩拆分'!E27</f>
        <v>178.798462</v>
      </c>
      <c r="F20" s="383">
        <f>'1.2业绩拆分'!F27</f>
        <v>171.23337799999999</v>
      </c>
      <c r="G20" s="383">
        <f>'1.2业绩拆分'!G27</f>
        <v>231.42819668400003</v>
      </c>
      <c r="H20" s="383">
        <f>'1.2业绩拆分'!H27</f>
        <v>347.142295026</v>
      </c>
      <c r="I20" s="387">
        <f>'1.2业绩拆分'!I27</f>
        <v>399.21363927990001</v>
      </c>
    </row>
    <row r="21" spans="1:10">
      <c r="A21" s="41" t="s">
        <v>6</v>
      </c>
      <c r="B21" s="383">
        <f>'1.2业绩拆分'!B28</f>
        <v>-10.007545999999991</v>
      </c>
      <c r="C21" s="383">
        <f>'1.2业绩拆分'!C28</f>
        <v>21.302615000000003</v>
      </c>
      <c r="D21" s="383">
        <f>'1.2业绩拆分'!D28</f>
        <v>49.655001999999996</v>
      </c>
      <c r="E21" s="383">
        <f>'1.2业绩拆分'!E28</f>
        <v>5.5530080000000055</v>
      </c>
      <c r="F21" s="383">
        <f>'1.2业绩拆分'!F28</f>
        <v>15.101724000000019</v>
      </c>
      <c r="G21" s="383">
        <f>'1.2业绩拆分'!G28</f>
        <v>20.124191016000001</v>
      </c>
      <c r="H21" s="383">
        <f>'1.2业绩拆分'!H28</f>
        <v>30.186286524000003</v>
      </c>
      <c r="I21" s="387">
        <f>'1.2业绩拆分'!I28</f>
        <v>34.714229502599999</v>
      </c>
    </row>
    <row r="22" spans="1:10">
      <c r="A22" s="41" t="s">
        <v>44</v>
      </c>
      <c r="B22" s="385">
        <f>'1.2业绩拆分'!B29</f>
        <v>-4.085673470051631E-2</v>
      </c>
      <c r="C22" s="385">
        <f>'1.2业绩拆分'!C29</f>
        <v>8.3362823062213723E-2</v>
      </c>
      <c r="D22" s="385">
        <f>'1.2业绩拆分'!D29</f>
        <v>0.17830646277251352</v>
      </c>
      <c r="E22" s="385">
        <f>'1.2业绩拆分'!E29</f>
        <v>3.0121853652699409E-2</v>
      </c>
      <c r="F22" s="385">
        <f>'1.2业绩拆分'!F29</f>
        <v>8.1046050035167377E-2</v>
      </c>
      <c r="G22" s="385">
        <f>'1.2业绩拆分'!G29</f>
        <v>0.08</v>
      </c>
      <c r="H22" s="385">
        <f>'1.2业绩拆分'!H29</f>
        <v>0.08</v>
      </c>
      <c r="I22" s="388">
        <f>'1.2业绩拆分'!I29</f>
        <v>0.08</v>
      </c>
    </row>
    <row r="23" spans="1:10">
      <c r="A23" s="40" t="s">
        <v>824</v>
      </c>
      <c r="B23" s="155" t="s">
        <v>271</v>
      </c>
      <c r="C23" s="155" t="s">
        <v>272</v>
      </c>
      <c r="D23" s="154" t="s">
        <v>273</v>
      </c>
      <c r="E23" s="155" t="s">
        <v>3</v>
      </c>
      <c r="F23" s="154" t="s">
        <v>53</v>
      </c>
      <c r="G23" s="155" t="s">
        <v>0</v>
      </c>
      <c r="H23" s="155" t="s">
        <v>36</v>
      </c>
      <c r="I23" s="156" t="s">
        <v>50</v>
      </c>
    </row>
    <row r="24" spans="1:10">
      <c r="A24" s="41" t="s">
        <v>42</v>
      </c>
      <c r="B24" s="383">
        <f>'1.2业绩拆分'!B36</f>
        <v>6.8438319999999999</v>
      </c>
      <c r="C24" s="383">
        <f>'1.2业绩拆分'!C36</f>
        <v>32.403002999999998</v>
      </c>
      <c r="D24" s="383">
        <f>'1.2业绩拆分'!D36</f>
        <v>350.32362799999999</v>
      </c>
      <c r="E24" s="383">
        <f>'1.2业绩拆分'!E36</f>
        <v>310.54285800000002</v>
      </c>
      <c r="F24" s="383">
        <f>'1.2业绩拆分'!F36</f>
        <v>357.14899400000002</v>
      </c>
      <c r="G24" s="383">
        <f>'1.2业绩拆分'!G36</f>
        <v>589.29584009999996</v>
      </c>
      <c r="H24" s="383">
        <f>'1.2业绩拆分'!H36</f>
        <v>972.33813616499992</v>
      </c>
      <c r="I24" s="387">
        <f>'1.2业绩拆分'!I36</f>
        <v>1166.805763398</v>
      </c>
    </row>
    <row r="25" spans="1:10">
      <c r="A25" s="41" t="s">
        <v>5</v>
      </c>
      <c r="B25" s="385">
        <f>'1.2业绩拆分'!B37</f>
        <v>-0.96060000000000001</v>
      </c>
      <c r="C25" s="385">
        <f>'1.2业绩拆分'!C37</f>
        <v>3.7346286407965597</v>
      </c>
      <c r="D25" s="385">
        <f>'1.2业绩拆分'!D37</f>
        <v>9.8114555925572695</v>
      </c>
      <c r="E25" s="385">
        <f>'1.2业绩拆分'!E37</f>
        <v>-0.11355434467012304</v>
      </c>
      <c r="F25" s="385">
        <f>'1.2业绩拆分'!F37</f>
        <v>0.15007956164298575</v>
      </c>
      <c r="G25" s="385">
        <f>'1.2业绩拆分'!G37</f>
        <v>0.65</v>
      </c>
      <c r="H25" s="385">
        <f>'1.2业绩拆分'!H37</f>
        <v>0.65</v>
      </c>
      <c r="I25" s="388">
        <f>'1.2业绩拆分'!I37</f>
        <v>0.2</v>
      </c>
    </row>
    <row r="26" spans="1:10">
      <c r="A26" s="41" t="s">
        <v>43</v>
      </c>
      <c r="B26" s="383">
        <f>'1.2业绩拆分'!B38</f>
        <v>7.9490910000000001</v>
      </c>
      <c r="C26" s="383">
        <f>'1.2业绩拆分'!C38</f>
        <v>41.093003000000003</v>
      </c>
      <c r="D26" s="383">
        <f>'1.2业绩拆分'!D38</f>
        <v>322.83484700000002</v>
      </c>
      <c r="E26" s="383">
        <f>'1.2业绩拆分'!E38</f>
        <v>239.29145299999999</v>
      </c>
      <c r="F26" s="383">
        <f>'1.2业绩拆分'!F38</f>
        <v>350.493854</v>
      </c>
      <c r="G26" s="383">
        <f>'1.2业绩拆分'!G38</f>
        <v>536.25921449099997</v>
      </c>
      <c r="H26" s="383">
        <f>'1.2业绩拆分'!H38</f>
        <v>826.48741574024996</v>
      </c>
      <c r="I26" s="387">
        <f>'1.2业绩拆分'!I38</f>
        <v>991.78489888829995</v>
      </c>
    </row>
    <row r="27" spans="1:10">
      <c r="A27" s="41" t="s">
        <v>6</v>
      </c>
      <c r="B27" s="383">
        <f>'1.2业绩拆分'!B39</f>
        <v>-1.1052590000000002</v>
      </c>
      <c r="C27" s="383">
        <f>'1.2业绩拆分'!C39</f>
        <v>-8.6900000000000048</v>
      </c>
      <c r="D27" s="383">
        <f>'1.2业绩拆分'!D39</f>
        <v>27.48878099999996</v>
      </c>
      <c r="E27" s="383">
        <f>'1.2业绩拆分'!E39</f>
        <v>71.251405000000034</v>
      </c>
      <c r="F27" s="383">
        <f>'1.2业绩拆分'!F39</f>
        <v>6.6551400000000172</v>
      </c>
      <c r="G27" s="383">
        <f>'1.2业绩拆分'!G39</f>
        <v>53.036625608999998</v>
      </c>
      <c r="H27" s="383">
        <f>'1.2业绩拆分'!H39</f>
        <v>145.85072042474999</v>
      </c>
      <c r="I27" s="387">
        <f>'1.2业绩拆分'!I39</f>
        <v>175.02086450969998</v>
      </c>
    </row>
    <row r="28" spans="1:10">
      <c r="A28" s="41" t="s">
        <v>44</v>
      </c>
      <c r="B28" s="385">
        <f>'1.2业绩拆分'!B40</f>
        <v>-0.16149709694802564</v>
      </c>
      <c r="C28" s="385">
        <f>'1.2业绩拆分'!C40</f>
        <v>-0.26818501976498921</v>
      </c>
      <c r="D28" s="385">
        <f>'1.2业绩拆分'!D40</f>
        <v>7.8466819828664144E-2</v>
      </c>
      <c r="E28" s="385">
        <f>'1.2业绩拆分'!E40</f>
        <v>0.22944145442237163</v>
      </c>
      <c r="F28" s="385">
        <f>'1.2业绩拆分'!F40</f>
        <v>1.8634071807017372E-2</v>
      </c>
      <c r="G28" s="385">
        <f>'1.2业绩拆分'!G40</f>
        <v>0.09</v>
      </c>
      <c r="H28" s="385">
        <f>'1.2业绩拆分'!H40</f>
        <v>0.15</v>
      </c>
      <c r="I28" s="388">
        <f>'1.2业绩拆分'!I40</f>
        <v>0.15</v>
      </c>
    </row>
    <row r="29" spans="1:10">
      <c r="A29" s="43" t="s">
        <v>4</v>
      </c>
      <c r="B29" s="155" t="s">
        <v>271</v>
      </c>
      <c r="C29" s="155" t="s">
        <v>272</v>
      </c>
      <c r="D29" s="154" t="s">
        <v>273</v>
      </c>
      <c r="E29" s="155" t="s">
        <v>3</v>
      </c>
      <c r="F29" s="154" t="s">
        <v>53</v>
      </c>
      <c r="G29" s="155" t="s">
        <v>0</v>
      </c>
      <c r="H29" s="155" t="s">
        <v>36</v>
      </c>
      <c r="I29" s="156" t="s">
        <v>50</v>
      </c>
    </row>
    <row r="30" spans="1:10">
      <c r="A30" s="41" t="s">
        <v>42</v>
      </c>
      <c r="B30" s="389">
        <f>B42-B24-B18-B12-B6</f>
        <v>122.1657780000001</v>
      </c>
      <c r="C30" s="389">
        <f t="shared" ref="C30:F30" si="0">C42-C24-C18-C12-C6</f>
        <v>183.38740600000006</v>
      </c>
      <c r="D30" s="389">
        <f t="shared" si="0"/>
        <v>108.78965299999993</v>
      </c>
      <c r="E30" s="389">
        <f t="shared" si="0"/>
        <v>232.05338899999992</v>
      </c>
      <c r="F30" s="389">
        <f t="shared" si="0"/>
        <v>154.63165099999992</v>
      </c>
      <c r="G30" s="384">
        <f>F30*(1+G31)</f>
        <v>170.09481609999992</v>
      </c>
      <c r="H30" s="384">
        <f t="shared" ref="H30:I30" si="1">G30*(1+H31)</f>
        <v>187.10429770999991</v>
      </c>
      <c r="I30" s="42">
        <f t="shared" si="1"/>
        <v>205.81472748099992</v>
      </c>
      <c r="J30" s="46"/>
    </row>
    <row r="31" spans="1:10">
      <c r="A31" s="41" t="s">
        <v>5</v>
      </c>
      <c r="B31" s="390" t="s">
        <v>823</v>
      </c>
      <c r="C31" s="390">
        <f>C30/B30-1</f>
        <v>0.50113566173990143</v>
      </c>
      <c r="D31" s="45">
        <f>D30/C30-1</f>
        <v>-0.4067768590390558</v>
      </c>
      <c r="E31" s="45">
        <f>E30/D30-1</f>
        <v>1.1330465039722122</v>
      </c>
      <c r="F31" s="45">
        <f>F30/E30-1</f>
        <v>-0.33363760957613087</v>
      </c>
      <c r="G31" s="380">
        <v>0.1</v>
      </c>
      <c r="H31" s="380">
        <v>0.1</v>
      </c>
      <c r="I31" s="391">
        <v>0.1</v>
      </c>
    </row>
    <row r="32" spans="1:10">
      <c r="A32" s="41" t="s">
        <v>43</v>
      </c>
      <c r="B32" s="389">
        <v>89.81</v>
      </c>
      <c r="C32" s="389">
        <f t="shared" ref="C32:F32" si="2">C44-C26-C20-C14-C8</f>
        <v>135.69331300000005</v>
      </c>
      <c r="D32" s="389">
        <f t="shared" si="2"/>
        <v>75.760572999999908</v>
      </c>
      <c r="E32" s="389">
        <f t="shared" si="2"/>
        <v>189.69882499999994</v>
      </c>
      <c r="F32" s="389">
        <f t="shared" si="2"/>
        <v>116.72425199999998</v>
      </c>
      <c r="G32" s="384">
        <f>G30-G33</f>
        <v>110.56163046499995</v>
      </c>
      <c r="H32" s="384">
        <f t="shared" ref="H32:I32" si="3">H30-H33</f>
        <v>121.61779351149994</v>
      </c>
      <c r="I32" s="42">
        <f t="shared" si="3"/>
        <v>133.77957286264996</v>
      </c>
    </row>
    <row r="33" spans="1:15">
      <c r="A33" s="41" t="s">
        <v>6</v>
      </c>
      <c r="B33" s="389">
        <f>B30-B32</f>
        <v>32.3557780000001</v>
      </c>
      <c r="C33" s="389">
        <f>C30-C32</f>
        <v>47.694093000000009</v>
      </c>
      <c r="D33" s="384">
        <f>D30-D32</f>
        <v>33.029080000000022</v>
      </c>
      <c r="E33" s="384">
        <f>E30-E32</f>
        <v>42.354563999999982</v>
      </c>
      <c r="F33" s="384">
        <f>F30-F32</f>
        <v>37.907398999999941</v>
      </c>
      <c r="G33" s="384">
        <f>G30*G34</f>
        <v>59.533185634999967</v>
      </c>
      <c r="H33" s="384">
        <f t="shared" ref="H33:I33" si="4">H30*H34</f>
        <v>65.486504198499972</v>
      </c>
      <c r="I33" s="42">
        <f t="shared" si="4"/>
        <v>72.035154618349964</v>
      </c>
    </row>
    <row r="34" spans="1:15">
      <c r="A34" s="41" t="s">
        <v>44</v>
      </c>
      <c r="B34" s="390">
        <f>B33/B30</f>
        <v>0.26485140544023772</v>
      </c>
      <c r="C34" s="390">
        <f>C33/C30</f>
        <v>0.26007289181024784</v>
      </c>
      <c r="D34" s="45">
        <f>D33/D30</f>
        <v>0.30360497610926329</v>
      </c>
      <c r="E34" s="45">
        <f>E33/E30</f>
        <v>0.18252077326912039</v>
      </c>
      <c r="F34" s="45">
        <f>F33/F30</f>
        <v>0.24514644159105539</v>
      </c>
      <c r="G34" s="380">
        <v>0.35</v>
      </c>
      <c r="H34" s="380">
        <v>0.35</v>
      </c>
      <c r="I34" s="391">
        <v>0.35</v>
      </c>
    </row>
    <row r="35" spans="1:15">
      <c r="A35" s="43" t="s">
        <v>452</v>
      </c>
      <c r="B35" s="155" t="s">
        <v>271</v>
      </c>
      <c r="C35" s="155" t="s">
        <v>272</v>
      </c>
      <c r="D35" s="154" t="s">
        <v>273</v>
      </c>
      <c r="E35" s="155" t="s">
        <v>3</v>
      </c>
      <c r="F35" s="154" t="s">
        <v>53</v>
      </c>
      <c r="G35" s="155" t="s">
        <v>0</v>
      </c>
      <c r="H35" s="155" t="s">
        <v>36</v>
      </c>
      <c r="I35" s="156" t="s">
        <v>50</v>
      </c>
    </row>
    <row r="36" spans="1:15">
      <c r="A36" s="41" t="s">
        <v>42</v>
      </c>
      <c r="B36" s="392"/>
      <c r="C36" s="392"/>
      <c r="D36" s="392"/>
      <c r="E36" s="392"/>
      <c r="F36" s="392"/>
      <c r="G36" s="392"/>
      <c r="H36" s="392">
        <f>'1.2业绩拆分'!H47</f>
        <v>936</v>
      </c>
      <c r="I36" s="393">
        <f>'1.2业绩拆分'!I47</f>
        <v>5360</v>
      </c>
    </row>
    <row r="37" spans="1:15">
      <c r="A37" s="41" t="s">
        <v>5</v>
      </c>
      <c r="B37" s="390"/>
      <c r="C37" s="390"/>
      <c r="D37" s="390"/>
      <c r="E37" s="390"/>
      <c r="F37" s="390"/>
      <c r="G37" s="390"/>
      <c r="H37" s="390"/>
      <c r="I37" s="394">
        <f>'1.2业绩拆分'!I48</f>
        <v>4.7264957264957266</v>
      </c>
    </row>
    <row r="38" spans="1:15">
      <c r="A38" s="41" t="s">
        <v>43</v>
      </c>
      <c r="B38" s="392"/>
      <c r="C38" s="392"/>
      <c r="D38" s="392"/>
      <c r="E38" s="392"/>
      <c r="F38" s="392"/>
      <c r="G38" s="392"/>
      <c r="H38" s="392">
        <f>'1.2业绩拆分'!H51</f>
        <v>720.72</v>
      </c>
      <c r="I38" s="393">
        <f>'1.2业绩拆分'!I51</f>
        <v>4020.0000000000005</v>
      </c>
    </row>
    <row r="39" spans="1:15">
      <c r="A39" s="41" t="s">
        <v>6</v>
      </c>
      <c r="B39" s="392"/>
      <c r="C39" s="392"/>
      <c r="D39" s="392"/>
      <c r="E39" s="392"/>
      <c r="F39" s="392"/>
      <c r="G39" s="392"/>
      <c r="H39" s="392">
        <f>'1.2业绩拆分'!H53</f>
        <v>215.28</v>
      </c>
      <c r="I39" s="393">
        <f>'1.2业绩拆分'!I53</f>
        <v>1340</v>
      </c>
    </row>
    <row r="40" spans="1:15">
      <c r="A40" s="41" t="s">
        <v>44</v>
      </c>
      <c r="B40" s="390"/>
      <c r="C40" s="390"/>
      <c r="D40" s="390"/>
      <c r="E40" s="390"/>
      <c r="F40" s="390"/>
      <c r="G40" s="395"/>
      <c r="H40" s="395">
        <f>'1.2业绩拆分'!H55</f>
        <v>0.23</v>
      </c>
      <c r="I40" s="396">
        <f>'1.2业绩拆分'!I55</f>
        <v>0.25</v>
      </c>
    </row>
    <row r="41" spans="1:15">
      <c r="A41" s="157"/>
      <c r="B41" s="155" t="s">
        <v>271</v>
      </c>
      <c r="C41" s="155" t="s">
        <v>272</v>
      </c>
      <c r="D41" s="397" t="s">
        <v>2</v>
      </c>
      <c r="E41" s="38" t="s">
        <v>3</v>
      </c>
      <c r="F41" s="397" t="s">
        <v>53</v>
      </c>
      <c r="G41" s="38" t="s">
        <v>0</v>
      </c>
      <c r="H41" s="38" t="s">
        <v>36</v>
      </c>
      <c r="I41" s="158" t="s">
        <v>50</v>
      </c>
    </row>
    <row r="42" spans="1:15">
      <c r="A42" s="63" t="s">
        <v>14</v>
      </c>
      <c r="B42" s="398">
        <f>利润表!B4</f>
        <v>1597.22</v>
      </c>
      <c r="C42" s="398">
        <f>利润表!C4</f>
        <v>1602.68</v>
      </c>
      <c r="D42" s="399">
        <f>利润表!D4</f>
        <v>1645</v>
      </c>
      <c r="E42" s="398">
        <f>利润表!E4</f>
        <v>1744.98</v>
      </c>
      <c r="F42" s="398">
        <f>利润表!F4</f>
        <v>2075.44</v>
      </c>
      <c r="G42" s="400">
        <f>G6+G12+G18+G24+G36+G30</f>
        <v>2663.7321474999999</v>
      </c>
      <c r="H42" s="400">
        <f>H6+H12+H18+H24+H36+H30</f>
        <v>4951.9546708249991</v>
      </c>
      <c r="I42" s="401">
        <f>I6+I12+I18+I24+I36+I30</f>
        <v>10017.609563371499</v>
      </c>
      <c r="J42" s="46"/>
      <c r="M42" s="46"/>
      <c r="N42" s="46"/>
      <c r="O42" s="46"/>
    </row>
    <row r="43" spans="1:15">
      <c r="A43" s="64" t="s">
        <v>39</v>
      </c>
      <c r="B43" s="402"/>
      <c r="C43" s="403">
        <f t="shared" ref="C43:F43" si="5">C42/B42-1</f>
        <v>3.4184395386984701E-3</v>
      </c>
      <c r="D43" s="403">
        <f t="shared" si="5"/>
        <v>2.6405770334689382E-2</v>
      </c>
      <c r="E43" s="354">
        <f t="shared" si="5"/>
        <v>6.0778115501519681E-2</v>
      </c>
      <c r="F43" s="354">
        <f t="shared" si="5"/>
        <v>0.1893775286822772</v>
      </c>
      <c r="G43" s="412">
        <f>G42/F42-1</f>
        <v>0.28345418200477956</v>
      </c>
      <c r="H43" s="412">
        <f t="shared" ref="H43:I43" si="6">H42/G42-1</f>
        <v>0.8590287598820967</v>
      </c>
      <c r="I43" s="413">
        <f t="shared" si="6"/>
        <v>1.0229606749818165</v>
      </c>
      <c r="J43" s="46"/>
      <c r="M43" s="46"/>
      <c r="N43" s="46"/>
      <c r="O43" s="46"/>
    </row>
    <row r="44" spans="1:15">
      <c r="A44" s="65" t="s">
        <v>46</v>
      </c>
      <c r="B44" s="375">
        <f>利润表!B8</f>
        <v>1309.6600000000001</v>
      </c>
      <c r="C44" s="375">
        <f>利润表!C8</f>
        <v>1375.03</v>
      </c>
      <c r="D44" s="375">
        <f>利润表!D8</f>
        <v>1415.22</v>
      </c>
      <c r="E44" s="375">
        <f>利润表!E8</f>
        <v>1430.56</v>
      </c>
      <c r="F44" s="375">
        <f>利润表!F8</f>
        <v>1818.7</v>
      </c>
      <c r="G44" s="404">
        <f>G8+G14+G20+G26+G38+G32</f>
        <v>2365.7592348799994</v>
      </c>
      <c r="H44" s="404">
        <f>H8+H14+H20+H26+H38+H32</f>
        <v>4123.2736113677502</v>
      </c>
      <c r="I44" s="405">
        <f>I8+I14+I20+I26+I38+I32</f>
        <v>7968.1801341843493</v>
      </c>
      <c r="J44" s="46"/>
      <c r="M44" s="46"/>
      <c r="N44" s="46"/>
      <c r="O44" s="46"/>
    </row>
    <row r="45" spans="1:15">
      <c r="A45" s="64" t="s">
        <v>39</v>
      </c>
      <c r="B45" s="402"/>
      <c r="C45" s="403">
        <f t="shared" ref="C45:F45" si="7">C44/B44-1</f>
        <v>4.9913718064230395E-2</v>
      </c>
      <c r="D45" s="403">
        <f t="shared" si="7"/>
        <v>2.9228453197384763E-2</v>
      </c>
      <c r="E45" s="354">
        <f t="shared" si="7"/>
        <v>1.0839304136459393E-2</v>
      </c>
      <c r="F45" s="354">
        <f t="shared" si="7"/>
        <v>0.27132032211162072</v>
      </c>
      <c r="G45" s="355">
        <f>G44/F44-1</f>
        <v>0.30079685208115658</v>
      </c>
      <c r="H45" s="355">
        <f t="shared" ref="H45:I45" si="8">H44/G44-1</f>
        <v>0.74289655116865627</v>
      </c>
      <c r="I45" s="356">
        <f t="shared" si="8"/>
        <v>0.93248881476511758</v>
      </c>
      <c r="J45" s="46"/>
      <c r="M45" s="46"/>
      <c r="N45" s="46"/>
      <c r="O45" s="46"/>
    </row>
    <row r="46" spans="1:15">
      <c r="A46" s="65" t="s">
        <v>34</v>
      </c>
      <c r="B46" s="375">
        <f>B42-B44</f>
        <v>287.55999999999995</v>
      </c>
      <c r="C46" s="375">
        <f>C42-C44</f>
        <v>227.65000000000009</v>
      </c>
      <c r="D46" s="375">
        <f>D42-D44</f>
        <v>229.77999999999997</v>
      </c>
      <c r="E46" s="375">
        <f>E42-E44</f>
        <v>314.42000000000007</v>
      </c>
      <c r="F46" s="375">
        <f>F42-F44</f>
        <v>256.74</v>
      </c>
      <c r="G46" s="404">
        <f>G9+G15+G21+G27+G39+G33</f>
        <v>297.97291261999999</v>
      </c>
      <c r="H46" s="404">
        <f>H9+H15+H21+H27+H39+H33</f>
        <v>828.68105945724983</v>
      </c>
      <c r="I46" s="405">
        <f>I9+I15+I21+I27+I39+I33</f>
        <v>2049.4294291871502</v>
      </c>
      <c r="J46" s="46"/>
      <c r="K46" s="46"/>
      <c r="L46" s="46"/>
      <c r="M46" s="46"/>
      <c r="N46" s="46"/>
      <c r="O46" s="46"/>
    </row>
    <row r="47" spans="1:15">
      <c r="A47" s="66" t="s">
        <v>40</v>
      </c>
      <c r="B47" s="403">
        <f t="shared" ref="B47:I47" si="9">B46/B42</f>
        <v>0.18003781570478702</v>
      </c>
      <c r="C47" s="403">
        <f t="shared" si="9"/>
        <v>0.14204332742656056</v>
      </c>
      <c r="D47" s="354">
        <f t="shared" si="9"/>
        <v>0.13968389057750757</v>
      </c>
      <c r="E47" s="354">
        <f t="shared" si="9"/>
        <v>0.18018544625153302</v>
      </c>
      <c r="F47" s="354">
        <f t="shared" si="9"/>
        <v>0.12370388929576379</v>
      </c>
      <c r="G47" s="355">
        <f>G46/G42</f>
        <v>0.11186294121188474</v>
      </c>
      <c r="H47" s="355">
        <f t="shared" si="9"/>
        <v>0.16734423364969755</v>
      </c>
      <c r="I47" s="356">
        <f t="shared" si="9"/>
        <v>0.2045826817488183</v>
      </c>
    </row>
    <row r="48" spans="1:15">
      <c r="A48" s="47" t="s">
        <v>212</v>
      </c>
      <c r="B48" s="375">
        <f>利润表!B9</f>
        <v>15.84</v>
      </c>
      <c r="C48" s="375">
        <f>利润表!C9</f>
        <v>17.66</v>
      </c>
      <c r="D48" s="375">
        <f>利润表!D9</f>
        <v>10.77</v>
      </c>
      <c r="E48" s="375">
        <f>利润表!E9</f>
        <v>14.11</v>
      </c>
      <c r="F48" s="375">
        <f>利润表!F9</f>
        <v>11.98</v>
      </c>
      <c r="G48" s="379">
        <f>G49*G42</f>
        <v>10.654928589999999</v>
      </c>
      <c r="H48" s="379">
        <f t="shared" ref="H48:I48" si="10">H49*H42</f>
        <v>19.807818683299995</v>
      </c>
      <c r="I48" s="357">
        <f t="shared" si="10"/>
        <v>40.070438253485996</v>
      </c>
    </row>
    <row r="49" spans="1:12">
      <c r="A49" s="48" t="s">
        <v>47</v>
      </c>
      <c r="B49" s="406">
        <f>B48/B42</f>
        <v>9.9172311891912203E-3</v>
      </c>
      <c r="C49" s="406">
        <f>C48/C42</f>
        <v>1.1019043102802805E-2</v>
      </c>
      <c r="D49" s="354">
        <f>D48/D42</f>
        <v>6.5471124620060791E-3</v>
      </c>
      <c r="E49" s="354">
        <f>E48/E42</f>
        <v>8.0860525622070169E-3</v>
      </c>
      <c r="F49" s="354">
        <f>F48/F42</f>
        <v>5.7722699764869139E-3</v>
      </c>
      <c r="G49" s="407">
        <v>4.0000000000000001E-3</v>
      </c>
      <c r="H49" s="407">
        <f t="shared" ref="H49:I49" si="11">G49</f>
        <v>4.0000000000000001E-3</v>
      </c>
      <c r="I49" s="359">
        <f t="shared" si="11"/>
        <v>4.0000000000000001E-3</v>
      </c>
      <c r="K49" s="46"/>
    </row>
    <row r="50" spans="1:12">
      <c r="A50" s="47" t="s">
        <v>134</v>
      </c>
      <c r="B50" s="375">
        <f>利润表!B10</f>
        <v>55.8</v>
      </c>
      <c r="C50" s="375">
        <f>利润表!C10</f>
        <v>52.09</v>
      </c>
      <c r="D50" s="375">
        <f>利润表!D10</f>
        <v>38.4</v>
      </c>
      <c r="E50" s="375">
        <f>利润表!E10</f>
        <v>34.61</v>
      </c>
      <c r="F50" s="375">
        <f>利润表!F10</f>
        <v>50.57</v>
      </c>
      <c r="G50" s="373">
        <f>G51*G42</f>
        <v>38.624116138749997</v>
      </c>
      <c r="H50" s="373">
        <f t="shared" ref="H50:I50" si="12">H51*H42</f>
        <v>66.851388056137495</v>
      </c>
      <c r="I50" s="358">
        <f t="shared" si="12"/>
        <v>125.22011954214375</v>
      </c>
    </row>
    <row r="51" spans="1:12">
      <c r="A51" s="48" t="s">
        <v>47</v>
      </c>
      <c r="B51" s="406">
        <f>B50/B42</f>
        <v>3.4935700780105432E-2</v>
      </c>
      <c r="C51" s="406">
        <f>C50/C42</f>
        <v>3.2501809469139192E-2</v>
      </c>
      <c r="D51" s="406">
        <f>D50/D42</f>
        <v>2.3343465045592704E-2</v>
      </c>
      <c r="E51" s="406">
        <f>E50/E42</f>
        <v>1.9834038212472347E-2</v>
      </c>
      <c r="F51" s="406">
        <f>F50/F42</f>
        <v>2.4365917588559535E-2</v>
      </c>
      <c r="G51" s="407">
        <v>1.4500000000000001E-2</v>
      </c>
      <c r="H51" s="407">
        <f>G51-0.1%</f>
        <v>1.3500000000000002E-2</v>
      </c>
      <c r="I51" s="359">
        <f>H51-0.1%</f>
        <v>1.2500000000000001E-2</v>
      </c>
      <c r="J51" s="49"/>
      <c r="K51" s="49"/>
    </row>
    <row r="52" spans="1:12">
      <c r="A52" s="47" t="s">
        <v>206</v>
      </c>
      <c r="B52" s="375">
        <f>利润表!B11</f>
        <v>177.79</v>
      </c>
      <c r="C52" s="375">
        <f>利润表!C11</f>
        <v>136.9</v>
      </c>
      <c r="D52" s="375">
        <f>利润表!D11</f>
        <v>130.05000000000001</v>
      </c>
      <c r="E52" s="375">
        <f>利润表!E11</f>
        <v>97.39</v>
      </c>
      <c r="F52" s="375">
        <f>利润表!F11</f>
        <v>136.69999999999999</v>
      </c>
      <c r="G52" s="379">
        <f>G53*G42</f>
        <v>95.89435730999999</v>
      </c>
      <c r="H52" s="379">
        <f t="shared" ref="H52:I52" si="13">H53*H42</f>
        <v>138.65473078309995</v>
      </c>
      <c r="I52" s="357">
        <f t="shared" si="13"/>
        <v>260.45784864765892</v>
      </c>
      <c r="J52" s="49"/>
      <c r="K52" s="49"/>
    </row>
    <row r="53" spans="1:12">
      <c r="A53" s="48" t="s">
        <v>47</v>
      </c>
      <c r="B53" s="354">
        <f>B52/B42</f>
        <v>0.11131215486908502</v>
      </c>
      <c r="C53" s="354">
        <f>C52/C42</f>
        <v>8.5419422467367154E-2</v>
      </c>
      <c r="D53" s="354">
        <f>D52/D42</f>
        <v>7.905775075987842E-2</v>
      </c>
      <c r="E53" s="354">
        <f>E52/E42</f>
        <v>5.5811527925821502E-2</v>
      </c>
      <c r="F53" s="354">
        <f>F52/F42</f>
        <v>6.5865551401148664E-2</v>
      </c>
      <c r="G53" s="362">
        <v>3.5999999999999997E-2</v>
      </c>
      <c r="H53" s="362">
        <f>G53-0.8%</f>
        <v>2.7999999999999997E-2</v>
      </c>
      <c r="I53" s="363">
        <f>H53-0.2%</f>
        <v>2.5999999999999995E-2</v>
      </c>
      <c r="J53" s="52"/>
      <c r="K53" s="49"/>
    </row>
    <row r="54" spans="1:12">
      <c r="A54" s="47" t="s">
        <v>207</v>
      </c>
      <c r="B54" s="375">
        <f>利润表!B12</f>
        <v>0</v>
      </c>
      <c r="C54" s="375">
        <f>利润表!C12</f>
        <v>63.98</v>
      </c>
      <c r="D54" s="375">
        <f>利润表!D12</f>
        <v>68.53</v>
      </c>
      <c r="E54" s="375">
        <f>利润表!E12</f>
        <v>84.53</v>
      </c>
      <c r="F54" s="375">
        <f>利润表!F12</f>
        <v>101.47</v>
      </c>
      <c r="G54" s="360">
        <f>G55*G42</f>
        <v>79.911964424999994</v>
      </c>
      <c r="H54" s="360">
        <f t="shared" ref="H54:I54" si="14">H55*H42</f>
        <v>89.135184074849974</v>
      </c>
      <c r="I54" s="361">
        <f t="shared" si="14"/>
        <v>160.28175301394398</v>
      </c>
      <c r="J54" s="52"/>
      <c r="K54" s="52"/>
    </row>
    <row r="55" spans="1:12">
      <c r="A55" s="48" t="s">
        <v>47</v>
      </c>
      <c r="B55" s="354">
        <f>B54/B42</f>
        <v>0</v>
      </c>
      <c r="C55" s="354">
        <f t="shared" ref="C55:F55" si="15">C54/C42</f>
        <v>3.9920632939825791E-2</v>
      </c>
      <c r="D55" s="354">
        <f t="shared" si="15"/>
        <v>4.165957446808511E-2</v>
      </c>
      <c r="E55" s="354">
        <f t="shared" si="15"/>
        <v>4.8441815952045296E-2</v>
      </c>
      <c r="F55" s="354">
        <f t="shared" si="15"/>
        <v>4.8890837605519794E-2</v>
      </c>
      <c r="G55" s="362">
        <v>0.03</v>
      </c>
      <c r="H55" s="362">
        <v>1.7999999999999999E-2</v>
      </c>
      <c r="I55" s="363">
        <v>1.6E-2</v>
      </c>
      <c r="J55" s="52"/>
      <c r="K55" s="52"/>
    </row>
    <row r="56" spans="1:12">
      <c r="A56" s="47" t="s">
        <v>179</v>
      </c>
      <c r="B56" s="375">
        <f>利润表!B13</f>
        <v>17.59</v>
      </c>
      <c r="C56" s="375">
        <f>利润表!C13</f>
        <v>7.99</v>
      </c>
      <c r="D56" s="375">
        <f>利润表!D13</f>
        <v>12.08</v>
      </c>
      <c r="E56" s="375">
        <f>利润表!E13</f>
        <v>13.07</v>
      </c>
      <c r="F56" s="375">
        <f>利润表!F13</f>
        <v>23.46</v>
      </c>
      <c r="G56" s="379">
        <f>G57*G42</f>
        <v>-10.654928589999999</v>
      </c>
      <c r="H56" s="379">
        <f t="shared" ref="H56:I56" si="16">H57*H42</f>
        <v>24.759773354124995</v>
      </c>
      <c r="I56" s="357">
        <f t="shared" si="16"/>
        <v>50.088047816857497</v>
      </c>
      <c r="J56" s="52"/>
      <c r="K56" s="49"/>
    </row>
    <row r="57" spans="1:12">
      <c r="A57" s="48" t="s">
        <v>47</v>
      </c>
      <c r="B57" s="364">
        <f>B56/B42</f>
        <v>1.1012884887492018E-2</v>
      </c>
      <c r="C57" s="364">
        <f>C56/C42</f>
        <v>4.9853994559113483E-3</v>
      </c>
      <c r="D57" s="364">
        <f>D56/D42</f>
        <v>7.3434650455927054E-3</v>
      </c>
      <c r="E57" s="364">
        <f>E56/E42</f>
        <v>7.4900571926325805E-3</v>
      </c>
      <c r="F57" s="364">
        <f>F56/F42</f>
        <v>1.1303627182669699E-2</v>
      </c>
      <c r="G57" s="362">
        <v>-4.0000000000000001E-3</v>
      </c>
      <c r="H57" s="362">
        <v>5.0000000000000001E-3</v>
      </c>
      <c r="I57" s="363">
        <v>5.0000000000000001E-3</v>
      </c>
      <c r="J57" s="49"/>
      <c r="K57" s="49"/>
    </row>
    <row r="58" spans="1:12">
      <c r="A58" s="50" t="s">
        <v>213</v>
      </c>
      <c r="B58" s="406">
        <f t="shared" ref="B58:I58" si="17">B51+B53+B55+B57</f>
        <v>0.15726074053668249</v>
      </c>
      <c r="C58" s="406">
        <f t="shared" si="17"/>
        <v>0.16282726433224348</v>
      </c>
      <c r="D58" s="365">
        <f t="shared" si="17"/>
        <v>0.15140425531914894</v>
      </c>
      <c r="E58" s="365">
        <f t="shared" si="17"/>
        <v>0.13157743928297172</v>
      </c>
      <c r="F58" s="365">
        <f t="shared" si="17"/>
        <v>0.1504259337778977</v>
      </c>
      <c r="G58" s="365">
        <f t="shared" si="17"/>
        <v>7.6499999999999985E-2</v>
      </c>
      <c r="H58" s="365">
        <f t="shared" si="17"/>
        <v>6.4500000000000002E-2</v>
      </c>
      <c r="I58" s="366">
        <f t="shared" si="17"/>
        <v>5.949999999999999E-2</v>
      </c>
      <c r="J58" s="49"/>
      <c r="K58" s="49"/>
    </row>
    <row r="59" spans="1:12">
      <c r="A59" s="51" t="s">
        <v>214</v>
      </c>
      <c r="B59" s="163">
        <f>利润表!B17</f>
        <v>14.65</v>
      </c>
      <c r="C59" s="163">
        <f>利润表!C17</f>
        <v>21.14</v>
      </c>
      <c r="D59" s="163">
        <f>利润表!D17</f>
        <v>12.88</v>
      </c>
      <c r="E59" s="163">
        <f>利润表!E17</f>
        <v>22.04</v>
      </c>
      <c r="F59" s="163">
        <f>利润表!F17</f>
        <v>25.77</v>
      </c>
      <c r="G59" s="347">
        <f>AVERAGE(D59:F59)</f>
        <v>20.23</v>
      </c>
      <c r="H59" s="347">
        <f t="shared" ref="H59:I61" si="18">AVERAGE(E59:G59)</f>
        <v>22.680000000000003</v>
      </c>
      <c r="I59" s="348">
        <f t="shared" si="18"/>
        <v>22.893333333333334</v>
      </c>
      <c r="J59" s="52"/>
      <c r="K59" s="49"/>
    </row>
    <row r="60" spans="1:12">
      <c r="A60" s="47" t="s">
        <v>215</v>
      </c>
      <c r="B60" s="375">
        <f>利润表!B18</f>
        <v>89.17</v>
      </c>
      <c r="C60" s="375">
        <f>利润表!C18</f>
        <v>70</v>
      </c>
      <c r="D60" s="375">
        <f>利润表!D18</f>
        <v>23.13</v>
      </c>
      <c r="E60" s="375">
        <f>利润表!E18</f>
        <v>8.3800000000000008</v>
      </c>
      <c r="F60" s="375">
        <f>利润表!F18</f>
        <v>-15.73</v>
      </c>
      <c r="G60" s="408">
        <f t="shared" ref="G60:G61" si="19">AVERAGE(D60:F60)</f>
        <v>5.2599999999999989</v>
      </c>
      <c r="H60" s="408">
        <f t="shared" si="18"/>
        <v>-0.69666666666666688</v>
      </c>
      <c r="I60" s="367">
        <f t="shared" si="18"/>
        <v>-3.7222222222222232</v>
      </c>
      <c r="J60" s="52"/>
      <c r="K60" s="52"/>
    </row>
    <row r="61" spans="1:12">
      <c r="A61" s="47" t="s">
        <v>208</v>
      </c>
      <c r="B61" s="375">
        <f>利润表!B22</f>
        <v>0</v>
      </c>
      <c r="C61" s="375">
        <f>利润表!C22</f>
        <v>0</v>
      </c>
      <c r="D61" s="373">
        <f>利润表!D22</f>
        <v>-11.61</v>
      </c>
      <c r="E61" s="373">
        <f>利润表!E22</f>
        <v>-5.13</v>
      </c>
      <c r="F61" s="375">
        <f>利润表!F22</f>
        <v>15.85</v>
      </c>
      <c r="G61" s="408">
        <f t="shared" si="19"/>
        <v>-0.29666666666666625</v>
      </c>
      <c r="H61" s="408">
        <f t="shared" si="18"/>
        <v>3.474444444444444</v>
      </c>
      <c r="I61" s="367">
        <f t="shared" si="18"/>
        <v>6.3425925925925926</v>
      </c>
      <c r="J61" s="52"/>
      <c r="K61" s="117"/>
      <c r="L61" s="46"/>
    </row>
    <row r="62" spans="1:12">
      <c r="A62" s="47" t="s">
        <v>209</v>
      </c>
      <c r="B62" s="375">
        <f>利润表!B23</f>
        <v>109.08</v>
      </c>
      <c r="C62" s="375">
        <f>利润表!C23</f>
        <v>82.63</v>
      </c>
      <c r="D62" s="373">
        <f>利润表!D23</f>
        <v>-32.049999999999997</v>
      </c>
      <c r="E62" s="373">
        <f>利润表!E23</f>
        <v>-8.1199999999999992</v>
      </c>
      <c r="F62" s="373">
        <f>利润表!F23</f>
        <v>-30.38</v>
      </c>
      <c r="G62" s="373">
        <f>G63*G42</f>
        <v>-34.42828611395462</v>
      </c>
      <c r="H62" s="373">
        <f t="shared" ref="H62:I62" si="20">H63*H42</f>
        <v>-53.177454504274358</v>
      </c>
      <c r="I62" s="358">
        <f t="shared" si="20"/>
        <v>-127.89605632400736</v>
      </c>
      <c r="J62" s="52"/>
      <c r="K62" s="52"/>
    </row>
    <row r="63" spans="1:12">
      <c r="A63" s="53" t="s">
        <v>47</v>
      </c>
      <c r="B63" s="354">
        <f>B62/B42</f>
        <v>6.8293660234657716E-2</v>
      </c>
      <c r="C63" s="354">
        <f>C62/C42</f>
        <v>5.1557391369456154E-2</v>
      </c>
      <c r="D63" s="354">
        <f>D62/D42</f>
        <v>-1.9483282674772034E-2</v>
      </c>
      <c r="E63" s="354">
        <f>E62/E42</f>
        <v>-4.6533484624465601E-3</v>
      </c>
      <c r="F63" s="354">
        <f>F62/F42</f>
        <v>-1.4637859923678833E-2</v>
      </c>
      <c r="G63" s="362">
        <f>AVERAGE(D63:F63)</f>
        <v>-1.2924830353632476E-2</v>
      </c>
      <c r="H63" s="362">
        <f t="shared" ref="H63:I63" si="21">AVERAGE(E63:G63)</f>
        <v>-1.0738679579919289E-2</v>
      </c>
      <c r="I63" s="363">
        <f t="shared" si="21"/>
        <v>-1.2767123285743531E-2</v>
      </c>
      <c r="J63" s="52"/>
      <c r="K63" s="49"/>
    </row>
    <row r="64" spans="1:12">
      <c r="A64" s="47" t="s">
        <v>210</v>
      </c>
      <c r="B64" s="375">
        <f>利润表!B24</f>
        <v>0</v>
      </c>
      <c r="C64" s="375">
        <f>利润表!C24</f>
        <v>0</v>
      </c>
      <c r="D64" s="373">
        <f>利润表!D24</f>
        <v>-22.57</v>
      </c>
      <c r="E64" s="373">
        <f>利润表!E24</f>
        <v>-63.73</v>
      </c>
      <c r="F64" s="373">
        <f>利润表!F24</f>
        <v>-25.85</v>
      </c>
      <c r="G64" s="373">
        <f>G65*G42</f>
        <v>-55.669749721123033</v>
      </c>
      <c r="H64" s="373">
        <f t="shared" ref="H64:I64" si="22">H65*H42</f>
        <v>-115.34134629341023</v>
      </c>
      <c r="I64" s="358">
        <f t="shared" si="22"/>
        <v>-189.15393684510119</v>
      </c>
      <c r="J64" s="49"/>
      <c r="K64" s="49"/>
    </row>
    <row r="65" spans="1:11" s="58" customFormat="1">
      <c r="A65" s="53" t="s">
        <v>47</v>
      </c>
      <c r="B65" s="354">
        <f>B64/B42</f>
        <v>0</v>
      </c>
      <c r="C65" s="354">
        <f>C64/C42</f>
        <v>0</v>
      </c>
      <c r="D65" s="354">
        <f>D64/D42</f>
        <v>-1.3720364741641337E-2</v>
      </c>
      <c r="E65" s="354">
        <f>E64/E42</f>
        <v>-3.6521908560556565E-2</v>
      </c>
      <c r="F65" s="354">
        <f>F64/F42</f>
        <v>-1.2455190224723432E-2</v>
      </c>
      <c r="G65" s="362">
        <f>AVERAGE(D65:F65)</f>
        <v>-2.0899154508973779E-2</v>
      </c>
      <c r="H65" s="362">
        <f t="shared" ref="H65" si="23">AVERAGE(E65:G65)</f>
        <v>-2.3292084431417923E-2</v>
      </c>
      <c r="I65" s="363">
        <f t="shared" ref="I65" si="24">AVERAGE(F65:H65)</f>
        <v>-1.8882143055038377E-2</v>
      </c>
      <c r="J65" s="57"/>
      <c r="K65" s="57"/>
    </row>
    <row r="66" spans="1:11">
      <c r="A66" s="47" t="s">
        <v>211</v>
      </c>
      <c r="B66" s="373">
        <f>利润表!B25</f>
        <v>-2.11</v>
      </c>
      <c r="C66" s="373">
        <f>利润表!C25</f>
        <v>108.5</v>
      </c>
      <c r="D66" s="373">
        <f>利润表!D25</f>
        <v>-6.32</v>
      </c>
      <c r="E66" s="373">
        <f>利润表!E25</f>
        <v>23.42</v>
      </c>
      <c r="F66" s="373">
        <f>利润表!F25</f>
        <v>-10.32</v>
      </c>
      <c r="G66" s="408">
        <f>AVERAGE(D66:F66)</f>
        <v>2.2600000000000002</v>
      </c>
      <c r="H66" s="408">
        <f t="shared" ref="H66:I66" si="25">AVERAGE(E66:G66)</f>
        <v>5.12</v>
      </c>
      <c r="I66" s="367">
        <f t="shared" si="25"/>
        <v>-0.98000000000000009</v>
      </c>
      <c r="J66" s="52"/>
      <c r="K66" s="52"/>
    </row>
    <row r="67" spans="1:11" s="58" customFormat="1">
      <c r="A67" s="54" t="s">
        <v>216</v>
      </c>
      <c r="B67" s="372">
        <f>利润表!B29</f>
        <v>13.17</v>
      </c>
      <c r="C67" s="372">
        <f>利润表!C29</f>
        <v>66.040000000000006</v>
      </c>
      <c r="D67" s="372">
        <f>利润表!D29</f>
        <v>-66.58</v>
      </c>
      <c r="E67" s="372">
        <f>利润表!E29</f>
        <v>47.56</v>
      </c>
      <c r="F67" s="372">
        <f>利润表!F29</f>
        <v>-108.08</v>
      </c>
      <c r="G67" s="349">
        <f>G42-G44-SUM(G48,G50,G52,G54,G56)+SUM(G59:G60)+G61+G62+G64+G66</f>
        <v>20.897772244506118</v>
      </c>
      <c r="H67" s="349">
        <f t="shared" ref="H67:I67" si="26">H42-H44-SUM(H48,H50,H52,H54,H56)+SUM(H59:H60)+H61+H62+H64+H66</f>
        <v>351.53114148582972</v>
      </c>
      <c r="I67" s="350">
        <f t="shared" si="26"/>
        <v>1120.7949324476549</v>
      </c>
      <c r="J67" s="59"/>
      <c r="K67" s="59"/>
    </row>
    <row r="68" spans="1:11">
      <c r="A68" s="47" t="s">
        <v>154</v>
      </c>
      <c r="B68" s="373">
        <f>利润表!B30</f>
        <v>4.45</v>
      </c>
      <c r="C68" s="373">
        <f>利润表!C30</f>
        <v>2.21</v>
      </c>
      <c r="D68" s="373">
        <f>利润表!D30</f>
        <v>4.88</v>
      </c>
      <c r="E68" s="373">
        <f>利润表!E30</f>
        <v>13.12</v>
      </c>
      <c r="F68" s="373">
        <f>利润表!F30</f>
        <v>2.2999999999999998</v>
      </c>
      <c r="G68" s="374">
        <f>AVERAGE(D68:F68)</f>
        <v>6.7666666666666666</v>
      </c>
      <c r="H68" s="374">
        <f t="shared" ref="H68:I69" si="27">AVERAGE(E68:G68)</f>
        <v>7.3955555555555543</v>
      </c>
      <c r="I68" s="351">
        <f t="shared" si="27"/>
        <v>5.4874074074074066</v>
      </c>
      <c r="J68" s="118"/>
      <c r="K68" s="52"/>
    </row>
    <row r="69" spans="1:11" s="58" customFormat="1">
      <c r="A69" s="47" t="s">
        <v>153</v>
      </c>
      <c r="B69" s="375">
        <f>利润表!B31</f>
        <v>1.05</v>
      </c>
      <c r="C69" s="375">
        <f>利润表!C31</f>
        <v>1.81</v>
      </c>
      <c r="D69" s="375">
        <f>利润表!D31</f>
        <v>9.4600000000000009</v>
      </c>
      <c r="E69" s="375">
        <f>利润表!E31</f>
        <v>13</v>
      </c>
      <c r="F69" s="375">
        <f>利润表!F31</f>
        <v>10.84</v>
      </c>
      <c r="G69" s="374">
        <f>AVERAGE(D69:F69)</f>
        <v>11.1</v>
      </c>
      <c r="H69" s="374">
        <f t="shared" si="27"/>
        <v>11.646666666666667</v>
      </c>
      <c r="I69" s="351">
        <f t="shared" si="27"/>
        <v>11.195555555555556</v>
      </c>
      <c r="J69" s="57"/>
      <c r="K69" s="57"/>
    </row>
    <row r="70" spans="1:11">
      <c r="A70" s="55" t="s">
        <v>16</v>
      </c>
      <c r="B70" s="376">
        <f>利润表!B35</f>
        <v>16.579999999999998</v>
      </c>
      <c r="C70" s="376">
        <f>利润表!C35</f>
        <v>66.44</v>
      </c>
      <c r="D70" s="376">
        <f>利润表!D35</f>
        <v>-71.16</v>
      </c>
      <c r="E70" s="376">
        <f>利润表!E35</f>
        <v>47.68</v>
      </c>
      <c r="F70" s="376">
        <f>利润表!F35</f>
        <v>-116.62</v>
      </c>
      <c r="G70" s="377">
        <f>G67+G68-G69</f>
        <v>16.564438911172786</v>
      </c>
      <c r="H70" s="377">
        <f t="shared" ref="H70:I70" si="28">H67+H68-H69</f>
        <v>347.28003037471865</v>
      </c>
      <c r="I70" s="352">
        <f t="shared" si="28"/>
        <v>1115.0867842995067</v>
      </c>
      <c r="J70" s="49"/>
      <c r="K70" s="49"/>
    </row>
    <row r="71" spans="1:11">
      <c r="A71" s="56" t="s">
        <v>39</v>
      </c>
      <c r="B71" s="378"/>
      <c r="C71" s="354">
        <f t="shared" ref="C71:I71" si="29">C70/B70-1</f>
        <v>3.0072376357056694</v>
      </c>
      <c r="D71" s="354">
        <f t="shared" si="29"/>
        <v>-2.0710415412402168</v>
      </c>
      <c r="E71" s="354">
        <f>-(E70-D70)/D70</f>
        <v>1.6700393479482858</v>
      </c>
      <c r="F71" s="354">
        <f t="shared" si="29"/>
        <v>-3.4458892617449663</v>
      </c>
      <c r="G71" s="354">
        <f>-(G70-F70)/F70</f>
        <v>1.1420377200409257</v>
      </c>
      <c r="H71" s="354">
        <f t="shared" si="29"/>
        <v>19.96539654841413</v>
      </c>
      <c r="I71" s="368">
        <f t="shared" si="29"/>
        <v>2.2109153615781385</v>
      </c>
      <c r="J71" s="119"/>
      <c r="K71" s="52"/>
    </row>
    <row r="72" spans="1:11" s="58" customFormat="1">
      <c r="A72" s="47" t="s">
        <v>45</v>
      </c>
      <c r="B72" s="373">
        <f>利润表!B36</f>
        <v>6.36</v>
      </c>
      <c r="C72" s="373">
        <f>利润表!C36</f>
        <v>10.029999999999999</v>
      </c>
      <c r="D72" s="373">
        <f>利润表!D36</f>
        <v>-6.77</v>
      </c>
      <c r="E72" s="373">
        <f>利润表!E36</f>
        <v>-0.52</v>
      </c>
      <c r="F72" s="373">
        <f>利润表!F36</f>
        <v>12.39</v>
      </c>
      <c r="G72" s="379">
        <f>G73*G70</f>
        <v>1.6564438911172787</v>
      </c>
      <c r="H72" s="379">
        <f t="shared" ref="H72:I72" si="30">H73*H70</f>
        <v>34.728003037471865</v>
      </c>
      <c r="I72" s="357">
        <f t="shared" si="30"/>
        <v>111.50867842995068</v>
      </c>
      <c r="J72" s="59"/>
      <c r="K72" s="59"/>
    </row>
    <row r="73" spans="1:11">
      <c r="A73" s="56" t="s">
        <v>49</v>
      </c>
      <c r="B73" s="354">
        <f>B72/B70</f>
        <v>0.38359469240048255</v>
      </c>
      <c r="C73" s="354">
        <f>C72/C70</f>
        <v>0.15096327513546057</v>
      </c>
      <c r="D73" s="354">
        <f>D72/D70</f>
        <v>9.5137717818999434E-2</v>
      </c>
      <c r="E73" s="354">
        <f>E72/E70</f>
        <v>-1.0906040268456376E-2</v>
      </c>
      <c r="F73" s="354">
        <f>F72/F70</f>
        <v>-0.10624249699879952</v>
      </c>
      <c r="G73" s="362">
        <v>0.1</v>
      </c>
      <c r="H73" s="362">
        <v>0.1</v>
      </c>
      <c r="I73" s="363">
        <v>0.1</v>
      </c>
      <c r="J73" s="49"/>
      <c r="K73" s="49"/>
    </row>
    <row r="74" spans="1:11">
      <c r="A74" s="47" t="s">
        <v>217</v>
      </c>
      <c r="B74" s="373">
        <f>利润表!B40</f>
        <v>10.220000000000001</v>
      </c>
      <c r="C74" s="373">
        <f>利润表!C40</f>
        <v>56.41</v>
      </c>
      <c r="D74" s="373">
        <f>利润表!D40</f>
        <v>-64.39</v>
      </c>
      <c r="E74" s="373">
        <f>利润表!E40</f>
        <v>48.2</v>
      </c>
      <c r="F74" s="373">
        <f>利润表!F40</f>
        <v>-129.01</v>
      </c>
      <c r="G74" s="360">
        <f>G70-G72</f>
        <v>14.907995020055507</v>
      </c>
      <c r="H74" s="360">
        <f t="shared" ref="H74:I74" si="31">H70-H72</f>
        <v>312.55202733724678</v>
      </c>
      <c r="I74" s="361">
        <f t="shared" si="31"/>
        <v>1003.578105869556</v>
      </c>
      <c r="J74" s="49"/>
      <c r="K74" s="49"/>
    </row>
    <row r="75" spans="1:11">
      <c r="A75" s="56" t="s">
        <v>7</v>
      </c>
      <c r="B75" s="354">
        <f t="shared" ref="B75:F75" si="32">B74/B42</f>
        <v>6.3986175980766582E-3</v>
      </c>
      <c r="C75" s="354">
        <f t="shared" si="32"/>
        <v>3.5197294531659463E-2</v>
      </c>
      <c r="D75" s="354">
        <f t="shared" si="32"/>
        <v>-3.9142857142857146E-2</v>
      </c>
      <c r="E75" s="354">
        <f t="shared" si="32"/>
        <v>2.762209308989215E-2</v>
      </c>
      <c r="F75" s="354">
        <f t="shared" si="32"/>
        <v>-6.2160312993871175E-2</v>
      </c>
      <c r="G75" s="354">
        <f>G74/G42</f>
        <v>5.596656943922515E-3</v>
      </c>
      <c r="H75" s="354">
        <f t="shared" ref="H75:I75" si="33">H74/H42</f>
        <v>6.3116899914024333E-2</v>
      </c>
      <c r="I75" s="368">
        <f t="shared" si="33"/>
        <v>0.10018139552364372</v>
      </c>
      <c r="K75" s="62"/>
    </row>
    <row r="76" spans="1:11">
      <c r="A76" s="47" t="s">
        <v>218</v>
      </c>
      <c r="B76" s="373">
        <f>利润表!B43</f>
        <v>-6.41</v>
      </c>
      <c r="C76" s="373">
        <f>利润表!C43</f>
        <v>1.83</v>
      </c>
      <c r="D76" s="373">
        <f>利润表!D43</f>
        <v>-0.31</v>
      </c>
      <c r="E76" s="373">
        <f>利润表!E43</f>
        <v>-0.94</v>
      </c>
      <c r="F76" s="373">
        <f>利润表!F43</f>
        <v>-1.83</v>
      </c>
      <c r="G76" s="379">
        <f>G74*G77</f>
        <v>0.21146911779475686</v>
      </c>
      <c r="H76" s="379">
        <f t="shared" ref="H76:I76" si="34">H74*H77</f>
        <v>4.4335339123103763</v>
      </c>
      <c r="I76" s="357">
        <f t="shared" si="34"/>
        <v>14.235702145115011</v>
      </c>
    </row>
    <row r="77" spans="1:11">
      <c r="A77" s="47" t="s">
        <v>828</v>
      </c>
      <c r="B77" s="381">
        <f>B76/B74</f>
        <v>-0.62720156555772988</v>
      </c>
      <c r="C77" s="381">
        <f t="shared" ref="C77:F77" si="35">C76/C74</f>
        <v>3.2441056550257051E-2</v>
      </c>
      <c r="D77" s="381">
        <f t="shared" si="35"/>
        <v>4.8144121758036959E-3</v>
      </c>
      <c r="E77" s="381">
        <f t="shared" si="35"/>
        <v>-1.9502074688796677E-2</v>
      </c>
      <c r="F77" s="381">
        <f t="shared" si="35"/>
        <v>1.4184946903340828E-2</v>
      </c>
      <c r="G77" s="382">
        <f>F77</f>
        <v>1.4184946903340828E-2</v>
      </c>
      <c r="H77" s="382">
        <f t="shared" ref="H77:I77" si="36">G77</f>
        <v>1.4184946903340828E-2</v>
      </c>
      <c r="I77" s="409">
        <f t="shared" si="36"/>
        <v>1.4184946903340828E-2</v>
      </c>
    </row>
    <row r="78" spans="1:11">
      <c r="A78" s="60" t="s">
        <v>219</v>
      </c>
      <c r="B78" s="369">
        <f>利润表!B44</f>
        <v>16.63</v>
      </c>
      <c r="C78" s="369">
        <f>利润表!C44</f>
        <v>54.58</v>
      </c>
      <c r="D78" s="369">
        <f>利润表!D44</f>
        <v>-64.08</v>
      </c>
      <c r="E78" s="369">
        <f>利润表!E44</f>
        <v>49.14</v>
      </c>
      <c r="F78" s="369">
        <f>利润表!F44</f>
        <v>-127.18</v>
      </c>
      <c r="G78" s="369">
        <f>G74-G76</f>
        <v>14.696525902260751</v>
      </c>
      <c r="H78" s="369">
        <f t="shared" ref="H78:I78" si="37">H74-H76</f>
        <v>308.11849342493639</v>
      </c>
      <c r="I78" s="410">
        <f t="shared" si="37"/>
        <v>989.34240372444094</v>
      </c>
    </row>
    <row r="79" spans="1:11">
      <c r="A79" s="61" t="s">
        <v>39</v>
      </c>
      <c r="B79" s="353"/>
      <c r="C79" s="370">
        <f t="shared" ref="C79:I79" si="38">C78/B78-1</f>
        <v>2.2820204449789538</v>
      </c>
      <c r="D79" s="370">
        <f t="shared" si="38"/>
        <v>-2.1740564309270796</v>
      </c>
      <c r="E79" s="370">
        <f>-(E78-D78)/D78</f>
        <v>1.7668539325842696</v>
      </c>
      <c r="F79" s="370">
        <f t="shared" si="38"/>
        <v>-3.5881155881155884</v>
      </c>
      <c r="G79" s="370">
        <f>-(G78-F78)/F78</f>
        <v>1.1155568949698125</v>
      </c>
      <c r="H79" s="370">
        <f t="shared" si="38"/>
        <v>19.96539654841413</v>
      </c>
      <c r="I79" s="371">
        <f t="shared" si="38"/>
        <v>2.2109153615781385</v>
      </c>
    </row>
    <row r="80" spans="1:11">
      <c r="F80" s="120"/>
      <c r="G80" s="120"/>
    </row>
    <row r="81" spans="5:7">
      <c r="G81" s="52"/>
    </row>
    <row r="82" spans="5:7">
      <c r="E82" s="46"/>
    </row>
    <row r="84" spans="5:7">
      <c r="E84" s="46"/>
    </row>
  </sheetData>
  <mergeCells count="1">
    <mergeCell ref="A1:XFD3"/>
  </mergeCells>
  <phoneticPr fontId="11" type="noConversion"/>
  <pageMargins left="0.7" right="0.7" top="0.75" bottom="0.75" header="0.3" footer="0.3"/>
  <pageSetup paperSize="9" orientation="portrait" r:id="rId1"/>
  <ignoredErrors>
    <ignoredError sqref="B49:F49" formula="1"/>
  </ignoredError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S55"/>
  <sheetViews>
    <sheetView showGridLines="0" zoomScale="115" zoomScaleNormal="115" workbookViewId="0">
      <selection activeCell="H19" sqref="H19"/>
    </sheetView>
  </sheetViews>
  <sheetFormatPr defaultColWidth="8.81640625" defaultRowHeight="16.5"/>
  <cols>
    <col min="1" max="1" width="30.1796875" style="1" customWidth="1"/>
    <col min="2" max="2" width="14.08984375" style="1" customWidth="1"/>
    <col min="3" max="4" width="11.453125" style="1" customWidth="1"/>
    <col min="5" max="5" width="13.08984375" style="1" customWidth="1"/>
    <col min="6" max="7" width="11.453125" style="1" customWidth="1"/>
    <col min="8" max="8" width="15.08984375" style="1" customWidth="1"/>
    <col min="9" max="9" width="11.453125" style="1" customWidth="1"/>
    <col min="10" max="10" width="11.81640625" style="1" customWidth="1"/>
    <col min="11" max="11" width="21.26953125" style="1" hidden="1" customWidth="1"/>
    <col min="12" max="13" width="16" style="1" hidden="1" customWidth="1"/>
    <col min="14" max="14" width="17.08984375" style="1" hidden="1" customWidth="1"/>
    <col min="15" max="15" width="16" style="1" hidden="1" customWidth="1"/>
    <col min="16" max="16" width="17.08984375" style="1" hidden="1" customWidth="1"/>
    <col min="17" max="19" width="0" style="1" hidden="1" customWidth="1"/>
    <col min="20" max="16384" width="8.81640625" style="1"/>
  </cols>
  <sheetData>
    <row r="1" spans="1:19" s="416" customFormat="1" ht="13.75" customHeight="1">
      <c r="A1" s="416" t="s">
        <v>275</v>
      </c>
    </row>
    <row r="2" spans="1:19" s="416" customFormat="1" ht="13.75" customHeight="1"/>
    <row r="3" spans="1:19" s="416" customFormat="1" ht="13.75" customHeight="1"/>
    <row r="4" spans="1:19" s="105" customFormat="1" ht="13.75" customHeight="1">
      <c r="A4" s="104" t="s">
        <v>373</v>
      </c>
    </row>
    <row r="5" spans="1:19" s="105" customFormat="1" ht="13.75" customHeight="1">
      <c r="A5" s="106"/>
    </row>
    <row r="6" spans="1:19" s="105" customFormat="1" ht="14">
      <c r="A6" s="104" t="s">
        <v>276</v>
      </c>
      <c r="B6" s="104">
        <v>2017</v>
      </c>
      <c r="C6" s="104">
        <v>2018</v>
      </c>
    </row>
    <row r="7" spans="1:19" s="69" customFormat="1" ht="14">
      <c r="A7" s="81" t="s">
        <v>234</v>
      </c>
      <c r="B7" s="160">
        <v>368.10170799999997</v>
      </c>
      <c r="C7" s="160">
        <v>261.05578000000003</v>
      </c>
    </row>
    <row r="8" spans="1:19" s="69" customFormat="1" ht="14">
      <c r="A8" s="81" t="s">
        <v>39</v>
      </c>
      <c r="B8" s="160"/>
      <c r="C8" s="82">
        <f>C7/B7-1</f>
        <v>-0.29080530101751101</v>
      </c>
    </row>
    <row r="9" spans="1:19" s="69" customFormat="1" ht="14">
      <c r="A9" s="81" t="s">
        <v>46</v>
      </c>
      <c r="B9" s="160">
        <v>307.71567199999998</v>
      </c>
      <c r="C9" s="160">
        <v>205.94779</v>
      </c>
      <c r="D9" s="69" t="s">
        <v>274</v>
      </c>
    </row>
    <row r="10" spans="1:19" s="69" customFormat="1" ht="14">
      <c r="A10" s="81" t="s">
        <v>34</v>
      </c>
      <c r="B10" s="160">
        <f>B7-B9</f>
        <v>60.38603599999999</v>
      </c>
      <c r="C10" s="160">
        <f>C7-C9</f>
        <v>55.107990000000029</v>
      </c>
    </row>
    <row r="11" spans="1:19" s="69" customFormat="1" ht="14">
      <c r="A11" s="81" t="s">
        <v>40</v>
      </c>
      <c r="B11" s="82">
        <f>B10/B7</f>
        <v>0.16404714970787365</v>
      </c>
      <c r="C11" s="82">
        <f>C10/C7</f>
        <v>0.21109660931468371</v>
      </c>
      <c r="D11" s="153"/>
      <c r="E11" s="105"/>
      <c r="F11" s="105"/>
      <c r="G11" s="411">
        <f>G14+G25+G36</f>
        <v>2493.6373313999998</v>
      </c>
      <c r="H11" s="411">
        <f t="shared" ref="H11:I11" si="0">H14+H25+H36</f>
        <v>3828.8503731149995</v>
      </c>
      <c r="I11" s="411">
        <f t="shared" si="0"/>
        <v>4451.7948358904996</v>
      </c>
    </row>
    <row r="12" spans="1:19" s="69" customFormat="1" ht="14">
      <c r="G12" s="113" t="s">
        <v>235</v>
      </c>
      <c r="H12" s="105"/>
      <c r="I12" s="105"/>
      <c r="J12" s="105"/>
      <c r="K12" s="104" t="s">
        <v>448</v>
      </c>
      <c r="L12" s="104">
        <v>2017</v>
      </c>
      <c r="M12" s="104">
        <v>2018</v>
      </c>
      <c r="N12" s="104">
        <v>2019</v>
      </c>
      <c r="O12" s="104">
        <v>2020</v>
      </c>
      <c r="P12" s="104">
        <v>2021</v>
      </c>
      <c r="Q12" s="104" t="s">
        <v>60</v>
      </c>
      <c r="R12" s="104" t="s">
        <v>1</v>
      </c>
      <c r="S12" s="104" t="s">
        <v>50</v>
      </c>
    </row>
    <row r="13" spans="1:19" s="71" customFormat="1" ht="14">
      <c r="A13" s="104" t="s">
        <v>827</v>
      </c>
      <c r="B13" s="104">
        <v>2017</v>
      </c>
      <c r="C13" s="104">
        <v>2018</v>
      </c>
      <c r="D13" s="104">
        <v>2019</v>
      </c>
      <c r="E13" s="104">
        <v>2020</v>
      </c>
      <c r="F13" s="104">
        <v>2021</v>
      </c>
      <c r="G13" s="104" t="s">
        <v>60</v>
      </c>
      <c r="H13" s="104" t="s">
        <v>1</v>
      </c>
      <c r="I13" s="104" t="s">
        <v>50</v>
      </c>
      <c r="J13" s="105"/>
      <c r="K13" s="104" t="s">
        <v>445</v>
      </c>
      <c r="L13" s="104">
        <v>2019</v>
      </c>
      <c r="M13" s="104">
        <v>2020</v>
      </c>
      <c r="N13" s="104">
        <v>2021</v>
      </c>
      <c r="O13" s="104" t="s">
        <v>60</v>
      </c>
      <c r="P13" s="104" t="s">
        <v>1</v>
      </c>
      <c r="Q13" s="104" t="s">
        <v>50</v>
      </c>
    </row>
    <row r="14" spans="1:19" s="71" customFormat="1" ht="14">
      <c r="A14" s="81" t="s">
        <v>14</v>
      </c>
      <c r="B14" s="164">
        <v>855.16629799999998</v>
      </c>
      <c r="C14" s="164">
        <v>870.29286100000002</v>
      </c>
      <c r="D14" s="166">
        <v>907.40549499999997</v>
      </c>
      <c r="E14" s="166">
        <v>1018.032283</v>
      </c>
      <c r="F14" s="166">
        <v>1377.324253</v>
      </c>
      <c r="G14" s="151">
        <f>F14*(1+G15)</f>
        <v>1652.7891035999999</v>
      </c>
      <c r="H14" s="151">
        <f t="shared" ref="H14:I14" si="1">G14*(1+H15)</f>
        <v>2479.1836553999997</v>
      </c>
      <c r="I14" s="151">
        <f t="shared" si="1"/>
        <v>2851.0612037099995</v>
      </c>
      <c r="K14" s="194" t="s">
        <v>443</v>
      </c>
      <c r="L14" s="195">
        <v>868.44800099999998</v>
      </c>
      <c r="M14" s="195">
        <v>711.54440099999999</v>
      </c>
      <c r="N14" s="195">
        <v>919.59536400000002</v>
      </c>
      <c r="O14" s="195"/>
      <c r="P14" s="195"/>
      <c r="Q14" s="195"/>
    </row>
    <row r="15" spans="1:19" s="71" customFormat="1" ht="14">
      <c r="A15" s="81" t="s">
        <v>39</v>
      </c>
      <c r="B15" s="165">
        <v>-0.11990000000000001</v>
      </c>
      <c r="C15" s="165">
        <f>C14/B14-1</f>
        <v>1.7688446136590041E-2</v>
      </c>
      <c r="D15" s="167">
        <f>D14/C14-1</f>
        <v>4.2643845150419857E-2</v>
      </c>
      <c r="E15" s="167">
        <f>E14/D14-1</f>
        <v>0.1219154926982231</v>
      </c>
      <c r="F15" s="167">
        <f>F14/E14-1</f>
        <v>0.3529278746850899</v>
      </c>
      <c r="G15" s="344">
        <v>0.2</v>
      </c>
      <c r="H15" s="344">
        <v>0.5</v>
      </c>
      <c r="I15" s="344">
        <v>0.15</v>
      </c>
      <c r="K15" s="194" t="s">
        <v>444</v>
      </c>
      <c r="L15" s="195">
        <v>139.15823</v>
      </c>
      <c r="M15" s="195">
        <v>159.52927600000001</v>
      </c>
      <c r="N15" s="195">
        <v>182.13959199999999</v>
      </c>
      <c r="O15" s="195"/>
      <c r="P15" s="195"/>
      <c r="Q15" s="195"/>
    </row>
    <row r="16" spans="1:19" s="71" customFormat="1" ht="14">
      <c r="A16" s="81" t="s">
        <v>46</v>
      </c>
      <c r="B16" s="164">
        <v>910.71166200000005</v>
      </c>
      <c r="C16" s="164">
        <v>758.05755899999997</v>
      </c>
      <c r="D16" s="166">
        <v>787.79835800000001</v>
      </c>
      <c r="E16" s="166">
        <v>822.77125999999998</v>
      </c>
      <c r="F16" s="166">
        <v>1180.2485160000001</v>
      </c>
      <c r="G16" s="152">
        <f>G14-G17</f>
        <v>1487.5101932399998</v>
      </c>
      <c r="H16" s="152">
        <f t="shared" ref="H16:I16" si="2">H14-H17</f>
        <v>2107.3061070899998</v>
      </c>
      <c r="I16" s="152">
        <f t="shared" si="2"/>
        <v>2423.4020231534996</v>
      </c>
      <c r="K16" s="194" t="s">
        <v>392</v>
      </c>
      <c r="L16" s="195">
        <v>32.722192</v>
      </c>
      <c r="M16" s="195">
        <v>41.209575999999998</v>
      </c>
      <c r="N16" s="195">
        <v>50.572958</v>
      </c>
      <c r="O16" s="195"/>
      <c r="P16" s="195"/>
      <c r="Q16" s="195"/>
    </row>
    <row r="17" spans="1:17">
      <c r="A17" s="81" t="s">
        <v>34</v>
      </c>
      <c r="B17" s="164">
        <f>B14-B16</f>
        <v>-55.545364000000063</v>
      </c>
      <c r="C17" s="164">
        <f>C14-C16</f>
        <v>112.23530200000005</v>
      </c>
      <c r="D17" s="166">
        <f>D14-D16</f>
        <v>119.60713699999997</v>
      </c>
      <c r="E17" s="166">
        <f>E14-E16</f>
        <v>195.26102300000002</v>
      </c>
      <c r="F17" s="166">
        <f>F14-F16</f>
        <v>197.07573699999989</v>
      </c>
      <c r="G17" s="166">
        <f>G14*G18</f>
        <v>165.27891036</v>
      </c>
      <c r="H17" s="166">
        <f t="shared" ref="H17:I17" si="3">H14*H18</f>
        <v>371.87754830999995</v>
      </c>
      <c r="I17" s="166">
        <f t="shared" si="3"/>
        <v>427.6591805564999</v>
      </c>
      <c r="K17" s="194" t="s">
        <v>446</v>
      </c>
      <c r="L17" s="195">
        <v>29.822472999999999</v>
      </c>
      <c r="M17" s="195">
        <v>33.193128000000002</v>
      </c>
      <c r="N17" s="195">
        <v>39.195107</v>
      </c>
      <c r="O17" s="195"/>
      <c r="P17" s="195"/>
      <c r="Q17" s="195"/>
    </row>
    <row r="18" spans="1:17">
      <c r="A18" s="81" t="s">
        <v>40</v>
      </c>
      <c r="B18" s="165">
        <f>B17/B14</f>
        <v>-6.4952704672653114E-2</v>
      </c>
      <c r="C18" s="165">
        <f>C17/C14</f>
        <v>0.12896268259748489</v>
      </c>
      <c r="D18" s="167">
        <f>D17/D14</f>
        <v>0.13181222469894782</v>
      </c>
      <c r="E18" s="167">
        <f>E17/E14</f>
        <v>0.19180238805845415</v>
      </c>
      <c r="F18" s="167">
        <f>F17/F14</f>
        <v>0.14308594114330164</v>
      </c>
      <c r="G18" s="345">
        <v>0.1</v>
      </c>
      <c r="H18" s="345">
        <v>0.15</v>
      </c>
      <c r="I18" s="345">
        <v>0.15</v>
      </c>
      <c r="K18" s="194" t="s">
        <v>447</v>
      </c>
      <c r="L18" s="195">
        <v>51.728411999999999</v>
      </c>
      <c r="M18" s="195">
        <v>63.750816</v>
      </c>
      <c r="N18" s="195">
        <v>111.62873399999999</v>
      </c>
      <c r="O18" s="195"/>
      <c r="P18" s="195"/>
      <c r="Q18" s="195"/>
    </row>
    <row r="19" spans="1:17">
      <c r="A19" s="81" t="s">
        <v>371</v>
      </c>
      <c r="B19" s="164"/>
      <c r="C19" s="164">
        <v>4297.8500000000004</v>
      </c>
      <c r="D19" s="166">
        <v>5927.17</v>
      </c>
      <c r="E19" s="166">
        <v>6351.85</v>
      </c>
      <c r="F19" s="166">
        <v>6830.99</v>
      </c>
      <c r="G19" s="151"/>
      <c r="H19" s="151"/>
      <c r="I19" s="196"/>
      <c r="K19" s="194" t="s">
        <v>247</v>
      </c>
      <c r="L19" s="195">
        <v>1121.9393110000001</v>
      </c>
      <c r="M19" s="195">
        <f>SUM(M14:M18)</f>
        <v>1009.2271969999999</v>
      </c>
      <c r="N19" s="195">
        <f>SUM(N14:N18)</f>
        <v>1303.1317549999999</v>
      </c>
      <c r="O19" s="195"/>
      <c r="P19" s="195"/>
      <c r="Q19" s="195"/>
    </row>
    <row r="20" spans="1:17" hidden="1">
      <c r="A20" s="81" t="s">
        <v>5</v>
      </c>
      <c r="B20" s="165"/>
      <c r="C20" s="165" t="s">
        <v>48</v>
      </c>
      <c r="D20" s="167">
        <f>D19/C19-1</f>
        <v>0.37910117849622482</v>
      </c>
      <c r="E20" s="167">
        <f>E19/D19-1</f>
        <v>7.1649708039418503E-2</v>
      </c>
      <c r="F20" s="167">
        <f>F19/E19-1</f>
        <v>7.5433141525697245E-2</v>
      </c>
      <c r="G20" s="82"/>
      <c r="H20" s="82"/>
      <c r="I20" s="196"/>
    </row>
    <row r="21" spans="1:17">
      <c r="A21" s="81" t="s">
        <v>372</v>
      </c>
      <c r="B21" s="164"/>
      <c r="C21" s="164">
        <v>4439.5</v>
      </c>
      <c r="D21" s="166">
        <v>5428.62</v>
      </c>
      <c r="E21" s="166">
        <v>6042.67</v>
      </c>
      <c r="F21" s="166">
        <v>6768.22</v>
      </c>
      <c r="G21" s="152"/>
      <c r="H21" s="152"/>
      <c r="I21" s="196"/>
    </row>
    <row r="22" spans="1:17" hidden="1">
      <c r="A22" s="81" t="s">
        <v>5</v>
      </c>
      <c r="B22" s="164"/>
      <c r="C22" s="164" t="s">
        <v>48</v>
      </c>
      <c r="D22" s="167">
        <f>D21/C21-1</f>
        <v>0.2227998648496452</v>
      </c>
      <c r="E22" s="167">
        <f>E21/D21-1</f>
        <v>0.11311346161639602</v>
      </c>
      <c r="F22" s="167">
        <f>F21/E21-1</f>
        <v>0.12007109440032315</v>
      </c>
      <c r="G22" s="152"/>
      <c r="H22" s="152"/>
      <c r="I22" s="196"/>
    </row>
    <row r="24" spans="1:17">
      <c r="A24" s="104" t="s">
        <v>826</v>
      </c>
      <c r="B24" s="104">
        <v>2017</v>
      </c>
      <c r="C24" s="104">
        <v>2018</v>
      </c>
      <c r="D24" s="104">
        <v>2019</v>
      </c>
      <c r="E24" s="104">
        <v>2020</v>
      </c>
      <c r="F24" s="104">
        <v>2021</v>
      </c>
      <c r="G24" s="104" t="s">
        <v>60</v>
      </c>
      <c r="H24" s="104" t="s">
        <v>1</v>
      </c>
      <c r="I24" s="104" t="s">
        <v>50</v>
      </c>
      <c r="K24" s="104" t="s">
        <v>449</v>
      </c>
      <c r="L24" s="104">
        <v>2019</v>
      </c>
      <c r="M24" s="104">
        <v>2020</v>
      </c>
      <c r="N24" s="104">
        <v>2021</v>
      </c>
      <c r="O24" s="104" t="s">
        <v>60</v>
      </c>
      <c r="P24" s="104" t="s">
        <v>1</v>
      </c>
      <c r="Q24" s="104" t="s">
        <v>50</v>
      </c>
    </row>
    <row r="25" spans="1:17">
      <c r="A25" s="81" t="s">
        <v>14</v>
      </c>
      <c r="B25" s="164">
        <v>244.942384</v>
      </c>
      <c r="C25" s="164">
        <v>255.54095000000001</v>
      </c>
      <c r="D25" s="166">
        <v>278.481224</v>
      </c>
      <c r="E25" s="166">
        <v>184.35147000000001</v>
      </c>
      <c r="F25" s="166">
        <v>186.33510200000001</v>
      </c>
      <c r="G25" s="166">
        <f>F25*(1+G26)</f>
        <v>251.55238770000003</v>
      </c>
      <c r="H25" s="166">
        <f>G25*(1+H26)</f>
        <v>377.32858155000002</v>
      </c>
      <c r="I25" s="166">
        <f>H25*(1+I26)</f>
        <v>433.92786878250001</v>
      </c>
      <c r="K25" s="194" t="s">
        <v>443</v>
      </c>
      <c r="L25" s="195">
        <v>288.32949000000002</v>
      </c>
      <c r="M25" s="195">
        <v>127.60137</v>
      </c>
      <c r="N25" s="195">
        <v>119.11376799999999</v>
      </c>
      <c r="O25" s="195"/>
      <c r="P25" s="195"/>
      <c r="Q25" s="195"/>
    </row>
    <row r="26" spans="1:17">
      <c r="A26" s="81" t="s">
        <v>39</v>
      </c>
      <c r="B26" s="165">
        <v>1.29E-2</v>
      </c>
      <c r="C26" s="165">
        <f>C25/B25-1</f>
        <v>4.3269628665000726E-2</v>
      </c>
      <c r="D26" s="167">
        <f>D25/C25-1</f>
        <v>8.9771420197036766E-2</v>
      </c>
      <c r="E26" s="167">
        <f>E25/D25-1</f>
        <v>-0.33801113284391482</v>
      </c>
      <c r="F26" s="167">
        <f>F25/E25-1</f>
        <v>1.076005523579493E-2</v>
      </c>
      <c r="G26" s="344">
        <v>0.35</v>
      </c>
      <c r="H26" s="344">
        <v>0.5</v>
      </c>
      <c r="I26" s="344">
        <v>0.15</v>
      </c>
      <c r="K26" s="194" t="s">
        <v>444</v>
      </c>
      <c r="L26" s="195">
        <v>36.532147999999999</v>
      </c>
      <c r="M26" s="195">
        <v>35.836196000000001</v>
      </c>
      <c r="N26" s="195">
        <v>36.449249000000002</v>
      </c>
      <c r="O26" s="195"/>
      <c r="P26" s="195"/>
      <c r="Q26" s="195"/>
    </row>
    <row r="27" spans="1:17">
      <c r="A27" s="81" t="s">
        <v>46</v>
      </c>
      <c r="B27" s="164">
        <v>254.94992999999999</v>
      </c>
      <c r="C27" s="164">
        <v>234.23833500000001</v>
      </c>
      <c r="D27" s="166">
        <v>228.826222</v>
      </c>
      <c r="E27" s="166">
        <v>178.798462</v>
      </c>
      <c r="F27" s="166">
        <v>171.23337799999999</v>
      </c>
      <c r="G27" s="346">
        <f>G25-G28</f>
        <v>231.42819668400003</v>
      </c>
      <c r="H27" s="346">
        <f t="shared" ref="H27:I27" si="4">H25-H28</f>
        <v>347.142295026</v>
      </c>
      <c r="I27" s="346">
        <f t="shared" si="4"/>
        <v>399.21363927990001</v>
      </c>
      <c r="K27" s="194" t="s">
        <v>392</v>
      </c>
      <c r="L27" s="195">
        <v>6.6314320000000002</v>
      </c>
      <c r="M27" s="195">
        <v>7.1175899999999999</v>
      </c>
      <c r="N27" s="195">
        <v>8.2287169999999996</v>
      </c>
      <c r="O27" s="195"/>
      <c r="P27" s="195"/>
      <c r="Q27" s="195"/>
    </row>
    <row r="28" spans="1:17">
      <c r="A28" s="81" t="s">
        <v>34</v>
      </c>
      <c r="B28" s="164">
        <f>B25-B27</f>
        <v>-10.007545999999991</v>
      </c>
      <c r="C28" s="164">
        <f>C25-C27</f>
        <v>21.302615000000003</v>
      </c>
      <c r="D28" s="166">
        <f>D25-D27</f>
        <v>49.655001999999996</v>
      </c>
      <c r="E28" s="166">
        <f>E25-E27</f>
        <v>5.5530080000000055</v>
      </c>
      <c r="F28" s="166">
        <f>F25-F27</f>
        <v>15.101724000000019</v>
      </c>
      <c r="G28" s="346">
        <f>G25*G29</f>
        <v>20.124191016000001</v>
      </c>
      <c r="H28" s="346">
        <f t="shared" ref="H28:I28" si="5">H25*H29</f>
        <v>30.186286524000003</v>
      </c>
      <c r="I28" s="346">
        <f t="shared" si="5"/>
        <v>34.714229502599999</v>
      </c>
      <c r="K28" s="194" t="s">
        <v>446</v>
      </c>
      <c r="L28" s="195">
        <v>8.3776139999999995</v>
      </c>
      <c r="M28" s="195">
        <v>9.4996530000000003</v>
      </c>
      <c r="N28" s="195">
        <v>9.8878249999999994</v>
      </c>
      <c r="O28" s="195"/>
      <c r="P28" s="195"/>
      <c r="Q28" s="195"/>
    </row>
    <row r="29" spans="1:17">
      <c r="A29" s="81" t="s">
        <v>40</v>
      </c>
      <c r="B29" s="165">
        <f>B28/B25</f>
        <v>-4.085673470051631E-2</v>
      </c>
      <c r="C29" s="165">
        <f>C28/C25</f>
        <v>8.3362823062213723E-2</v>
      </c>
      <c r="D29" s="167">
        <f>D28/D25</f>
        <v>0.17830646277251352</v>
      </c>
      <c r="E29" s="167">
        <f>E28/E25</f>
        <v>3.0121853652699409E-2</v>
      </c>
      <c r="F29" s="167">
        <f>F28/F25</f>
        <v>8.1046050035167377E-2</v>
      </c>
      <c r="G29" s="344">
        <v>0.08</v>
      </c>
      <c r="H29" s="344">
        <v>0.08</v>
      </c>
      <c r="I29" s="344">
        <v>0.08</v>
      </c>
      <c r="K29" s="194" t="s">
        <v>447</v>
      </c>
      <c r="L29" s="195">
        <v>14.017120999999999</v>
      </c>
      <c r="M29" s="195">
        <v>11.109457000000001</v>
      </c>
      <c r="N29" s="195">
        <v>15.047314999999999</v>
      </c>
      <c r="O29" s="195"/>
      <c r="P29" s="195"/>
      <c r="Q29" s="195"/>
    </row>
    <row r="30" spans="1:17">
      <c r="A30" s="81" t="s">
        <v>371</v>
      </c>
      <c r="B30" s="164"/>
      <c r="C30" s="164">
        <v>2386.92</v>
      </c>
      <c r="D30" s="166">
        <v>2715.13</v>
      </c>
      <c r="E30" s="166">
        <v>2429.5500000000002</v>
      </c>
      <c r="F30" s="166">
        <v>2051.58</v>
      </c>
      <c r="G30" s="151"/>
      <c r="H30" s="151"/>
      <c r="I30" s="196"/>
      <c r="K30" s="194" t="s">
        <v>247</v>
      </c>
      <c r="L30" s="195">
        <v>293.88780700000001</v>
      </c>
      <c r="M30" s="195">
        <f>SUM(M25:M29)</f>
        <v>191.164266</v>
      </c>
      <c r="N30" s="195">
        <f t="shared" ref="N30" si="6">SUM(N25:N29)</f>
        <v>188.72687399999998</v>
      </c>
      <c r="O30" s="195"/>
      <c r="P30" s="195"/>
      <c r="Q30" s="195"/>
    </row>
    <row r="31" spans="1:17" hidden="1">
      <c r="A31" s="81" t="s">
        <v>5</v>
      </c>
      <c r="B31" s="165"/>
      <c r="C31" s="165" t="s">
        <v>48</v>
      </c>
      <c r="D31" s="167">
        <f>D30/C30-1</f>
        <v>0.13750356107452277</v>
      </c>
      <c r="E31" s="167">
        <f>E30/D30-1</f>
        <v>-0.10518096739382643</v>
      </c>
      <c r="F31" s="167">
        <f>F30/E30-1</f>
        <v>-0.15557201950978583</v>
      </c>
      <c r="G31" s="82"/>
      <c r="H31" s="82"/>
      <c r="I31" s="196"/>
    </row>
    <row r="32" spans="1:17">
      <c r="A32" s="81" t="s">
        <v>372</v>
      </c>
      <c r="B32" s="164"/>
      <c r="C32" s="164">
        <v>2418.0700000000002</v>
      </c>
      <c r="D32" s="166">
        <v>2628.2</v>
      </c>
      <c r="E32" s="166">
        <v>2393.6799999999998</v>
      </c>
      <c r="F32" s="166">
        <v>2051.58</v>
      </c>
      <c r="G32" s="152"/>
      <c r="H32" s="152"/>
      <c r="I32" s="196"/>
    </row>
    <row r="33" spans="1:17" hidden="1">
      <c r="A33" s="81" t="s">
        <v>5</v>
      </c>
      <c r="B33" s="164"/>
      <c r="C33" s="164" t="s">
        <v>48</v>
      </c>
      <c r="D33" s="167">
        <f>D32/C32-1</f>
        <v>8.6899882964512898E-2</v>
      </c>
      <c r="E33" s="167">
        <f>E32/D32-1</f>
        <v>-8.9232174111559259E-2</v>
      </c>
      <c r="F33" s="167">
        <f>F32/E32-1</f>
        <v>-0.1429180174459409</v>
      </c>
      <c r="G33" s="152"/>
      <c r="H33" s="152"/>
      <c r="I33" s="196"/>
    </row>
    <row r="35" spans="1:17">
      <c r="A35" s="104" t="s">
        <v>824</v>
      </c>
      <c r="B35" s="104">
        <v>2017</v>
      </c>
      <c r="C35" s="104">
        <v>2018</v>
      </c>
      <c r="D35" s="104">
        <v>2019</v>
      </c>
      <c r="E35" s="104">
        <v>2020</v>
      </c>
      <c r="F35" s="104">
        <v>2021</v>
      </c>
      <c r="G35" s="104" t="s">
        <v>60</v>
      </c>
      <c r="H35" s="104" t="s">
        <v>1</v>
      </c>
      <c r="I35" s="104" t="s">
        <v>50</v>
      </c>
      <c r="K35" s="104" t="s">
        <v>450</v>
      </c>
      <c r="L35" s="104">
        <v>2019</v>
      </c>
      <c r="M35" s="104">
        <v>2020</v>
      </c>
      <c r="N35" s="104">
        <v>2021</v>
      </c>
      <c r="O35" s="104" t="s">
        <v>60</v>
      </c>
      <c r="P35" s="104" t="s">
        <v>1</v>
      </c>
      <c r="Q35" s="104" t="s">
        <v>50</v>
      </c>
    </row>
    <row r="36" spans="1:17">
      <c r="A36" s="81" t="s">
        <v>14</v>
      </c>
      <c r="B36" s="164">
        <v>6.8438319999999999</v>
      </c>
      <c r="C36" s="164">
        <v>32.403002999999998</v>
      </c>
      <c r="D36" s="166">
        <v>350.32362799999999</v>
      </c>
      <c r="E36" s="166">
        <v>310.54285800000002</v>
      </c>
      <c r="F36" s="166">
        <v>357.14899400000002</v>
      </c>
      <c r="G36" s="166">
        <f>F36*(1+G37)</f>
        <v>589.29584009999996</v>
      </c>
      <c r="H36" s="166">
        <f t="shared" ref="H36" si="7">G36*(1+H37)</f>
        <v>972.33813616499992</v>
      </c>
      <c r="I36" s="166">
        <f t="shared" ref="I36" si="8">H36*(1+I37)</f>
        <v>1166.805763398</v>
      </c>
      <c r="K36" s="194" t="s">
        <v>443</v>
      </c>
      <c r="L36" s="195">
        <v>65.052593999999999</v>
      </c>
      <c r="M36" s="195">
        <v>104.452128</v>
      </c>
      <c r="N36" s="195">
        <v>206.968209</v>
      </c>
      <c r="O36" s="195"/>
      <c r="P36" s="195"/>
      <c r="Q36" s="195"/>
    </row>
    <row r="37" spans="1:17">
      <c r="A37" s="81" t="s">
        <v>39</v>
      </c>
      <c r="B37" s="165">
        <v>-0.96060000000000001</v>
      </c>
      <c r="C37" s="165">
        <f>C36/B36-1</f>
        <v>3.7346286407965597</v>
      </c>
      <c r="D37" s="167">
        <f>D36/C36-1</f>
        <v>9.8114555925572695</v>
      </c>
      <c r="E37" s="167">
        <f>E36/D36-1</f>
        <v>-0.11355434467012304</v>
      </c>
      <c r="F37" s="167">
        <f>F36/E36-1</f>
        <v>0.15007956164298575</v>
      </c>
      <c r="G37" s="344">
        <v>0.65</v>
      </c>
      <c r="H37" s="344">
        <v>0.65</v>
      </c>
      <c r="I37" s="344">
        <v>0.2</v>
      </c>
      <c r="K37" s="194" t="s">
        <v>444</v>
      </c>
      <c r="L37" s="195">
        <v>5.128603</v>
      </c>
      <c r="M37" s="195">
        <v>6.7584780000000002</v>
      </c>
      <c r="N37" s="195">
        <v>14.394038999999999</v>
      </c>
      <c r="O37" s="195"/>
      <c r="P37" s="195"/>
      <c r="Q37" s="195"/>
    </row>
    <row r="38" spans="1:17">
      <c r="A38" s="81" t="s">
        <v>46</v>
      </c>
      <c r="B38" s="164">
        <v>7.9490910000000001</v>
      </c>
      <c r="C38" s="164">
        <v>41.093003000000003</v>
      </c>
      <c r="D38" s="166">
        <v>322.83484700000002</v>
      </c>
      <c r="E38" s="166">
        <v>239.29145299999999</v>
      </c>
      <c r="F38" s="166">
        <v>350.493854</v>
      </c>
      <c r="G38" s="346">
        <f>G36-G39</f>
        <v>536.25921449099997</v>
      </c>
      <c r="H38" s="346">
        <f t="shared" ref="H38" si="9">H36-H39</f>
        <v>826.48741574024996</v>
      </c>
      <c r="I38" s="346">
        <f t="shared" ref="I38" si="10">I36-I39</f>
        <v>991.78489888829995</v>
      </c>
      <c r="K38" s="194" t="s">
        <v>392</v>
      </c>
      <c r="L38" s="195">
        <v>0.24319099999999999</v>
      </c>
      <c r="M38" s="195">
        <v>1.6172770000000001</v>
      </c>
      <c r="N38" s="195">
        <v>4.3485339999999999</v>
      </c>
      <c r="O38" s="195"/>
      <c r="P38" s="195"/>
      <c r="Q38" s="195"/>
    </row>
    <row r="39" spans="1:17">
      <c r="A39" s="81" t="s">
        <v>34</v>
      </c>
      <c r="B39" s="164">
        <f>B36-B38</f>
        <v>-1.1052590000000002</v>
      </c>
      <c r="C39" s="164">
        <f>C36-C38</f>
        <v>-8.6900000000000048</v>
      </c>
      <c r="D39" s="166">
        <f>D36-D38</f>
        <v>27.48878099999996</v>
      </c>
      <c r="E39" s="166">
        <f>E36-E38</f>
        <v>71.251405000000034</v>
      </c>
      <c r="F39" s="166">
        <f>F36-F38</f>
        <v>6.6551400000000172</v>
      </c>
      <c r="G39" s="160">
        <f>G36*G40</f>
        <v>53.036625608999998</v>
      </c>
      <c r="H39" s="160">
        <f t="shared" ref="H39:I39" si="11">H36*H40</f>
        <v>145.85072042474999</v>
      </c>
      <c r="I39" s="160">
        <f t="shared" si="11"/>
        <v>175.02086450969998</v>
      </c>
      <c r="K39" s="194" t="s">
        <v>446</v>
      </c>
      <c r="L39" s="195">
        <v>0.29638999999999999</v>
      </c>
      <c r="M39" s="195">
        <v>0.44521300000000003</v>
      </c>
      <c r="N39" s="195">
        <v>0.86516300000000002</v>
      </c>
      <c r="O39" s="195"/>
      <c r="P39" s="195"/>
      <c r="Q39" s="195"/>
    </row>
    <row r="40" spans="1:17">
      <c r="A40" s="81" t="s">
        <v>40</v>
      </c>
      <c r="B40" s="165">
        <f>B39/B36</f>
        <v>-0.16149709694802564</v>
      </c>
      <c r="C40" s="165">
        <f>C39/C36</f>
        <v>-0.26818501976498921</v>
      </c>
      <c r="D40" s="167">
        <f>D39/D36</f>
        <v>7.8466819828664144E-2</v>
      </c>
      <c r="E40" s="167">
        <f>E39/E36</f>
        <v>0.22944145442237163</v>
      </c>
      <c r="F40" s="167">
        <f>F39/F36</f>
        <v>1.8634071807017372E-2</v>
      </c>
      <c r="G40" s="344">
        <v>0.09</v>
      </c>
      <c r="H40" s="344">
        <v>0.15</v>
      </c>
      <c r="I40" s="344">
        <v>0.15</v>
      </c>
      <c r="K40" s="194" t="s">
        <v>447</v>
      </c>
      <c r="L40" s="195">
        <v>2.3209279999999999</v>
      </c>
      <c r="M40" s="195">
        <v>5.3017209999999997</v>
      </c>
      <c r="N40" s="195">
        <v>7.1341210000000004</v>
      </c>
      <c r="O40" s="195"/>
      <c r="P40" s="195"/>
      <c r="Q40" s="195"/>
    </row>
    <row r="41" spans="1:17">
      <c r="A41" s="81" t="s">
        <v>371</v>
      </c>
      <c r="B41" s="164"/>
      <c r="C41" s="164">
        <v>87.826026249650894</v>
      </c>
      <c r="D41" s="166">
        <v>619.01</v>
      </c>
      <c r="E41" s="166">
        <v>1067.47</v>
      </c>
      <c r="F41" s="166">
        <v>1585.14</v>
      </c>
      <c r="G41" s="151"/>
      <c r="H41" s="151"/>
      <c r="I41" s="196"/>
      <c r="K41" s="194" t="s">
        <v>247</v>
      </c>
      <c r="L41" s="195">
        <v>73.041707000000002</v>
      </c>
      <c r="M41" s="195">
        <f>SUM(M36:M40)</f>
        <v>118.574817</v>
      </c>
      <c r="N41" s="195">
        <f>SUM(N36:N40)</f>
        <v>233.71006599999998</v>
      </c>
      <c r="O41" s="195"/>
      <c r="P41" s="195"/>
      <c r="Q41" s="195"/>
    </row>
    <row r="42" spans="1:17" hidden="1">
      <c r="A42" s="81" t="s">
        <v>5</v>
      </c>
      <c r="B42" s="165"/>
      <c r="C42" s="165" t="s">
        <v>48</v>
      </c>
      <c r="D42" s="167">
        <f>D41/C41-1</f>
        <v>6.0481385351584267</v>
      </c>
      <c r="E42" s="167">
        <f>E41/D41-1</f>
        <v>0.72447941067187926</v>
      </c>
      <c r="F42" s="167">
        <f>F41/E41-1</f>
        <v>0.48495039673246088</v>
      </c>
      <c r="G42" s="82"/>
      <c r="H42" s="82"/>
      <c r="I42" s="196"/>
    </row>
    <row r="43" spans="1:17">
      <c r="A43" s="81" t="s">
        <v>372</v>
      </c>
      <c r="B43" s="164"/>
      <c r="C43" s="164">
        <v>86.120036722515394</v>
      </c>
      <c r="D43" s="166">
        <v>600.36</v>
      </c>
      <c r="E43" s="166">
        <v>957.51</v>
      </c>
      <c r="F43" s="166">
        <v>1426.76</v>
      </c>
      <c r="G43" s="152"/>
      <c r="H43" s="152"/>
      <c r="I43" s="196"/>
    </row>
    <row r="44" spans="1:17" hidden="1">
      <c r="A44" s="81" t="s">
        <v>5</v>
      </c>
      <c r="B44" s="164"/>
      <c r="C44" s="164" t="s">
        <v>48</v>
      </c>
      <c r="D44" s="167">
        <f>D43/C43-1</f>
        <v>5.9712000000000085</v>
      </c>
      <c r="E44" s="167">
        <f>E43/D43-1</f>
        <v>0.59489306416150312</v>
      </c>
      <c r="F44" s="167">
        <f>F43/E43-1</f>
        <v>0.49007321072364785</v>
      </c>
      <c r="G44" s="152"/>
      <c r="H44" s="152"/>
      <c r="I44" s="196"/>
    </row>
    <row r="46" spans="1:17">
      <c r="A46" s="104" t="s">
        <v>451</v>
      </c>
      <c r="B46" s="104">
        <v>2017</v>
      </c>
      <c r="C46" s="104">
        <v>2018</v>
      </c>
      <c r="D46" s="104">
        <v>2019</v>
      </c>
      <c r="E46" s="104">
        <v>2020</v>
      </c>
      <c r="F46" s="104">
        <v>2021</v>
      </c>
      <c r="G46" s="104" t="s">
        <v>60</v>
      </c>
      <c r="H46" s="104" t="s">
        <v>1</v>
      </c>
      <c r="I46" s="104" t="s">
        <v>50</v>
      </c>
    </row>
    <row r="47" spans="1:17">
      <c r="A47" s="81" t="s">
        <v>14</v>
      </c>
      <c r="H47" s="92">
        <f t="shared" ref="H47:I47" si="12">H49*H50*1000</f>
        <v>936</v>
      </c>
      <c r="I47" s="92">
        <f t="shared" si="12"/>
        <v>5360</v>
      </c>
    </row>
    <row r="48" spans="1:17">
      <c r="A48" s="81" t="s">
        <v>39</v>
      </c>
      <c r="H48" s="340"/>
      <c r="I48" s="340">
        <f>I47/H47-1</f>
        <v>4.7264957264957266</v>
      </c>
    </row>
    <row r="49" spans="1:9">
      <c r="A49" s="81" t="s">
        <v>818</v>
      </c>
      <c r="H49" s="341">
        <v>1.3</v>
      </c>
      <c r="I49" s="341">
        <v>8</v>
      </c>
    </row>
    <row r="50" spans="1:9">
      <c r="A50" s="81" t="s">
        <v>819</v>
      </c>
      <c r="H50" s="341">
        <v>0.72</v>
      </c>
      <c r="I50" s="341">
        <v>0.67</v>
      </c>
    </row>
    <row r="51" spans="1:9">
      <c r="A51" s="81" t="s">
        <v>46</v>
      </c>
      <c r="H51" s="92">
        <f t="shared" ref="H51:I51" si="13">H52*H49*1000</f>
        <v>720.72</v>
      </c>
      <c r="I51" s="92">
        <f t="shared" si="13"/>
        <v>4020.0000000000005</v>
      </c>
    </row>
    <row r="52" spans="1:9">
      <c r="A52" s="81" t="s">
        <v>820</v>
      </c>
      <c r="H52" s="170">
        <f t="shared" ref="H52:I52" si="14">H50-H54</f>
        <v>0.5544</v>
      </c>
      <c r="I52" s="170">
        <f t="shared" si="14"/>
        <v>0.50250000000000006</v>
      </c>
    </row>
    <row r="53" spans="1:9">
      <c r="A53" s="81" t="s">
        <v>6</v>
      </c>
      <c r="H53" s="92">
        <f t="shared" ref="H53:I53" si="15">H47*H55</f>
        <v>215.28</v>
      </c>
      <c r="I53" s="92">
        <f t="shared" si="15"/>
        <v>1340</v>
      </c>
    </row>
    <row r="54" spans="1:9">
      <c r="A54" s="81" t="s">
        <v>821</v>
      </c>
      <c r="H54" s="342">
        <f t="shared" ref="H54:I54" si="16">H50*H55</f>
        <v>0.1656</v>
      </c>
      <c r="I54" s="342">
        <f t="shared" si="16"/>
        <v>0.16750000000000001</v>
      </c>
    </row>
    <row r="55" spans="1:9">
      <c r="A55" s="81" t="s">
        <v>40</v>
      </c>
      <c r="H55" s="343">
        <v>0.23</v>
      </c>
      <c r="I55" s="343">
        <v>0.25</v>
      </c>
    </row>
  </sheetData>
  <mergeCells count="1">
    <mergeCell ref="A1:XFD3"/>
  </mergeCells>
  <phoneticPr fontId="11" type="noConversion"/>
  <pageMargins left="0.7" right="0.7" top="0.75" bottom="0.75" header="0.3" footer="0.3"/>
  <pageSetup paperSize="9" orientation="portrait" r:id="rId1"/>
  <ignoredErrors>
    <ignoredError sqref="M19:N19 M30:N30 M41:N41"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7"/>
  <sheetViews>
    <sheetView workbookViewId="0">
      <pane xSplit="1" ySplit="1" topLeftCell="B2" activePane="bottomRight" state="frozen"/>
      <selection pane="topRight"/>
      <selection pane="bottomLeft"/>
      <selection pane="bottomRight" activeCell="A35" sqref="A35"/>
    </sheetView>
  </sheetViews>
  <sheetFormatPr defaultColWidth="8" defaultRowHeight="15"/>
  <cols>
    <col min="1" max="1" width="39.453125" style="146" customWidth="1"/>
    <col min="2" max="3" width="12.7265625" style="159" customWidth="1"/>
    <col min="4" max="4" width="10.7265625" style="146" customWidth="1"/>
    <col min="5" max="5" width="10.26953125" style="146" customWidth="1"/>
    <col min="6" max="6" width="10.36328125" style="146" customWidth="1"/>
    <col min="7" max="16384" width="8" style="146"/>
  </cols>
  <sheetData>
    <row r="1" spans="1:7" ht="14.5">
      <c r="A1" s="146" t="s">
        <v>822</v>
      </c>
      <c r="B1" s="146" t="s">
        <v>269</v>
      </c>
      <c r="C1" s="146" t="s">
        <v>270</v>
      </c>
      <c r="D1" s="146" t="s">
        <v>8</v>
      </c>
      <c r="E1" s="146" t="s">
        <v>51</v>
      </c>
      <c r="F1" s="146" t="s">
        <v>52</v>
      </c>
      <c r="G1" s="146" t="s">
        <v>810</v>
      </c>
    </row>
    <row r="2" spans="1:7" ht="14.5">
      <c r="A2" s="146" t="s">
        <v>9</v>
      </c>
      <c r="B2" s="146" t="s">
        <v>10</v>
      </c>
      <c r="C2" s="146" t="s">
        <v>10</v>
      </c>
      <c r="D2" s="146" t="s">
        <v>10</v>
      </c>
      <c r="E2" s="146" t="s">
        <v>10</v>
      </c>
      <c r="F2" s="146" t="s">
        <v>10</v>
      </c>
      <c r="G2" s="146" t="s">
        <v>811</v>
      </c>
    </row>
    <row r="3" spans="1:7" ht="14.5">
      <c r="A3" s="146" t="s">
        <v>11</v>
      </c>
      <c r="B3" s="146" t="s">
        <v>12</v>
      </c>
      <c r="C3" s="146" t="s">
        <v>12</v>
      </c>
      <c r="D3" s="146" t="s">
        <v>12</v>
      </c>
      <c r="E3" s="146" t="s">
        <v>12</v>
      </c>
      <c r="F3" s="146" t="s">
        <v>12</v>
      </c>
      <c r="G3" s="146" t="s">
        <v>12</v>
      </c>
    </row>
    <row r="4" spans="1:7" ht="14.5">
      <c r="A4" s="147" t="s">
        <v>178</v>
      </c>
      <c r="B4" s="145">
        <v>1597.22</v>
      </c>
      <c r="C4" s="145">
        <v>1602.68</v>
      </c>
      <c r="D4" s="145">
        <v>1645</v>
      </c>
      <c r="E4" s="145">
        <v>1744.98</v>
      </c>
      <c r="F4" s="145">
        <v>2075.44</v>
      </c>
      <c r="G4" s="145">
        <v>1183.58</v>
      </c>
    </row>
    <row r="5" spans="1:7" ht="14.5">
      <c r="A5" s="146" t="s">
        <v>177</v>
      </c>
      <c r="B5" s="145">
        <v>1597.22</v>
      </c>
      <c r="C5" s="145">
        <v>1602.68</v>
      </c>
      <c r="D5" s="145">
        <v>1645</v>
      </c>
      <c r="E5" s="145">
        <v>1744.98</v>
      </c>
      <c r="F5" s="145">
        <v>2075.44</v>
      </c>
      <c r="G5" s="145">
        <v>1183.58</v>
      </c>
    </row>
    <row r="6" spans="1:7" ht="14.5">
      <c r="A6" s="146" t="s">
        <v>176</v>
      </c>
      <c r="B6" s="146"/>
      <c r="C6" s="146"/>
    </row>
    <row r="7" spans="1:7" ht="14.5">
      <c r="A7" s="147" t="s">
        <v>13</v>
      </c>
      <c r="B7" s="145">
        <v>1685.77</v>
      </c>
      <c r="C7" s="145">
        <v>1736.28</v>
      </c>
      <c r="D7" s="145">
        <v>1675.05</v>
      </c>
      <c r="E7" s="145">
        <v>1674.27</v>
      </c>
      <c r="F7" s="145">
        <v>2142.87</v>
      </c>
      <c r="G7" s="145">
        <v>1162.3800000000001</v>
      </c>
    </row>
    <row r="8" spans="1:7" ht="14.5">
      <c r="A8" s="146" t="s">
        <v>175</v>
      </c>
      <c r="B8" s="145">
        <v>1309.6600000000001</v>
      </c>
      <c r="C8" s="145">
        <v>1375.03</v>
      </c>
      <c r="D8" s="145">
        <v>1415.22</v>
      </c>
      <c r="E8" s="145">
        <v>1430.56</v>
      </c>
      <c r="F8" s="145">
        <v>1818.7</v>
      </c>
      <c r="G8" s="145">
        <v>1063.3399999999999</v>
      </c>
    </row>
    <row r="9" spans="1:7" ht="14.5">
      <c r="A9" s="146" t="s">
        <v>174</v>
      </c>
      <c r="B9" s="145">
        <v>15.84</v>
      </c>
      <c r="C9" s="145">
        <v>17.66</v>
      </c>
      <c r="D9" s="145">
        <v>10.77</v>
      </c>
      <c r="E9" s="145">
        <v>14.11</v>
      </c>
      <c r="F9" s="145">
        <v>11.98</v>
      </c>
      <c r="G9" s="145">
        <v>4.1100000000000003</v>
      </c>
    </row>
    <row r="10" spans="1:7" ht="14.5">
      <c r="A10" s="146" t="s">
        <v>173</v>
      </c>
      <c r="B10" s="145">
        <v>55.8</v>
      </c>
      <c r="C10" s="145">
        <v>52.09</v>
      </c>
      <c r="D10" s="145">
        <v>38.4</v>
      </c>
      <c r="E10" s="145">
        <v>34.61</v>
      </c>
      <c r="F10" s="145">
        <v>50.57</v>
      </c>
      <c r="G10" s="145">
        <v>15.55</v>
      </c>
    </row>
    <row r="11" spans="1:7" ht="14.5">
      <c r="A11" s="146" t="s">
        <v>172</v>
      </c>
      <c r="B11" s="145">
        <v>177.79</v>
      </c>
      <c r="C11" s="145">
        <v>136.9</v>
      </c>
      <c r="D11" s="145">
        <v>130.05000000000001</v>
      </c>
      <c r="E11" s="145">
        <v>97.39</v>
      </c>
      <c r="F11" s="145">
        <v>136.69999999999999</v>
      </c>
      <c r="G11" s="145">
        <v>40.229999999999997</v>
      </c>
    </row>
    <row r="12" spans="1:7" ht="14.5">
      <c r="A12" s="146" t="s">
        <v>171</v>
      </c>
      <c r="B12" s="146"/>
      <c r="C12" s="145">
        <v>63.98</v>
      </c>
      <c r="D12" s="145">
        <v>68.53</v>
      </c>
      <c r="E12" s="145">
        <v>84.53</v>
      </c>
      <c r="F12" s="145">
        <v>101.47</v>
      </c>
      <c r="G12" s="145">
        <v>36.700000000000003</v>
      </c>
    </row>
    <row r="13" spans="1:7" ht="14.5">
      <c r="A13" s="146" t="s">
        <v>170</v>
      </c>
      <c r="B13" s="145">
        <v>17.59</v>
      </c>
      <c r="C13" s="145">
        <v>7.99</v>
      </c>
      <c r="D13" s="145">
        <v>12.08</v>
      </c>
      <c r="E13" s="145">
        <v>13.07</v>
      </c>
      <c r="F13" s="145">
        <v>23.46</v>
      </c>
      <c r="G13" s="145">
        <v>2.4500000000000002</v>
      </c>
    </row>
    <row r="14" spans="1:7" ht="14.5">
      <c r="A14" s="146" t="s">
        <v>169</v>
      </c>
      <c r="B14" s="146"/>
      <c r="C14" s="145">
        <v>19.63</v>
      </c>
      <c r="D14" s="145">
        <v>15.33</v>
      </c>
      <c r="E14" s="145">
        <v>11.2</v>
      </c>
      <c r="F14" s="145">
        <v>27.25</v>
      </c>
      <c r="G14" s="145">
        <v>13.69</v>
      </c>
    </row>
    <row r="15" spans="1:7" ht="14.5">
      <c r="A15" s="146" t="s">
        <v>168</v>
      </c>
      <c r="B15" s="146"/>
      <c r="C15" s="145">
        <v>7.1</v>
      </c>
      <c r="D15" s="145">
        <v>2.09</v>
      </c>
      <c r="E15" s="145">
        <v>3.84</v>
      </c>
      <c r="F15" s="145">
        <v>6.59</v>
      </c>
      <c r="G15" s="145">
        <v>3.82</v>
      </c>
    </row>
    <row r="16" spans="1:7" ht="14.5">
      <c r="A16" s="146" t="s">
        <v>167</v>
      </c>
      <c r="B16" s="146"/>
      <c r="C16" s="146"/>
    </row>
    <row r="17" spans="1:7" ht="14.5">
      <c r="A17" s="146" t="s">
        <v>166</v>
      </c>
      <c r="B17" s="145">
        <v>14.65</v>
      </c>
      <c r="C17" s="145">
        <v>21.14</v>
      </c>
      <c r="D17" s="145">
        <v>12.88</v>
      </c>
      <c r="E17" s="145">
        <v>22.04</v>
      </c>
      <c r="F17" s="145">
        <v>25.77</v>
      </c>
      <c r="G17" s="145">
        <v>12.68</v>
      </c>
    </row>
    <row r="18" spans="1:7" ht="14.5">
      <c r="A18" s="146" t="s">
        <v>165</v>
      </c>
      <c r="B18" s="145">
        <v>89.17</v>
      </c>
      <c r="C18" s="145">
        <v>70</v>
      </c>
      <c r="D18" s="145">
        <v>23.13</v>
      </c>
      <c r="E18" s="145">
        <v>8.3800000000000008</v>
      </c>
      <c r="F18" s="145">
        <v>-15.73</v>
      </c>
      <c r="G18" s="145">
        <v>-16.59</v>
      </c>
    </row>
    <row r="19" spans="1:7" ht="14.5">
      <c r="A19" s="146" t="s">
        <v>164</v>
      </c>
      <c r="B19" s="145">
        <v>3.6</v>
      </c>
      <c r="C19" s="145">
        <v>-0.16</v>
      </c>
      <c r="D19" s="145">
        <v>-1.17</v>
      </c>
      <c r="E19" s="145">
        <v>-5.35</v>
      </c>
      <c r="F19" s="145">
        <v>-24.2</v>
      </c>
      <c r="G19" s="145">
        <v>-22.63</v>
      </c>
    </row>
    <row r="20" spans="1:7" ht="14.5">
      <c r="A20" s="146" t="s">
        <v>163</v>
      </c>
      <c r="B20" s="146"/>
      <c r="C20" s="146"/>
    </row>
    <row r="21" spans="1:7" ht="14.5">
      <c r="A21" s="146" t="s">
        <v>162</v>
      </c>
      <c r="B21" s="146"/>
      <c r="C21" s="146"/>
    </row>
    <row r="22" spans="1:7" ht="14.5">
      <c r="A22" s="146" t="s">
        <v>161</v>
      </c>
      <c r="B22" s="146"/>
      <c r="C22" s="146"/>
      <c r="D22" s="145">
        <v>-11.61</v>
      </c>
      <c r="E22" s="145">
        <v>-5.13</v>
      </c>
      <c r="F22" s="145">
        <v>15.85</v>
      </c>
      <c r="G22" s="145">
        <v>1.05</v>
      </c>
    </row>
    <row r="23" spans="1:7" ht="14.5">
      <c r="A23" s="146" t="s">
        <v>160</v>
      </c>
      <c r="B23" s="145">
        <v>109.08</v>
      </c>
      <c r="C23" s="145">
        <v>82.63</v>
      </c>
      <c r="D23" s="145">
        <v>-32.049999999999997</v>
      </c>
      <c r="E23" s="145">
        <v>-8.1199999999999992</v>
      </c>
      <c r="F23" s="145">
        <v>-30.38</v>
      </c>
      <c r="G23" s="145">
        <v>-15.37</v>
      </c>
    </row>
    <row r="24" spans="1:7" ht="14.5">
      <c r="A24" s="146" t="s">
        <v>159</v>
      </c>
      <c r="B24" s="146"/>
      <c r="C24" s="146"/>
      <c r="D24" s="145">
        <v>-22.57</v>
      </c>
      <c r="E24" s="145">
        <v>-63.73</v>
      </c>
      <c r="F24" s="145">
        <v>-25.85</v>
      </c>
      <c r="G24" s="145">
        <v>-1.29</v>
      </c>
    </row>
    <row r="25" spans="1:7" ht="14.5">
      <c r="A25" s="146" t="s">
        <v>158</v>
      </c>
      <c r="B25" s="145">
        <v>-2.11</v>
      </c>
      <c r="C25" s="145">
        <v>108.5</v>
      </c>
      <c r="D25" s="145">
        <v>-6.32</v>
      </c>
      <c r="E25" s="145">
        <v>23.42</v>
      </c>
      <c r="F25" s="145">
        <v>-10.32</v>
      </c>
      <c r="G25" s="145">
        <v>0.42</v>
      </c>
    </row>
    <row r="26" spans="1:7" ht="14.5">
      <c r="A26" s="146" t="s">
        <v>157</v>
      </c>
      <c r="B26" s="146"/>
      <c r="C26" s="146"/>
    </row>
    <row r="27" spans="1:7" ht="14.5">
      <c r="A27" s="146" t="s">
        <v>156</v>
      </c>
      <c r="B27" s="146"/>
      <c r="C27" s="146"/>
    </row>
    <row r="28" spans="1:7" ht="14.5">
      <c r="A28" s="146" t="s">
        <v>155</v>
      </c>
      <c r="B28" s="146"/>
      <c r="C28" s="146"/>
    </row>
    <row r="29" spans="1:7" ht="14.5">
      <c r="A29" s="147" t="s">
        <v>15</v>
      </c>
      <c r="B29" s="145">
        <v>13.17</v>
      </c>
      <c r="C29" s="145">
        <v>66.040000000000006</v>
      </c>
      <c r="D29" s="145">
        <v>-66.58</v>
      </c>
      <c r="E29" s="145">
        <v>47.56</v>
      </c>
      <c r="F29" s="145">
        <v>-108.08</v>
      </c>
      <c r="G29" s="145">
        <v>2.1</v>
      </c>
    </row>
    <row r="30" spans="1:7" ht="14.5">
      <c r="A30" s="146" t="s">
        <v>154</v>
      </c>
      <c r="B30" s="145">
        <v>4.45</v>
      </c>
      <c r="C30" s="145">
        <v>2.21</v>
      </c>
      <c r="D30" s="145">
        <v>4.88</v>
      </c>
      <c r="E30" s="145">
        <v>13.12</v>
      </c>
      <c r="F30" s="145">
        <v>2.2999999999999998</v>
      </c>
      <c r="G30" s="145">
        <v>0.38</v>
      </c>
    </row>
    <row r="31" spans="1:7" ht="14.5">
      <c r="A31" s="146" t="s">
        <v>153</v>
      </c>
      <c r="B31" s="145">
        <v>1.05</v>
      </c>
      <c r="C31" s="145">
        <v>1.81</v>
      </c>
      <c r="D31" s="145">
        <v>9.4600000000000009</v>
      </c>
      <c r="E31" s="145">
        <v>13</v>
      </c>
      <c r="F31" s="145">
        <v>10.84</v>
      </c>
      <c r="G31" s="145">
        <v>0.37</v>
      </c>
    </row>
    <row r="32" spans="1:7" ht="14.5">
      <c r="A32" s="146" t="s">
        <v>152</v>
      </c>
      <c r="B32" s="146"/>
      <c r="C32" s="146"/>
    </row>
    <row r="33" spans="1:7" ht="14.5">
      <c r="A33" s="146" t="s">
        <v>151</v>
      </c>
      <c r="B33" s="146"/>
      <c r="C33" s="146"/>
    </row>
    <row r="34" spans="1:7" ht="14.5">
      <c r="A34" s="146" t="s">
        <v>150</v>
      </c>
      <c r="B34" s="146"/>
      <c r="C34" s="146"/>
    </row>
    <row r="35" spans="1:7" ht="14.5">
      <c r="A35" s="147" t="s">
        <v>16</v>
      </c>
      <c r="B35" s="145">
        <v>16.579999999999998</v>
      </c>
      <c r="C35" s="145">
        <v>66.44</v>
      </c>
      <c r="D35" s="145">
        <v>-71.16</v>
      </c>
      <c r="E35" s="145">
        <v>47.68</v>
      </c>
      <c r="F35" s="145">
        <v>-116.62</v>
      </c>
      <c r="G35" s="145">
        <v>2.1</v>
      </c>
    </row>
    <row r="36" spans="1:7" ht="14.5">
      <c r="A36" s="146" t="s">
        <v>149</v>
      </c>
      <c r="B36" s="145">
        <v>6.36</v>
      </c>
      <c r="C36" s="145">
        <v>10.029999999999999</v>
      </c>
      <c r="D36" s="145">
        <v>-6.77</v>
      </c>
      <c r="E36" s="145">
        <v>-0.52</v>
      </c>
      <c r="F36" s="145">
        <v>12.39</v>
      </c>
      <c r="G36" s="145">
        <v>-4.96</v>
      </c>
    </row>
    <row r="37" spans="1:7" ht="14.5">
      <c r="A37" s="146" t="s">
        <v>148</v>
      </c>
      <c r="B37" s="146"/>
      <c r="C37" s="146"/>
    </row>
    <row r="38" spans="1:7" ht="14.5">
      <c r="A38" s="146" t="s">
        <v>147</v>
      </c>
      <c r="B38" s="146"/>
      <c r="C38" s="146"/>
    </row>
    <row r="39" spans="1:7" ht="14.5">
      <c r="A39" s="146" t="s">
        <v>146</v>
      </c>
      <c r="B39" s="146"/>
      <c r="C39" s="146"/>
    </row>
    <row r="40" spans="1:7" ht="14.5">
      <c r="A40" s="147" t="s">
        <v>17</v>
      </c>
      <c r="B40" s="145">
        <v>10.220000000000001</v>
      </c>
      <c r="C40" s="145">
        <v>56.41</v>
      </c>
      <c r="D40" s="145">
        <v>-64.39</v>
      </c>
      <c r="E40" s="145">
        <v>48.2</v>
      </c>
      <c r="F40" s="145">
        <v>-129.01</v>
      </c>
      <c r="G40" s="145">
        <v>7.06</v>
      </c>
    </row>
    <row r="41" spans="1:7" ht="14.5">
      <c r="A41" s="146" t="s">
        <v>145</v>
      </c>
      <c r="B41" s="145">
        <v>10.220000000000001</v>
      </c>
      <c r="C41" s="145">
        <v>-9.11</v>
      </c>
      <c r="D41" s="145">
        <v>-66.52</v>
      </c>
      <c r="E41" s="145">
        <v>48.19</v>
      </c>
      <c r="F41" s="145">
        <v>-129</v>
      </c>
      <c r="G41" s="145">
        <v>7.06</v>
      </c>
    </row>
    <row r="42" spans="1:7" ht="14.5">
      <c r="A42" s="146" t="s">
        <v>144</v>
      </c>
      <c r="B42" s="146"/>
      <c r="C42" s="145">
        <v>65.52</v>
      </c>
      <c r="D42" s="145">
        <v>2.12</v>
      </c>
      <c r="E42" s="145">
        <v>0.01</v>
      </c>
      <c r="F42" s="145">
        <v>0</v>
      </c>
      <c r="G42" s="145">
        <v>0</v>
      </c>
    </row>
    <row r="43" spans="1:7" ht="14.5">
      <c r="A43" s="146" t="s">
        <v>143</v>
      </c>
      <c r="B43" s="145">
        <v>-6.41</v>
      </c>
      <c r="C43" s="145">
        <v>1.83</v>
      </c>
      <c r="D43" s="145">
        <v>-0.31</v>
      </c>
      <c r="E43" s="145">
        <v>-0.94</v>
      </c>
      <c r="F43" s="145">
        <v>-1.83</v>
      </c>
      <c r="G43" s="145">
        <v>0</v>
      </c>
    </row>
    <row r="44" spans="1:7" ht="14.5">
      <c r="A44" s="146" t="s">
        <v>142</v>
      </c>
      <c r="B44" s="145">
        <v>16.63</v>
      </c>
      <c r="C44" s="145">
        <v>54.58</v>
      </c>
      <c r="D44" s="145">
        <v>-64.08</v>
      </c>
      <c r="E44" s="145">
        <v>49.14</v>
      </c>
      <c r="F44" s="145">
        <v>-127.18</v>
      </c>
      <c r="G44" s="145">
        <v>7.06</v>
      </c>
    </row>
    <row r="45" spans="1:7" ht="14.5">
      <c r="A45" s="146" t="s">
        <v>141</v>
      </c>
      <c r="B45" s="145">
        <v>3.95</v>
      </c>
      <c r="C45" s="145">
        <v>-74.959999999999994</v>
      </c>
      <c r="D45" s="145">
        <v>-6.51</v>
      </c>
      <c r="E45" s="145">
        <v>1.24</v>
      </c>
      <c r="F45" s="145">
        <v>-14.05</v>
      </c>
    </row>
    <row r="46" spans="1:7" ht="14.5">
      <c r="A46" s="147" t="s">
        <v>18</v>
      </c>
      <c r="B46" s="145">
        <v>14.17</v>
      </c>
      <c r="C46" s="145">
        <v>-18.55</v>
      </c>
      <c r="D46" s="145">
        <v>-70.900000000000006</v>
      </c>
      <c r="E46" s="145">
        <v>49.44</v>
      </c>
      <c r="F46" s="145">
        <v>-143.06</v>
      </c>
      <c r="G46" s="145">
        <v>7.06</v>
      </c>
    </row>
    <row r="47" spans="1:7" ht="14.5">
      <c r="A47" s="146" t="s">
        <v>140</v>
      </c>
      <c r="B47" s="145">
        <v>-6.41</v>
      </c>
      <c r="C47" s="145">
        <v>1.83</v>
      </c>
      <c r="D47" s="145">
        <v>-0.31</v>
      </c>
      <c r="E47" s="145">
        <v>-0.94</v>
      </c>
      <c r="F47" s="145">
        <v>-1.83</v>
      </c>
      <c r="G47" s="145">
        <v>0</v>
      </c>
    </row>
    <row r="48" spans="1:7" ht="14.5">
      <c r="A48" s="146" t="s">
        <v>139</v>
      </c>
      <c r="B48" s="145">
        <v>20.58</v>
      </c>
      <c r="C48" s="145">
        <v>-20.38</v>
      </c>
      <c r="D48" s="145">
        <v>-70.59</v>
      </c>
      <c r="E48" s="145">
        <v>50.38</v>
      </c>
      <c r="F48" s="145">
        <v>-141.22999999999999</v>
      </c>
      <c r="G48" s="145">
        <v>7.06</v>
      </c>
    </row>
    <row r="49" spans="1:10" ht="14.5">
      <c r="A49" s="147" t="s">
        <v>19</v>
      </c>
      <c r="B49" s="146"/>
      <c r="C49" s="146"/>
    </row>
    <row r="50" spans="1:10" ht="14.5">
      <c r="A50" s="146" t="s">
        <v>138</v>
      </c>
      <c r="B50" s="145">
        <v>4.48E-2</v>
      </c>
      <c r="C50" s="145">
        <v>0.1249</v>
      </c>
      <c r="D50" s="145">
        <v>-0.152</v>
      </c>
      <c r="E50" s="145">
        <v>0.1206</v>
      </c>
      <c r="F50" s="145">
        <v>-0.28289999999999998</v>
      </c>
      <c r="G50" s="145">
        <v>1.35E-2</v>
      </c>
    </row>
    <row r="51" spans="1:10" ht="14.5">
      <c r="A51" s="146" t="s">
        <v>137</v>
      </c>
      <c r="B51" s="145">
        <v>4.48E-2</v>
      </c>
      <c r="C51" s="145">
        <v>0.12280000000000001</v>
      </c>
      <c r="D51" s="145">
        <v>-0.152</v>
      </c>
      <c r="E51" s="145">
        <v>0.1168</v>
      </c>
      <c r="F51" s="145">
        <v>-0.28289999999999998</v>
      </c>
      <c r="G51" s="145">
        <v>1.35E-2</v>
      </c>
    </row>
    <row r="52" spans="1:10" ht="14.5">
      <c r="A52" s="146" t="s">
        <v>20</v>
      </c>
      <c r="B52" s="146" t="s">
        <v>21</v>
      </c>
      <c r="C52" s="146" t="s">
        <v>21</v>
      </c>
      <c r="D52" s="146" t="s">
        <v>21</v>
      </c>
      <c r="E52" s="146" t="s">
        <v>21</v>
      </c>
      <c r="F52" s="146" t="s">
        <v>21</v>
      </c>
      <c r="G52" s="146" t="s">
        <v>21</v>
      </c>
      <c r="J52" s="339"/>
    </row>
    <row r="53" spans="1:10" ht="14.5">
      <c r="A53" s="146" t="s">
        <v>22</v>
      </c>
      <c r="B53" s="146" t="s">
        <v>21</v>
      </c>
      <c r="C53" s="146" t="s">
        <v>21</v>
      </c>
      <c r="D53" s="146" t="s">
        <v>21</v>
      </c>
      <c r="E53" s="146" t="s">
        <v>21</v>
      </c>
      <c r="F53" s="146" t="s">
        <v>21</v>
      </c>
      <c r="G53" s="146" t="s">
        <v>21</v>
      </c>
    </row>
    <row r="54" spans="1:10" ht="14.5">
      <c r="A54" s="146" t="s">
        <v>23</v>
      </c>
      <c r="B54" s="148">
        <v>1</v>
      </c>
      <c r="C54" s="148">
        <v>1</v>
      </c>
      <c r="D54" s="148">
        <v>1</v>
      </c>
      <c r="E54" s="148">
        <v>1</v>
      </c>
      <c r="F54" s="148">
        <v>1</v>
      </c>
      <c r="G54" s="148">
        <v>1</v>
      </c>
    </row>
    <row r="55" spans="1:10" ht="14.5">
      <c r="A55" s="146" t="s">
        <v>266</v>
      </c>
      <c r="B55" s="146" t="s">
        <v>24</v>
      </c>
      <c r="C55" s="146" t="s">
        <v>24</v>
      </c>
      <c r="D55" s="146" t="s">
        <v>24</v>
      </c>
      <c r="E55" s="146" t="s">
        <v>24</v>
      </c>
      <c r="F55" s="146" t="s">
        <v>24</v>
      </c>
      <c r="G55" s="146" t="s">
        <v>24</v>
      </c>
    </row>
    <row r="56" spans="1:10" ht="14.5">
      <c r="A56" s="146" t="s">
        <v>25</v>
      </c>
      <c r="B56" s="145">
        <v>25</v>
      </c>
      <c r="C56" s="145">
        <v>25</v>
      </c>
      <c r="D56" s="145">
        <v>25</v>
      </c>
      <c r="E56" s="145">
        <v>25</v>
      </c>
      <c r="F56" s="145">
        <v>25</v>
      </c>
    </row>
    <row r="57" spans="1:10" ht="14.5">
      <c r="A57" s="146" t="s">
        <v>26</v>
      </c>
      <c r="B57" s="146"/>
      <c r="C57" s="146"/>
    </row>
    <row r="58" spans="1:10" ht="14.5">
      <c r="A58" s="146" t="s">
        <v>27</v>
      </c>
      <c r="B58" s="146" t="s">
        <v>267</v>
      </c>
      <c r="C58" s="146" t="s">
        <v>267</v>
      </c>
      <c r="D58" s="146" t="s">
        <v>267</v>
      </c>
      <c r="E58" s="146" t="s">
        <v>267</v>
      </c>
      <c r="F58" s="146" t="s">
        <v>267</v>
      </c>
    </row>
    <row r="59" spans="1:10" ht="14.5">
      <c r="A59" s="146" t="s">
        <v>28</v>
      </c>
      <c r="B59" s="146"/>
      <c r="C59" s="146"/>
    </row>
    <row r="60" spans="1:10" ht="14.5">
      <c r="A60" s="146" t="s">
        <v>29</v>
      </c>
      <c r="B60" s="146"/>
      <c r="C60" s="146"/>
    </row>
    <row r="61" spans="1:10" ht="14.5">
      <c r="A61" s="146" t="s">
        <v>30</v>
      </c>
      <c r="B61" s="146"/>
      <c r="C61" s="146"/>
    </row>
    <row r="62" spans="1:10" ht="14.5">
      <c r="A62" s="146" t="s">
        <v>31</v>
      </c>
      <c r="B62" s="146" t="s">
        <v>817</v>
      </c>
      <c r="C62" s="146" t="s">
        <v>816</v>
      </c>
      <c r="D62" s="146" t="s">
        <v>815</v>
      </c>
      <c r="E62" s="146" t="s">
        <v>814</v>
      </c>
      <c r="F62" s="146" t="s">
        <v>813</v>
      </c>
      <c r="G62" s="146" t="s">
        <v>812</v>
      </c>
    </row>
    <row r="63" spans="1:10" ht="14.5">
      <c r="A63" s="146" t="s">
        <v>32</v>
      </c>
      <c r="B63" s="146" t="s">
        <v>33</v>
      </c>
      <c r="C63" s="146" t="s">
        <v>33</v>
      </c>
      <c r="D63" s="146" t="s">
        <v>33</v>
      </c>
      <c r="E63" s="146" t="s">
        <v>33</v>
      </c>
      <c r="F63" s="146" t="s">
        <v>33</v>
      </c>
      <c r="G63" s="146" t="s">
        <v>33</v>
      </c>
    </row>
    <row r="64" spans="1:10" ht="14.5">
      <c r="B64" s="146"/>
      <c r="C64" s="146"/>
    </row>
    <row r="65" spans="1:3" ht="14.5">
      <c r="B65" s="146"/>
      <c r="C65" s="146"/>
    </row>
    <row r="66" spans="1:3" ht="14.5">
      <c r="A66" s="146" t="s">
        <v>35</v>
      </c>
      <c r="B66" s="146"/>
      <c r="C66" s="146"/>
    </row>
    <row r="67" spans="1:3" ht="14.5">
      <c r="B67" s="146"/>
      <c r="C67" s="146"/>
    </row>
  </sheetData>
  <phoneticPr fontId="11" type="noConversion"/>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0182B-B005-4A69-9088-9AA846ABAB0B}">
  <sheetPr>
    <tabColor theme="8"/>
  </sheetPr>
  <dimension ref="A1:N77"/>
  <sheetViews>
    <sheetView showGridLines="0" zoomScale="70" zoomScaleNormal="70" workbookViewId="0">
      <selection sqref="A1:XFD3"/>
    </sheetView>
  </sheetViews>
  <sheetFormatPr defaultColWidth="9.81640625" defaultRowHeight="12.5"/>
  <cols>
    <col min="1" max="1" width="23.26953125" style="261" customWidth="1"/>
    <col min="2" max="2" width="51.90625" style="261" customWidth="1"/>
    <col min="3" max="3" width="42.7265625" style="261" customWidth="1"/>
    <col min="4" max="4" width="17.453125" style="261" customWidth="1"/>
    <col min="5" max="5" width="13.90625" style="261" customWidth="1"/>
    <col min="6" max="6" width="9.81640625" style="261"/>
    <col min="7" max="7" width="18.08984375" style="261" customWidth="1"/>
    <col min="8" max="9" width="7.36328125" style="261" customWidth="1"/>
    <col min="10" max="12" width="11.7265625" style="261" customWidth="1"/>
    <col min="13" max="15" width="7.36328125" style="261" customWidth="1"/>
    <col min="16" max="16384" width="9.81640625" style="261"/>
  </cols>
  <sheetData>
    <row r="1" spans="1:10" s="417" customFormat="1" ht="13.65" customHeight="1">
      <c r="A1" s="417" t="s">
        <v>585</v>
      </c>
    </row>
    <row r="2" spans="1:10" s="417" customFormat="1" ht="13.65" customHeight="1"/>
    <row r="3" spans="1:10" s="417" customFormat="1" ht="13.65" customHeight="1"/>
    <row r="5" spans="1:10" s="223" customFormat="1" ht="13.5">
      <c r="A5" s="222" t="s">
        <v>586</v>
      </c>
      <c r="C5" s="224"/>
      <c r="D5" s="224"/>
      <c r="E5" s="224"/>
      <c r="F5" s="224"/>
      <c r="G5" s="224"/>
      <c r="H5" s="224"/>
      <c r="I5" s="224"/>
      <c r="J5" s="224"/>
    </row>
    <row r="23" spans="1:14" s="87" customFormat="1" ht="14">
      <c r="A23" s="225" t="s">
        <v>587</v>
      </c>
      <c r="B23" s="226"/>
      <c r="C23" s="226"/>
      <c r="D23" s="226"/>
      <c r="E23" s="227"/>
      <c r="F23" s="227"/>
      <c r="G23" s="227"/>
      <c r="H23" s="228"/>
      <c r="I23" s="228"/>
      <c r="J23" s="228"/>
      <c r="K23" s="228"/>
      <c r="L23" s="228"/>
      <c r="M23" s="228"/>
      <c r="N23" s="228"/>
    </row>
    <row r="24" spans="1:14" s="231" customFormat="1" ht="39">
      <c r="A24" s="229"/>
      <c r="B24" s="229" t="s">
        <v>588</v>
      </c>
      <c r="C24" s="230" t="s">
        <v>589</v>
      </c>
      <c r="D24" s="230" t="s">
        <v>590</v>
      </c>
    </row>
    <row r="25" spans="1:14" s="231" customFormat="1" ht="13">
      <c r="A25" s="232" t="s">
        <v>591</v>
      </c>
      <c r="B25" s="232" t="s">
        <v>592</v>
      </c>
      <c r="C25" s="232" t="s">
        <v>593</v>
      </c>
      <c r="D25" s="232" t="s">
        <v>594</v>
      </c>
    </row>
    <row r="26" spans="1:14" s="231" customFormat="1" ht="13">
      <c r="A26" s="232" t="s">
        <v>595</v>
      </c>
      <c r="B26" s="232" t="s">
        <v>596</v>
      </c>
      <c r="C26" s="232" t="s">
        <v>597</v>
      </c>
      <c r="D26" s="232" t="s">
        <v>598</v>
      </c>
    </row>
    <row r="27" spans="1:14" s="231" customFormat="1" ht="13">
      <c r="A27" s="232" t="s">
        <v>599</v>
      </c>
      <c r="B27" s="232">
        <v>2</v>
      </c>
      <c r="C27" s="232">
        <v>3.2</v>
      </c>
      <c r="D27" s="232">
        <v>3.2</v>
      </c>
    </row>
    <row r="28" spans="1:14" s="231" customFormat="1" ht="13">
      <c r="A28" s="233" t="s">
        <v>600</v>
      </c>
      <c r="B28" s="232" t="s">
        <v>601</v>
      </c>
      <c r="C28" s="234" t="s">
        <v>602</v>
      </c>
      <c r="D28" s="234" t="s">
        <v>603</v>
      </c>
    </row>
    <row r="29" spans="1:14" s="231" customFormat="1" ht="13">
      <c r="A29" s="232" t="s">
        <v>604</v>
      </c>
      <c r="B29" s="232" t="s">
        <v>605</v>
      </c>
      <c r="C29" s="234" t="s">
        <v>606</v>
      </c>
      <c r="D29" s="234" t="s">
        <v>605</v>
      </c>
    </row>
    <row r="30" spans="1:14" s="231" customFormat="1" ht="13">
      <c r="A30" s="232" t="s">
        <v>607</v>
      </c>
      <c r="B30" s="232" t="s">
        <v>608</v>
      </c>
      <c r="C30" s="232" t="s">
        <v>609</v>
      </c>
      <c r="D30" s="232" t="s">
        <v>608</v>
      </c>
    </row>
    <row r="31" spans="1:14" s="231" customFormat="1" ht="13">
      <c r="A31" s="232" t="s">
        <v>610</v>
      </c>
      <c r="B31" s="232" t="s">
        <v>605</v>
      </c>
      <c r="C31" s="232" t="s">
        <v>611</v>
      </c>
      <c r="D31" s="232" t="s">
        <v>608</v>
      </c>
    </row>
    <row r="32" spans="1:14" s="231" customFormat="1" ht="13">
      <c r="A32" s="232" t="s">
        <v>612</v>
      </c>
      <c r="B32" s="234">
        <v>0.05</v>
      </c>
      <c r="C32" s="234">
        <v>0.05</v>
      </c>
      <c r="D32" s="234">
        <v>0.3</v>
      </c>
    </row>
    <row r="33" spans="1:14" s="231" customFormat="1" ht="13">
      <c r="A33" s="235"/>
      <c r="B33" s="236"/>
      <c r="C33" s="237"/>
    </row>
    <row r="34" spans="1:14" s="239" customFormat="1" ht="14">
      <c r="A34" s="235"/>
      <c r="B34" s="236"/>
      <c r="C34" s="237"/>
      <c r="D34" s="231"/>
      <c r="E34" s="238"/>
      <c r="F34" s="238"/>
      <c r="G34" s="238"/>
      <c r="H34" s="238"/>
      <c r="I34" s="238"/>
      <c r="J34" s="238"/>
      <c r="K34" s="238"/>
      <c r="L34" s="238"/>
      <c r="M34" s="238"/>
      <c r="N34" s="238"/>
    </row>
    <row r="35" spans="1:14" s="87" customFormat="1" ht="14.5" thickBot="1">
      <c r="A35" s="225" t="s">
        <v>613</v>
      </c>
      <c r="B35" s="226"/>
      <c r="C35" s="226"/>
      <c r="D35" s="226"/>
      <c r="E35" s="227"/>
      <c r="F35" s="227"/>
      <c r="G35" s="227"/>
      <c r="H35" s="228"/>
      <c r="I35" s="228"/>
      <c r="J35" s="228"/>
      <c r="K35" s="228"/>
      <c r="L35" s="228"/>
      <c r="M35" s="228"/>
      <c r="N35" s="228"/>
    </row>
    <row r="36" spans="1:14" s="239" customFormat="1" ht="14">
      <c r="A36" s="240"/>
      <c r="B36" s="241" t="s">
        <v>614</v>
      </c>
      <c r="C36" s="241" t="s">
        <v>615</v>
      </c>
      <c r="D36" s="242" t="s">
        <v>616</v>
      </c>
      <c r="E36" s="243"/>
      <c r="F36" s="243"/>
      <c r="G36" s="243"/>
      <c r="H36" s="238"/>
      <c r="I36" s="238"/>
      <c r="J36" s="238"/>
      <c r="K36" s="238"/>
      <c r="L36" s="238"/>
      <c r="M36" s="238"/>
      <c r="N36" s="238"/>
    </row>
    <row r="37" spans="1:14" s="239" customFormat="1" ht="52">
      <c r="A37" s="244" t="s">
        <v>617</v>
      </c>
      <c r="B37" s="244" t="s">
        <v>618</v>
      </c>
      <c r="C37" s="244" t="s">
        <v>619</v>
      </c>
      <c r="D37" s="244" t="s">
        <v>620</v>
      </c>
      <c r="E37" s="245"/>
      <c r="F37" s="245"/>
      <c r="G37" s="245"/>
      <c r="H37" s="238"/>
      <c r="I37" s="238"/>
      <c r="J37" s="238"/>
      <c r="K37" s="238"/>
      <c r="L37" s="238"/>
      <c r="M37" s="238"/>
      <c r="N37" s="238"/>
    </row>
    <row r="38" spans="1:14" s="239" customFormat="1" ht="65">
      <c r="A38" s="244" t="s">
        <v>621</v>
      </c>
      <c r="B38" s="244" t="s">
        <v>622</v>
      </c>
      <c r="C38" s="244" t="s">
        <v>623</v>
      </c>
      <c r="D38" s="244" t="s">
        <v>624</v>
      </c>
      <c r="E38" s="246"/>
      <c r="F38" s="246"/>
      <c r="G38" s="246"/>
      <c r="H38" s="238"/>
      <c r="I38" s="238"/>
      <c r="J38" s="238"/>
      <c r="K38" s="238"/>
      <c r="L38" s="238"/>
      <c r="M38" s="238"/>
      <c r="N38" s="238"/>
    </row>
    <row r="39" spans="1:14" s="239" customFormat="1" ht="91">
      <c r="A39" s="244" t="s">
        <v>625</v>
      </c>
      <c r="B39" s="244" t="s">
        <v>626</v>
      </c>
      <c r="C39" s="244" t="s">
        <v>627</v>
      </c>
      <c r="D39" s="244" t="s">
        <v>628</v>
      </c>
      <c r="E39" s="247"/>
      <c r="F39" s="247"/>
      <c r="G39" s="247"/>
      <c r="H39" s="238"/>
      <c r="I39" s="238"/>
      <c r="J39" s="238"/>
      <c r="K39" s="238"/>
      <c r="L39" s="238"/>
      <c r="M39" s="238"/>
      <c r="N39" s="238"/>
    </row>
    <row r="40" spans="1:14" s="239" customFormat="1" ht="14">
      <c r="A40" s="248"/>
      <c r="B40" s="236"/>
      <c r="C40" s="237"/>
      <c r="D40" s="231"/>
      <c r="E40" s="238"/>
      <c r="F40" s="238"/>
      <c r="G40" s="238"/>
      <c r="H40" s="238"/>
      <c r="I40" s="238"/>
      <c r="J40" s="238"/>
      <c r="K40" s="238"/>
      <c r="L40" s="238"/>
      <c r="M40" s="238"/>
      <c r="N40" s="238"/>
    </row>
    <row r="41" spans="1:14" s="87" customFormat="1" ht="14">
      <c r="A41" s="225" t="s">
        <v>629</v>
      </c>
      <c r="B41" s="226"/>
      <c r="C41" s="226"/>
      <c r="D41" s="226"/>
      <c r="E41" s="227"/>
      <c r="F41" s="227"/>
      <c r="G41" s="227"/>
      <c r="H41" s="228"/>
      <c r="I41" s="228"/>
      <c r="J41" s="228"/>
      <c r="K41" s="228"/>
      <c r="L41" s="228"/>
      <c r="M41" s="228"/>
      <c r="N41" s="228"/>
    </row>
    <row r="42" spans="1:14" s="250" customFormat="1" ht="14">
      <c r="A42" s="249"/>
      <c r="B42" s="249"/>
      <c r="C42" s="249"/>
      <c r="D42" s="249"/>
    </row>
    <row r="43" spans="1:14" s="250" customFormat="1" ht="14">
      <c r="A43" s="249"/>
      <c r="B43" s="249"/>
      <c r="C43" s="249"/>
      <c r="D43" s="249"/>
    </row>
    <row r="44" spans="1:14" s="250" customFormat="1" ht="14">
      <c r="A44" s="249"/>
      <c r="B44" s="249"/>
      <c r="C44" s="249"/>
      <c r="D44" s="249"/>
    </row>
    <row r="45" spans="1:14" s="250" customFormat="1" ht="14">
      <c r="A45" s="249"/>
      <c r="B45" s="249"/>
      <c r="C45" s="249"/>
      <c r="D45" s="249"/>
    </row>
    <row r="46" spans="1:14" s="250" customFormat="1" ht="14">
      <c r="A46" s="249"/>
      <c r="B46" s="249"/>
      <c r="C46" s="249"/>
      <c r="D46" s="249"/>
    </row>
    <row r="47" spans="1:14" s="250" customFormat="1" ht="14">
      <c r="A47" s="249"/>
      <c r="B47" s="249"/>
      <c r="C47" s="249"/>
      <c r="D47" s="249"/>
    </row>
    <row r="48" spans="1:14" s="250" customFormat="1" ht="14">
      <c r="A48" s="249"/>
      <c r="B48" s="249"/>
      <c r="C48" s="249"/>
      <c r="D48" s="249"/>
    </row>
    <row r="49" spans="1:10" s="250" customFormat="1" ht="14">
      <c r="A49" s="249"/>
      <c r="B49" s="249"/>
      <c r="C49" s="249"/>
      <c r="D49" s="249"/>
    </row>
    <row r="50" spans="1:10" s="250" customFormat="1" ht="14">
      <c r="A50" s="249"/>
      <c r="B50" s="249"/>
      <c r="C50" s="249"/>
      <c r="D50" s="249"/>
    </row>
    <row r="51" spans="1:10" s="250" customFormat="1" ht="14">
      <c r="A51" s="249"/>
      <c r="B51" s="249"/>
      <c r="C51" s="249"/>
      <c r="D51" s="249"/>
    </row>
    <row r="52" spans="1:10" s="250" customFormat="1" ht="14">
      <c r="A52" s="249"/>
      <c r="B52" s="249"/>
      <c r="C52" s="249"/>
      <c r="D52" s="249"/>
    </row>
    <row r="53" spans="1:10" s="250" customFormat="1" ht="14">
      <c r="A53" s="249"/>
      <c r="B53" s="249"/>
      <c r="C53" s="249"/>
      <c r="D53" s="249"/>
    </row>
    <row r="54" spans="1:10" s="250" customFormat="1" ht="14">
      <c r="A54" s="249"/>
      <c r="B54" s="249"/>
      <c r="C54" s="249"/>
      <c r="D54" s="249"/>
    </row>
    <row r="55" spans="1:10" s="250" customFormat="1" ht="14">
      <c r="A55" s="249"/>
      <c r="B55" s="249"/>
      <c r="C55" s="249"/>
      <c r="D55" s="249"/>
    </row>
    <row r="56" spans="1:10" s="250" customFormat="1" ht="14">
      <c r="A56" s="249"/>
      <c r="B56" s="249"/>
      <c r="C56" s="249"/>
      <c r="D56" s="249"/>
    </row>
    <row r="59" spans="1:10" s="252" customFormat="1" ht="14.5" thickBot="1">
      <c r="A59" s="251" t="s">
        <v>630</v>
      </c>
      <c r="C59" s="251"/>
      <c r="D59" s="251"/>
      <c r="E59" s="251"/>
      <c r="F59" s="251"/>
      <c r="G59" s="251"/>
      <c r="H59" s="251"/>
      <c r="I59" s="251"/>
      <c r="J59" s="251"/>
    </row>
    <row r="60" spans="1:10" s="239" customFormat="1" ht="15">
      <c r="A60" s="253"/>
      <c r="B60" s="253" t="s">
        <v>631</v>
      </c>
      <c r="C60" s="254" t="s">
        <v>632</v>
      </c>
      <c r="D60" s="254" t="s">
        <v>633</v>
      </c>
      <c r="E60" s="253" t="s">
        <v>634</v>
      </c>
      <c r="F60" s="253" t="s">
        <v>635</v>
      </c>
      <c r="G60" s="254" t="s">
        <v>636</v>
      </c>
      <c r="H60" s="255"/>
      <c r="I60" s="255"/>
    </row>
    <row r="61" spans="1:10" s="239" customFormat="1" ht="15">
      <c r="A61" s="256" t="s">
        <v>637</v>
      </c>
      <c r="B61" s="257">
        <v>0.26</v>
      </c>
      <c r="C61" s="257">
        <v>0.16</v>
      </c>
      <c r="D61" s="257">
        <v>0.26</v>
      </c>
      <c r="E61" s="257">
        <v>0.18</v>
      </c>
      <c r="F61" s="257">
        <v>0.04</v>
      </c>
      <c r="G61" s="257">
        <v>0.1</v>
      </c>
      <c r="H61" s="258">
        <v>0.7</v>
      </c>
      <c r="I61" s="255"/>
    </row>
    <row r="62" spans="1:10" s="239" customFormat="1" ht="15">
      <c r="A62" s="256" t="s">
        <v>638</v>
      </c>
      <c r="B62" s="257">
        <v>0.43</v>
      </c>
      <c r="C62" s="257">
        <v>0.11</v>
      </c>
      <c r="D62" s="257">
        <v>0.15</v>
      </c>
      <c r="E62" s="257">
        <v>0.13</v>
      </c>
      <c r="F62" s="257">
        <v>0.13</v>
      </c>
      <c r="G62" s="257">
        <v>0.05</v>
      </c>
      <c r="H62" s="258">
        <v>1</v>
      </c>
      <c r="I62" s="255"/>
    </row>
    <row r="63" spans="1:10" s="239" customFormat="1" ht="15">
      <c r="A63" s="256" t="s">
        <v>637</v>
      </c>
      <c r="B63" s="259">
        <v>0.182</v>
      </c>
      <c r="C63" s="259">
        <v>0.112</v>
      </c>
      <c r="D63" s="259">
        <v>0.182</v>
      </c>
      <c r="E63" s="259">
        <v>0.126</v>
      </c>
      <c r="F63" s="259">
        <v>2.8000000000000001E-2</v>
      </c>
      <c r="G63" s="259">
        <v>7.0000000000000007E-2</v>
      </c>
      <c r="H63" s="260">
        <v>0.7</v>
      </c>
      <c r="I63" s="255"/>
    </row>
    <row r="64" spans="1:10" s="239" customFormat="1" ht="15">
      <c r="A64" s="256" t="s">
        <v>638</v>
      </c>
      <c r="B64" s="259">
        <v>0.43</v>
      </c>
      <c r="C64" s="259">
        <v>0.11</v>
      </c>
      <c r="D64" s="259">
        <v>0.15</v>
      </c>
      <c r="E64" s="259">
        <v>0.13</v>
      </c>
      <c r="F64" s="259">
        <v>0.13</v>
      </c>
      <c r="G64" s="259">
        <v>0.05</v>
      </c>
      <c r="H64" s="260">
        <v>1</v>
      </c>
      <c r="I64" s="255"/>
    </row>
    <row r="65" s="239" customFormat="1" ht="14"/>
    <row r="66" s="239" customFormat="1" ht="14"/>
    <row r="67" s="239" customFormat="1" ht="14"/>
    <row r="68" s="239" customFormat="1" ht="14"/>
    <row r="69" s="239" customFormat="1" ht="14"/>
    <row r="70" s="239" customFormat="1" ht="14"/>
    <row r="71" s="239" customFormat="1" ht="14"/>
    <row r="72" s="239" customFormat="1" ht="14"/>
    <row r="73" s="239" customFormat="1" ht="14"/>
    <row r="74" s="239" customFormat="1" ht="14"/>
    <row r="75" s="239" customFormat="1" ht="14"/>
    <row r="76" s="239" customFormat="1" ht="14"/>
    <row r="77" s="239" customFormat="1" ht="14"/>
  </sheetData>
  <mergeCells count="1">
    <mergeCell ref="A1:XFD3"/>
  </mergeCells>
  <phoneticPr fontId="11" type="noConversion"/>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EB13D-4FD9-4A82-9ED4-C2D26A3DBA70}">
  <sheetPr>
    <tabColor theme="8"/>
  </sheetPr>
  <dimension ref="A1:AZ40"/>
  <sheetViews>
    <sheetView showGridLines="0" zoomScaleNormal="100" workbookViewId="0">
      <selection sqref="A1:XFD3"/>
    </sheetView>
  </sheetViews>
  <sheetFormatPr defaultColWidth="9.36328125" defaultRowHeight="12.5"/>
  <cols>
    <col min="1" max="1" width="24.6328125" style="264" customWidth="1"/>
    <col min="2" max="2" width="18.6328125" style="264" customWidth="1"/>
    <col min="3" max="3" width="11.81640625" style="264" customWidth="1"/>
    <col min="4" max="16" width="9.36328125" style="264"/>
    <col min="17" max="17" width="21.453125" style="264" customWidth="1"/>
    <col min="18" max="19" width="9.36328125" style="264"/>
    <col min="20" max="20" width="23" style="264" customWidth="1"/>
    <col min="21" max="16384" width="9.36328125" style="264"/>
  </cols>
  <sheetData>
    <row r="1" spans="1:52" s="417" customFormat="1" ht="13.65" customHeight="1">
      <c r="A1" s="417" t="s">
        <v>639</v>
      </c>
    </row>
    <row r="2" spans="1:52" s="417" customFormat="1" ht="13.65" customHeight="1"/>
    <row r="3" spans="1:52" s="417" customFormat="1" ht="13.65" customHeight="1"/>
    <row r="4" spans="1:52">
      <c r="A4" s="262"/>
      <c r="B4" s="262"/>
      <c r="C4" s="263"/>
      <c r="D4" s="263"/>
      <c r="E4" s="263"/>
      <c r="F4" s="263"/>
      <c r="G4" s="263"/>
      <c r="H4" s="262"/>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2"/>
      <c r="AV4" s="262"/>
      <c r="AW4" s="262"/>
      <c r="AX4" s="262"/>
      <c r="AY4" s="262"/>
      <c r="AZ4" s="262"/>
    </row>
    <row r="5" spans="1:52" s="266" customFormat="1" ht="13" customHeight="1">
      <c r="A5" s="225" t="s">
        <v>640</v>
      </c>
      <c r="B5" s="265"/>
      <c r="C5" s="265"/>
      <c r="D5" s="265"/>
      <c r="E5" s="265"/>
      <c r="F5" s="265"/>
      <c r="G5" s="265"/>
    </row>
    <row r="6" spans="1:52" ht="13.5" thickBot="1">
      <c r="A6" s="267"/>
      <c r="B6" s="268">
        <v>2021</v>
      </c>
      <c r="C6" s="268" t="s">
        <v>60</v>
      </c>
      <c r="D6" s="268" t="s">
        <v>1</v>
      </c>
      <c r="E6" s="268" t="s">
        <v>50</v>
      </c>
      <c r="F6" s="268" t="s">
        <v>641</v>
      </c>
      <c r="G6" s="268" t="s">
        <v>642</v>
      </c>
      <c r="H6" s="269" t="s">
        <v>643</v>
      </c>
    </row>
    <row r="7" spans="1:52" ht="13.5" thickBot="1">
      <c r="A7" s="270" t="s">
        <v>644</v>
      </c>
      <c r="B7" s="271"/>
      <c r="C7" s="271"/>
      <c r="D7" s="271"/>
      <c r="E7" s="271"/>
      <c r="F7" s="271"/>
      <c r="G7" s="271"/>
      <c r="H7" s="272"/>
    </row>
    <row r="8" spans="1:52" ht="13.5" thickBot="1">
      <c r="A8" s="273" t="s">
        <v>645</v>
      </c>
      <c r="B8" s="274">
        <v>2627.5</v>
      </c>
      <c r="C8" s="274">
        <v>2837.7</v>
      </c>
      <c r="D8" s="274">
        <v>2985</v>
      </c>
      <c r="E8" s="274">
        <v>3075</v>
      </c>
      <c r="F8" s="274">
        <v>3136</v>
      </c>
      <c r="G8" s="274">
        <v>3198.7</v>
      </c>
      <c r="H8" s="275">
        <v>3262.7</v>
      </c>
    </row>
    <row r="9" spans="1:52" ht="13.5" thickBot="1">
      <c r="A9" s="273" t="s">
        <v>646</v>
      </c>
      <c r="B9" s="276">
        <v>0.14799999999999999</v>
      </c>
      <c r="C9" s="276">
        <v>0.22</v>
      </c>
      <c r="D9" s="276">
        <v>0.23</v>
      </c>
      <c r="E9" s="276">
        <v>0.24</v>
      </c>
      <c r="F9" s="276">
        <v>0.25</v>
      </c>
      <c r="G9" s="276">
        <v>0.26</v>
      </c>
      <c r="H9" s="277">
        <v>0.27</v>
      </c>
    </row>
    <row r="10" spans="1:52" ht="13.5" thickBot="1">
      <c r="A10" s="273" t="s">
        <v>647</v>
      </c>
      <c r="B10" s="278">
        <v>0.6</v>
      </c>
      <c r="C10" s="278">
        <v>0.56999999999999995</v>
      </c>
      <c r="D10" s="278">
        <v>0.54</v>
      </c>
      <c r="E10" s="278">
        <v>0.51</v>
      </c>
      <c r="F10" s="278">
        <v>0.5</v>
      </c>
      <c r="G10" s="278">
        <v>0.5</v>
      </c>
      <c r="H10" s="279">
        <v>0.5</v>
      </c>
    </row>
    <row r="11" spans="1:52" ht="13.5" thickBot="1">
      <c r="A11" s="273" t="s">
        <v>648</v>
      </c>
      <c r="B11" s="274">
        <v>39</v>
      </c>
      <c r="C11" s="274">
        <v>41</v>
      </c>
      <c r="D11" s="274">
        <v>43</v>
      </c>
      <c r="E11" s="274">
        <v>44</v>
      </c>
      <c r="F11" s="274">
        <v>45</v>
      </c>
      <c r="G11" s="274">
        <v>46</v>
      </c>
      <c r="H11" s="275">
        <v>47</v>
      </c>
    </row>
    <row r="12" spans="1:52" ht="13.5" thickBot="1">
      <c r="A12" s="273" t="s">
        <v>649</v>
      </c>
      <c r="B12" s="274">
        <v>91</v>
      </c>
      <c r="C12" s="274">
        <v>145.9</v>
      </c>
      <c r="D12" s="274">
        <v>159.4</v>
      </c>
      <c r="E12" s="274">
        <v>165.6</v>
      </c>
      <c r="F12" s="274">
        <v>176.4</v>
      </c>
      <c r="G12" s="274">
        <v>191.3</v>
      </c>
      <c r="H12" s="275">
        <v>207</v>
      </c>
    </row>
    <row r="13" spans="1:52" ht="14.5" thickBot="1">
      <c r="A13" s="273" t="s">
        <v>650</v>
      </c>
      <c r="B13" s="280"/>
      <c r="C13" s="280"/>
      <c r="D13" s="280"/>
      <c r="E13" s="280"/>
      <c r="F13" s="278">
        <v>0.01</v>
      </c>
      <c r="G13" s="278">
        <v>0.03</v>
      </c>
      <c r="H13" s="279">
        <v>0.05</v>
      </c>
    </row>
    <row r="14" spans="1:52" ht="14.5" thickBot="1">
      <c r="A14" s="273" t="s">
        <v>651</v>
      </c>
      <c r="B14" s="280"/>
      <c r="C14" s="280"/>
      <c r="D14" s="280"/>
      <c r="E14" s="280"/>
      <c r="F14" s="274">
        <v>1.8</v>
      </c>
      <c r="G14" s="274">
        <v>5.7</v>
      </c>
      <c r="H14" s="275">
        <v>10.4</v>
      </c>
    </row>
    <row r="15" spans="1:52" ht="14.5" thickBot="1">
      <c r="A15" s="273" t="s">
        <v>652</v>
      </c>
      <c r="B15" s="280"/>
      <c r="C15" s="280"/>
      <c r="D15" s="280"/>
      <c r="E15" s="280"/>
      <c r="F15" s="274">
        <v>0.5</v>
      </c>
      <c r="G15" s="274">
        <v>0.5</v>
      </c>
      <c r="H15" s="275">
        <v>0.5</v>
      </c>
    </row>
    <row r="16" spans="1:52" ht="14.5" thickBot="1">
      <c r="A16" s="273" t="s">
        <v>653</v>
      </c>
      <c r="B16" s="280"/>
      <c r="C16" s="280"/>
      <c r="D16" s="280"/>
      <c r="E16" s="280"/>
      <c r="F16" s="274">
        <v>8.8000000000000007</v>
      </c>
      <c r="G16" s="274">
        <v>28.7</v>
      </c>
      <c r="H16" s="275">
        <v>51.8</v>
      </c>
    </row>
    <row r="17" spans="1:8" ht="13.5" thickBot="1">
      <c r="A17" s="270" t="s">
        <v>654</v>
      </c>
      <c r="B17" s="271"/>
      <c r="C17" s="271"/>
      <c r="D17" s="271"/>
      <c r="E17" s="271"/>
      <c r="F17" s="271"/>
      <c r="G17" s="271"/>
      <c r="H17" s="272"/>
    </row>
    <row r="18" spans="1:8" ht="13.5" thickBot="1">
      <c r="A18" s="273" t="s">
        <v>655</v>
      </c>
      <c r="B18" s="274">
        <v>4100</v>
      </c>
      <c r="C18" s="274">
        <v>4510</v>
      </c>
      <c r="D18" s="274">
        <v>4961</v>
      </c>
      <c r="E18" s="274">
        <v>5457.1</v>
      </c>
      <c r="F18" s="274">
        <v>6002.8</v>
      </c>
      <c r="G18" s="274">
        <v>6603.1</v>
      </c>
      <c r="H18" s="275">
        <v>7263.4</v>
      </c>
    </row>
    <row r="19" spans="1:8" ht="13.5" thickBot="1">
      <c r="A19" s="273" t="s">
        <v>648</v>
      </c>
      <c r="B19" s="274">
        <v>0.72</v>
      </c>
      <c r="C19" s="274">
        <v>0.72</v>
      </c>
      <c r="D19" s="274">
        <v>0.72</v>
      </c>
      <c r="E19" s="274">
        <v>0.72</v>
      </c>
      <c r="F19" s="274">
        <v>0.72</v>
      </c>
      <c r="G19" s="274">
        <v>0.72</v>
      </c>
      <c r="H19" s="275">
        <v>0.72</v>
      </c>
    </row>
    <row r="20" spans="1:8" ht="13.5" thickBot="1">
      <c r="A20" s="273" t="s">
        <v>649</v>
      </c>
      <c r="B20" s="274">
        <v>29.5</v>
      </c>
      <c r="C20" s="274">
        <v>32.5</v>
      </c>
      <c r="D20" s="274">
        <v>35.700000000000003</v>
      </c>
      <c r="E20" s="274">
        <v>39.299999999999997</v>
      </c>
      <c r="F20" s="274">
        <v>43.2</v>
      </c>
      <c r="G20" s="274">
        <v>47.5</v>
      </c>
      <c r="H20" s="275">
        <v>52.3</v>
      </c>
    </row>
    <row r="21" spans="1:8" ht="14.5" thickBot="1">
      <c r="A21" s="273" t="s">
        <v>650</v>
      </c>
      <c r="B21" s="280"/>
      <c r="C21" s="278">
        <v>0.01</v>
      </c>
      <c r="D21" s="278">
        <v>0.03</v>
      </c>
      <c r="E21" s="278">
        <v>0.05</v>
      </c>
      <c r="F21" s="278">
        <v>0.15</v>
      </c>
      <c r="G21" s="278">
        <v>0.3</v>
      </c>
      <c r="H21" s="279">
        <v>0.5</v>
      </c>
    </row>
    <row r="22" spans="1:8" ht="14.5" thickBot="1">
      <c r="A22" s="273" t="s">
        <v>651</v>
      </c>
      <c r="B22" s="280"/>
      <c r="C22" s="274">
        <v>0.3</v>
      </c>
      <c r="D22" s="274">
        <v>1.1000000000000001</v>
      </c>
      <c r="E22" s="274">
        <v>2</v>
      </c>
      <c r="F22" s="274">
        <v>6.5</v>
      </c>
      <c r="G22" s="274">
        <v>14.3</v>
      </c>
      <c r="H22" s="275">
        <v>26.1</v>
      </c>
    </row>
    <row r="23" spans="1:8" ht="14.5" thickBot="1">
      <c r="A23" s="273" t="s">
        <v>652</v>
      </c>
      <c r="B23" s="280"/>
      <c r="C23" s="274">
        <v>0.8</v>
      </c>
      <c r="D23" s="274">
        <v>0.7</v>
      </c>
      <c r="E23" s="274">
        <v>0.6</v>
      </c>
      <c r="F23" s="274">
        <v>0.5</v>
      </c>
      <c r="G23" s="274">
        <v>0.5</v>
      </c>
      <c r="H23" s="275">
        <v>0.5</v>
      </c>
    </row>
    <row r="24" spans="1:8" ht="14.5" thickBot="1">
      <c r="A24" s="273" t="s">
        <v>653</v>
      </c>
      <c r="B24" s="280"/>
      <c r="C24" s="274">
        <v>2.6</v>
      </c>
      <c r="D24" s="274">
        <v>7.5</v>
      </c>
      <c r="E24" s="274">
        <v>11.8</v>
      </c>
      <c r="F24" s="274">
        <v>32.4</v>
      </c>
      <c r="G24" s="274">
        <v>71.3</v>
      </c>
      <c r="H24" s="275">
        <v>130.69999999999999</v>
      </c>
    </row>
    <row r="25" spans="1:8" ht="13.5" thickBot="1">
      <c r="A25" s="270" t="s">
        <v>656</v>
      </c>
      <c r="B25" s="271"/>
      <c r="C25" s="271"/>
      <c r="D25" s="271"/>
      <c r="E25" s="271"/>
      <c r="F25" s="271"/>
      <c r="G25" s="271"/>
      <c r="H25" s="272"/>
    </row>
    <row r="26" spans="1:8" ht="13.5" thickBot="1">
      <c r="A26" s="273" t="s">
        <v>657</v>
      </c>
      <c r="B26" s="274">
        <v>22.8</v>
      </c>
      <c r="C26" s="274">
        <v>21.8</v>
      </c>
      <c r="D26" s="274">
        <v>26.7</v>
      </c>
      <c r="E26" s="274">
        <v>36</v>
      </c>
      <c r="F26" s="274">
        <v>52.1</v>
      </c>
      <c r="G26" s="274">
        <v>75.599999999999994</v>
      </c>
      <c r="H26" s="275">
        <v>109.6</v>
      </c>
    </row>
    <row r="27" spans="1:8" ht="26.5" thickBot="1">
      <c r="A27" s="273" t="s">
        <v>658</v>
      </c>
      <c r="B27" s="274">
        <v>1.23</v>
      </c>
      <c r="C27" s="274">
        <v>1.82</v>
      </c>
      <c r="D27" s="274">
        <v>2.61</v>
      </c>
      <c r="E27" s="274">
        <v>3.84</v>
      </c>
      <c r="F27" s="274">
        <v>5.74</v>
      </c>
      <c r="G27" s="274">
        <v>8.61</v>
      </c>
      <c r="H27" s="275">
        <v>12.914999999999999</v>
      </c>
    </row>
    <row r="28" spans="1:8" ht="13.5" thickBot="1">
      <c r="A28" s="273" t="s">
        <v>659</v>
      </c>
      <c r="B28" s="274">
        <v>7</v>
      </c>
      <c r="C28" s="274">
        <v>6</v>
      </c>
      <c r="D28" s="274">
        <v>8</v>
      </c>
      <c r="E28" s="274">
        <v>11</v>
      </c>
      <c r="F28" s="274">
        <v>15</v>
      </c>
      <c r="G28" s="274">
        <v>21</v>
      </c>
      <c r="H28" s="275">
        <v>29.4</v>
      </c>
    </row>
    <row r="29" spans="1:8" ht="13.5" thickBot="1">
      <c r="A29" s="273" t="s">
        <v>660</v>
      </c>
      <c r="B29" s="274">
        <v>31</v>
      </c>
      <c r="C29" s="274">
        <v>29.6</v>
      </c>
      <c r="D29" s="274">
        <v>37.299999999999997</v>
      </c>
      <c r="E29" s="274">
        <v>50.8</v>
      </c>
      <c r="F29" s="274">
        <v>72.900000000000006</v>
      </c>
      <c r="G29" s="274">
        <v>105.2</v>
      </c>
      <c r="H29" s="275">
        <v>151.9</v>
      </c>
    </row>
    <row r="30" spans="1:8" ht="14.5" thickBot="1">
      <c r="A30" s="273" t="s">
        <v>650</v>
      </c>
      <c r="B30" s="280"/>
      <c r="C30" s="278">
        <v>0.01</v>
      </c>
      <c r="D30" s="278">
        <v>0.03</v>
      </c>
      <c r="E30" s="278">
        <v>0.05</v>
      </c>
      <c r="F30" s="278">
        <v>0.15</v>
      </c>
      <c r="G30" s="278">
        <v>0.3</v>
      </c>
      <c r="H30" s="279">
        <v>0.45</v>
      </c>
    </row>
    <row r="31" spans="1:8" ht="14.5" thickBot="1">
      <c r="A31" s="273" t="s">
        <v>651</v>
      </c>
      <c r="B31" s="280"/>
      <c r="C31" s="274">
        <v>0.3</v>
      </c>
      <c r="D31" s="274">
        <v>1.1000000000000001</v>
      </c>
      <c r="E31" s="274">
        <v>2.5</v>
      </c>
      <c r="F31" s="274">
        <v>10.9</v>
      </c>
      <c r="G31" s="274">
        <v>31.6</v>
      </c>
      <c r="H31" s="275">
        <v>68.3</v>
      </c>
    </row>
    <row r="32" spans="1:8" ht="14.5" thickBot="1">
      <c r="A32" s="273" t="s">
        <v>652</v>
      </c>
      <c r="B32" s="280"/>
      <c r="C32" s="274">
        <v>0.8</v>
      </c>
      <c r="D32" s="274">
        <v>0.7</v>
      </c>
      <c r="E32" s="274">
        <v>0.6</v>
      </c>
      <c r="F32" s="274">
        <v>0.5</v>
      </c>
      <c r="G32" s="274">
        <v>0.5</v>
      </c>
      <c r="H32" s="275">
        <v>0.5</v>
      </c>
    </row>
    <row r="33" spans="1:8" ht="14.5" thickBot="1">
      <c r="A33" s="273" t="s">
        <v>653</v>
      </c>
      <c r="B33" s="280"/>
      <c r="C33" s="274">
        <v>2.4</v>
      </c>
      <c r="D33" s="274">
        <v>7.8</v>
      </c>
      <c r="E33" s="274">
        <v>15.2</v>
      </c>
      <c r="F33" s="274">
        <v>54.6</v>
      </c>
      <c r="G33" s="274">
        <v>157.80000000000001</v>
      </c>
      <c r="H33" s="275">
        <v>341.7</v>
      </c>
    </row>
    <row r="34" spans="1:8" ht="13.5" thickBot="1">
      <c r="A34" s="270" t="s">
        <v>661</v>
      </c>
      <c r="B34" s="271"/>
      <c r="C34" s="271"/>
      <c r="D34" s="271"/>
      <c r="E34" s="271"/>
      <c r="F34" s="271"/>
      <c r="G34" s="271"/>
      <c r="H34" s="272"/>
    </row>
    <row r="35" spans="1:8" ht="13.5" thickBot="1">
      <c r="A35" s="273" t="s">
        <v>662</v>
      </c>
      <c r="B35" s="274">
        <v>22</v>
      </c>
      <c r="C35" s="274">
        <v>24.2</v>
      </c>
      <c r="D35" s="274">
        <v>26.6</v>
      </c>
      <c r="E35" s="274">
        <v>29.3</v>
      </c>
      <c r="F35" s="274">
        <v>32.200000000000003</v>
      </c>
      <c r="G35" s="274">
        <v>35.4</v>
      </c>
      <c r="H35" s="275">
        <v>39</v>
      </c>
    </row>
    <row r="36" spans="1:8" ht="14.5" thickBot="1">
      <c r="A36" s="273" t="s">
        <v>650</v>
      </c>
      <c r="B36" s="280"/>
      <c r="C36" s="280"/>
      <c r="D36" s="278">
        <v>0.01</v>
      </c>
      <c r="E36" s="278">
        <v>0.03</v>
      </c>
      <c r="F36" s="278">
        <v>0.05</v>
      </c>
      <c r="G36" s="278">
        <v>0.15</v>
      </c>
      <c r="H36" s="279">
        <v>0.3</v>
      </c>
    </row>
    <row r="37" spans="1:8" ht="14.5" thickBot="1">
      <c r="A37" s="273" t="s">
        <v>651</v>
      </c>
      <c r="B37" s="280"/>
      <c r="C37" s="280"/>
      <c r="D37" s="274">
        <v>0.27</v>
      </c>
      <c r="E37" s="274">
        <v>0.88</v>
      </c>
      <c r="F37" s="274">
        <v>1.61</v>
      </c>
      <c r="G37" s="274">
        <v>5.31</v>
      </c>
      <c r="H37" s="275">
        <v>11.69</v>
      </c>
    </row>
    <row r="38" spans="1:8" ht="14.5" thickBot="1">
      <c r="A38" s="273" t="s">
        <v>652</v>
      </c>
      <c r="B38" s="280"/>
      <c r="C38" s="280"/>
      <c r="D38" s="274">
        <v>0.7</v>
      </c>
      <c r="E38" s="274">
        <v>0.6</v>
      </c>
      <c r="F38" s="274">
        <v>0.5</v>
      </c>
      <c r="G38" s="274">
        <v>0.5</v>
      </c>
      <c r="H38" s="275">
        <v>0.5</v>
      </c>
    </row>
    <row r="39" spans="1:8" ht="14.5" thickBot="1">
      <c r="A39" s="273" t="s">
        <v>653</v>
      </c>
      <c r="B39" s="280"/>
      <c r="C39" s="280"/>
      <c r="D39" s="274">
        <v>1.9</v>
      </c>
      <c r="E39" s="274">
        <v>5.3</v>
      </c>
      <c r="F39" s="274">
        <v>8.1</v>
      </c>
      <c r="G39" s="274">
        <v>26.6</v>
      </c>
      <c r="H39" s="275">
        <v>58.5</v>
      </c>
    </row>
    <row r="40" spans="1:8" ht="13">
      <c r="A40" s="281" t="s">
        <v>663</v>
      </c>
      <c r="B40" s="282"/>
      <c r="C40" s="283">
        <v>5</v>
      </c>
      <c r="D40" s="283">
        <v>17.2</v>
      </c>
      <c r="E40" s="283">
        <v>32.299999999999997</v>
      </c>
      <c r="F40" s="283">
        <v>103.9</v>
      </c>
      <c r="G40" s="283">
        <v>284.3</v>
      </c>
      <c r="H40" s="284">
        <v>582.70000000000005</v>
      </c>
    </row>
  </sheetData>
  <mergeCells count="1">
    <mergeCell ref="A1:XFD3"/>
  </mergeCells>
  <phoneticPr fontId="11"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83DC1-D5B9-42E6-B7B1-4D590963D1D7}">
  <sheetPr>
    <tabColor theme="8"/>
  </sheetPr>
  <dimension ref="A1:Q90"/>
  <sheetViews>
    <sheetView showGridLines="0" zoomScaleNormal="100" workbookViewId="0">
      <selection sqref="A1:XFD3"/>
    </sheetView>
  </sheetViews>
  <sheetFormatPr defaultColWidth="9.81640625" defaultRowHeight="12.5"/>
  <cols>
    <col min="1" max="1" width="23.26953125" style="261" customWidth="1"/>
    <col min="2" max="2" width="31.08984375" style="261" customWidth="1"/>
    <col min="3" max="3" width="42.7265625" style="261" customWidth="1"/>
    <col min="4" max="5" width="25.81640625" style="261" customWidth="1"/>
    <col min="6" max="6" width="9.81640625" style="261"/>
    <col min="7" max="7" width="18.08984375" style="261" customWidth="1"/>
    <col min="8" max="9" width="7.36328125" style="261" customWidth="1"/>
    <col min="10" max="12" width="11.7265625" style="261" customWidth="1"/>
    <col min="13" max="15" width="7.36328125" style="261" customWidth="1"/>
    <col min="16" max="16384" width="9.81640625" style="261"/>
  </cols>
  <sheetData>
    <row r="1" spans="1:13" s="417" customFormat="1" ht="14">
      <c r="A1" s="417" t="s">
        <v>664</v>
      </c>
    </row>
    <row r="2" spans="1:13" s="417" customFormat="1" ht="14"/>
    <row r="3" spans="1:13" s="417" customFormat="1" ht="14"/>
    <row r="5" spans="1:13" s="223" customFormat="1" ht="14" thickBot="1">
      <c r="A5" s="222" t="s">
        <v>665</v>
      </c>
      <c r="C5" s="285"/>
      <c r="D5" s="224"/>
      <c r="E5" s="224"/>
      <c r="F5" s="224"/>
      <c r="G5" s="224"/>
      <c r="H5" s="224"/>
      <c r="I5" s="224"/>
      <c r="J5" s="224"/>
    </row>
    <row r="6" spans="1:13" s="291" customFormat="1" ht="14.5" thickBot="1">
      <c r="A6" s="286" t="s">
        <v>666</v>
      </c>
      <c r="B6" s="287" t="s">
        <v>667</v>
      </c>
      <c r="C6" s="288" t="s">
        <v>668</v>
      </c>
      <c r="D6" s="289"/>
      <c r="E6" s="290"/>
      <c r="F6" s="290"/>
      <c r="G6" s="290"/>
      <c r="H6" s="290"/>
      <c r="I6" s="290"/>
      <c r="J6" s="290"/>
      <c r="K6" s="290"/>
      <c r="L6" s="290"/>
      <c r="M6" s="290"/>
    </row>
    <row r="7" spans="1:13" s="291" customFormat="1" ht="14.5" thickBot="1">
      <c r="A7" s="418" t="s">
        <v>669</v>
      </c>
      <c r="B7" s="419" t="s">
        <v>670</v>
      </c>
      <c r="C7" s="420" t="s">
        <v>671</v>
      </c>
      <c r="D7" s="420"/>
      <c r="E7" s="290"/>
      <c r="F7" s="290"/>
      <c r="G7" s="290"/>
      <c r="H7" s="290"/>
      <c r="I7" s="290"/>
      <c r="J7" s="290"/>
      <c r="K7" s="290"/>
      <c r="L7" s="290"/>
      <c r="M7" s="290"/>
    </row>
    <row r="8" spans="1:13" s="291" customFormat="1" ht="14.5" thickBot="1">
      <c r="A8" s="418"/>
      <c r="B8" s="419"/>
      <c r="C8" s="420"/>
      <c r="D8" s="420"/>
      <c r="E8" s="290"/>
      <c r="F8" s="290"/>
      <c r="G8" s="290"/>
      <c r="H8" s="290"/>
      <c r="I8" s="290"/>
      <c r="J8" s="290"/>
      <c r="K8" s="290"/>
      <c r="L8" s="290"/>
      <c r="M8" s="290"/>
    </row>
    <row r="9" spans="1:13" s="291" customFormat="1" ht="14.5" thickBot="1">
      <c r="A9" s="418"/>
      <c r="B9" s="419"/>
      <c r="C9" s="420"/>
      <c r="D9" s="420"/>
      <c r="E9" s="290"/>
      <c r="F9" s="290"/>
      <c r="G9" s="290"/>
      <c r="H9" s="290"/>
      <c r="I9" s="290"/>
      <c r="J9" s="290"/>
      <c r="K9" s="290"/>
      <c r="L9" s="290"/>
      <c r="M9" s="290"/>
    </row>
    <row r="10" spans="1:13" s="291" customFormat="1" ht="14.5" thickBot="1">
      <c r="A10" s="418"/>
      <c r="B10" s="419" t="s">
        <v>672</v>
      </c>
      <c r="C10" s="420" t="s">
        <v>673</v>
      </c>
      <c r="D10" s="420"/>
      <c r="E10" s="290"/>
      <c r="F10" s="290"/>
      <c r="G10" s="290"/>
      <c r="H10" s="290"/>
      <c r="I10" s="290"/>
      <c r="J10" s="290"/>
      <c r="K10" s="290"/>
      <c r="L10" s="290"/>
      <c r="M10" s="290"/>
    </row>
    <row r="11" spans="1:13" s="291" customFormat="1" ht="14.5" thickBot="1">
      <c r="A11" s="418"/>
      <c r="B11" s="419"/>
      <c r="C11" s="420"/>
      <c r="D11" s="420"/>
      <c r="E11" s="290"/>
      <c r="F11" s="290"/>
      <c r="G11" s="290"/>
      <c r="H11" s="290"/>
      <c r="I11" s="290"/>
      <c r="J11" s="290"/>
      <c r="K11" s="290"/>
      <c r="L11" s="290"/>
      <c r="M11" s="290"/>
    </row>
    <row r="12" spans="1:13" s="291" customFormat="1" ht="14.5" thickBot="1">
      <c r="A12" s="418"/>
      <c r="B12" s="419"/>
      <c r="C12" s="420"/>
      <c r="D12" s="420"/>
      <c r="E12" s="290"/>
      <c r="F12" s="290"/>
      <c r="G12" s="290"/>
      <c r="H12" s="290"/>
      <c r="I12" s="290"/>
      <c r="J12" s="290"/>
      <c r="K12" s="290"/>
      <c r="L12" s="290"/>
      <c r="M12" s="290"/>
    </row>
    <row r="13" spans="1:13" s="291" customFormat="1" ht="14.5" thickBot="1">
      <c r="A13" s="418"/>
      <c r="B13" s="419"/>
      <c r="C13" s="420"/>
      <c r="D13" s="420"/>
      <c r="E13" s="290"/>
      <c r="F13" s="290"/>
      <c r="G13" s="290"/>
      <c r="H13" s="290"/>
      <c r="I13" s="290"/>
      <c r="J13" s="290"/>
      <c r="K13" s="290"/>
      <c r="L13" s="290"/>
      <c r="M13" s="290"/>
    </row>
    <row r="14" spans="1:13" s="291" customFormat="1" ht="14.5" thickBot="1">
      <c r="A14" s="418"/>
      <c r="B14" s="419" t="s">
        <v>674</v>
      </c>
      <c r="C14" s="420" t="s">
        <v>675</v>
      </c>
      <c r="D14" s="420"/>
      <c r="E14" s="290"/>
      <c r="F14" s="290"/>
      <c r="G14" s="290"/>
      <c r="H14" s="290"/>
      <c r="I14" s="290"/>
      <c r="J14" s="290"/>
      <c r="K14" s="290"/>
      <c r="L14" s="290"/>
      <c r="M14" s="290"/>
    </row>
    <row r="15" spans="1:13" s="291" customFormat="1" ht="14.5" thickBot="1">
      <c r="A15" s="418"/>
      <c r="B15" s="419"/>
      <c r="C15" s="420"/>
      <c r="D15" s="420"/>
      <c r="E15" s="290"/>
      <c r="F15" s="290"/>
      <c r="G15" s="290"/>
      <c r="H15" s="290"/>
      <c r="I15" s="290"/>
      <c r="J15" s="290"/>
      <c r="K15" s="290"/>
      <c r="L15" s="290"/>
      <c r="M15" s="290"/>
    </row>
    <row r="16" spans="1:13" s="291" customFormat="1" ht="14.5" thickBot="1">
      <c r="A16" s="418"/>
      <c r="B16" s="419"/>
      <c r="C16" s="420"/>
      <c r="D16" s="420"/>
      <c r="E16" s="290"/>
      <c r="F16" s="290"/>
      <c r="G16" s="290"/>
      <c r="H16" s="290"/>
      <c r="I16" s="290"/>
      <c r="J16" s="290"/>
      <c r="K16" s="290"/>
      <c r="L16" s="290"/>
      <c r="M16" s="290"/>
    </row>
    <row r="17" spans="1:13" s="291" customFormat="1" ht="14.5" thickBot="1">
      <c r="A17" s="418"/>
      <c r="B17" s="419"/>
      <c r="C17" s="420"/>
      <c r="D17" s="420"/>
      <c r="E17" s="290"/>
      <c r="F17" s="290"/>
      <c r="G17" s="290"/>
      <c r="H17" s="290"/>
      <c r="I17" s="290"/>
      <c r="J17" s="290"/>
      <c r="K17" s="290"/>
      <c r="L17" s="290"/>
      <c r="M17" s="290"/>
    </row>
    <row r="18" spans="1:13" s="291" customFormat="1" ht="14.5" thickBot="1">
      <c r="A18" s="418"/>
      <c r="B18" s="419" t="s">
        <v>676</v>
      </c>
      <c r="C18" s="420" t="s">
        <v>677</v>
      </c>
      <c r="D18" s="420"/>
      <c r="E18" s="290"/>
      <c r="F18" s="290"/>
      <c r="G18" s="290"/>
      <c r="H18" s="290"/>
      <c r="I18" s="290"/>
      <c r="J18" s="290"/>
      <c r="K18" s="290"/>
      <c r="L18" s="290"/>
      <c r="M18" s="290"/>
    </row>
    <row r="19" spans="1:13" s="291" customFormat="1" ht="14.5" thickBot="1">
      <c r="A19" s="418"/>
      <c r="B19" s="419"/>
      <c r="C19" s="420"/>
      <c r="D19" s="420"/>
      <c r="E19" s="290"/>
      <c r="F19" s="290"/>
      <c r="G19" s="290"/>
      <c r="H19" s="290"/>
      <c r="I19" s="290"/>
      <c r="J19" s="290"/>
      <c r="K19" s="290"/>
      <c r="L19" s="290"/>
      <c r="M19" s="290"/>
    </row>
    <row r="20" spans="1:13" s="291" customFormat="1" ht="14.5" thickBot="1">
      <c r="A20" s="418"/>
      <c r="B20" s="419"/>
      <c r="C20" s="420"/>
      <c r="D20" s="420"/>
      <c r="E20" s="290"/>
      <c r="F20" s="290"/>
      <c r="G20" s="290"/>
      <c r="H20" s="290"/>
      <c r="I20" s="290"/>
      <c r="J20" s="290"/>
      <c r="K20" s="290"/>
      <c r="L20" s="290"/>
      <c r="M20" s="290"/>
    </row>
    <row r="21" spans="1:13" s="291" customFormat="1" ht="14.5" thickBot="1">
      <c r="A21" s="418" t="s">
        <v>678</v>
      </c>
      <c r="B21" s="424" t="s">
        <v>679</v>
      </c>
      <c r="C21" s="420" t="s">
        <v>680</v>
      </c>
      <c r="D21" s="420"/>
      <c r="E21" s="290"/>
      <c r="F21" s="290"/>
      <c r="G21" s="290"/>
      <c r="H21" s="290"/>
      <c r="I21" s="290"/>
      <c r="J21" s="290"/>
      <c r="K21" s="290"/>
      <c r="L21" s="290"/>
      <c r="M21" s="290"/>
    </row>
    <row r="22" spans="1:13" s="291" customFormat="1" ht="14.5" thickBot="1">
      <c r="A22" s="418"/>
      <c r="B22" s="425"/>
      <c r="C22" s="420"/>
      <c r="D22" s="420"/>
      <c r="E22" s="290"/>
      <c r="F22" s="290"/>
      <c r="G22" s="290"/>
      <c r="H22" s="290"/>
      <c r="I22" s="290"/>
      <c r="J22" s="290"/>
      <c r="K22" s="290"/>
      <c r="L22" s="290"/>
      <c r="M22" s="290"/>
    </row>
    <row r="23" spans="1:13" s="291" customFormat="1" ht="14.5" thickBot="1">
      <c r="A23" s="418"/>
      <c r="B23" s="425"/>
      <c r="C23" s="420"/>
      <c r="D23" s="420"/>
      <c r="E23" s="290"/>
      <c r="F23" s="290"/>
      <c r="G23" s="290"/>
      <c r="H23" s="290"/>
      <c r="I23" s="290"/>
      <c r="J23" s="290"/>
      <c r="K23" s="290"/>
      <c r="L23" s="290"/>
      <c r="M23" s="290"/>
    </row>
    <row r="24" spans="1:13" s="291" customFormat="1" ht="14.5" thickBot="1">
      <c r="A24" s="418"/>
      <c r="B24" s="425"/>
      <c r="C24" s="420"/>
      <c r="D24" s="420"/>
      <c r="E24" s="290"/>
      <c r="F24" s="290"/>
      <c r="G24" s="290"/>
      <c r="H24" s="290"/>
      <c r="I24" s="290"/>
      <c r="J24" s="290"/>
      <c r="K24" s="290"/>
      <c r="L24" s="290"/>
      <c r="M24" s="290"/>
    </row>
    <row r="25" spans="1:13" s="291" customFormat="1" ht="14.5" thickBot="1">
      <c r="A25" s="418"/>
      <c r="B25" s="425"/>
      <c r="C25" s="420"/>
      <c r="D25" s="420"/>
      <c r="E25" s="290"/>
      <c r="F25" s="290"/>
      <c r="G25" s="290"/>
      <c r="H25" s="290"/>
      <c r="I25" s="290"/>
      <c r="J25" s="290"/>
      <c r="K25" s="290"/>
      <c r="L25" s="290"/>
      <c r="M25" s="290"/>
    </row>
    <row r="26" spans="1:13" s="291" customFormat="1" ht="14.5" thickBot="1">
      <c r="A26" s="418"/>
      <c r="B26" s="426"/>
      <c r="C26" s="420"/>
      <c r="D26" s="420"/>
      <c r="E26" s="290"/>
      <c r="F26" s="290"/>
      <c r="G26" s="290"/>
      <c r="H26" s="290"/>
      <c r="I26" s="290"/>
      <c r="J26" s="290"/>
      <c r="K26" s="290"/>
      <c r="L26" s="290"/>
      <c r="M26" s="290"/>
    </row>
    <row r="27" spans="1:13" s="291" customFormat="1" ht="14.5" thickBot="1">
      <c r="A27" s="418" t="s">
        <v>681</v>
      </c>
      <c r="B27" s="419" t="s">
        <v>682</v>
      </c>
      <c r="C27" s="420" t="s">
        <v>683</v>
      </c>
      <c r="D27" s="420"/>
      <c r="E27" s="290"/>
      <c r="F27" s="290"/>
      <c r="G27" s="290"/>
      <c r="H27" s="290"/>
      <c r="I27" s="290"/>
      <c r="J27" s="290"/>
      <c r="K27" s="290"/>
      <c r="L27" s="290"/>
      <c r="M27" s="290"/>
    </row>
    <row r="28" spans="1:13" s="291" customFormat="1" ht="14.5" thickBot="1">
      <c r="A28" s="418"/>
      <c r="B28" s="419"/>
      <c r="C28" s="420"/>
      <c r="D28" s="420"/>
      <c r="E28" s="290"/>
      <c r="F28" s="290"/>
      <c r="G28" s="290"/>
      <c r="H28" s="290"/>
      <c r="I28" s="290"/>
      <c r="J28" s="290"/>
      <c r="K28" s="290"/>
      <c r="L28" s="290"/>
      <c r="M28" s="290"/>
    </row>
    <row r="29" spans="1:13" s="291" customFormat="1" ht="14.5" thickBot="1">
      <c r="A29" s="418"/>
      <c r="B29" s="419"/>
      <c r="C29" s="420"/>
      <c r="D29" s="420"/>
      <c r="E29" s="290"/>
      <c r="F29" s="290"/>
      <c r="G29" s="290"/>
      <c r="H29" s="290"/>
      <c r="I29" s="290"/>
      <c r="J29" s="290"/>
      <c r="K29" s="290"/>
      <c r="L29" s="290"/>
      <c r="M29" s="290"/>
    </row>
    <row r="30" spans="1:13" s="291" customFormat="1" ht="14.5" thickBot="1">
      <c r="A30" s="418"/>
      <c r="B30" s="419"/>
      <c r="C30" s="420"/>
      <c r="D30" s="420"/>
      <c r="E30" s="290"/>
      <c r="F30" s="290"/>
      <c r="G30" s="290"/>
      <c r="H30" s="290"/>
      <c r="I30" s="290"/>
      <c r="J30" s="290"/>
      <c r="K30" s="290"/>
      <c r="L30" s="290"/>
      <c r="M30" s="290"/>
    </row>
    <row r="31" spans="1:13" s="291" customFormat="1" ht="14.5" thickBot="1">
      <c r="A31" s="292" t="s">
        <v>684</v>
      </c>
      <c r="B31" s="293" t="s">
        <v>685</v>
      </c>
      <c r="C31" s="294" t="s">
        <v>686</v>
      </c>
      <c r="D31" s="294"/>
      <c r="E31" s="290"/>
      <c r="F31" s="290"/>
      <c r="G31" s="290"/>
      <c r="H31" s="290"/>
      <c r="I31" s="290"/>
      <c r="J31" s="290"/>
      <c r="K31" s="290"/>
      <c r="L31" s="290"/>
      <c r="M31" s="290"/>
    </row>
    <row r="32" spans="1:13" s="291" customFormat="1" ht="14.5" thickBot="1">
      <c r="A32" s="295" t="s">
        <v>687</v>
      </c>
      <c r="B32" s="296" t="s">
        <v>688</v>
      </c>
      <c r="C32" s="294" t="s">
        <v>689</v>
      </c>
      <c r="D32" s="294"/>
      <c r="E32" s="290"/>
      <c r="F32" s="290"/>
      <c r="G32" s="290"/>
      <c r="H32" s="290"/>
      <c r="I32" s="290"/>
      <c r="J32" s="290"/>
      <c r="K32" s="290"/>
      <c r="L32" s="290"/>
      <c r="M32" s="290"/>
    </row>
    <row r="33" spans="1:7" s="290" customFormat="1" ht="14">
      <c r="A33" s="290" t="s">
        <v>690</v>
      </c>
      <c r="C33" s="297"/>
    </row>
    <row r="36" spans="1:7" s="298" customFormat="1" ht="13">
      <c r="A36" s="427" t="s">
        <v>691</v>
      </c>
      <c r="B36" s="428"/>
      <c r="C36" s="429"/>
    </row>
    <row r="37" spans="1:7" s="300" customFormat="1" ht="13">
      <c r="A37" s="225" t="s">
        <v>692</v>
      </c>
      <c r="B37" s="299"/>
      <c r="C37" s="299"/>
      <c r="D37" s="299"/>
      <c r="E37" s="299"/>
      <c r="F37" s="299"/>
      <c r="G37" s="299"/>
    </row>
    <row r="38" spans="1:7" s="298" customFormat="1" ht="13">
      <c r="A38" s="301" t="s">
        <v>667</v>
      </c>
      <c r="B38" s="301" t="s">
        <v>668</v>
      </c>
      <c r="C38" s="302" t="s">
        <v>693</v>
      </c>
      <c r="D38" s="301" t="s">
        <v>694</v>
      </c>
      <c r="E38" s="301" t="s">
        <v>695</v>
      </c>
    </row>
    <row r="39" spans="1:7" s="298" customFormat="1" ht="54.5">
      <c r="A39" s="303" t="s">
        <v>696</v>
      </c>
      <c r="B39" s="303" t="s">
        <v>697</v>
      </c>
      <c r="C39" s="303" t="s">
        <v>698</v>
      </c>
      <c r="D39" s="303" t="s">
        <v>699</v>
      </c>
      <c r="E39" s="303" t="s">
        <v>700</v>
      </c>
    </row>
    <row r="40" spans="1:7" s="298" customFormat="1" ht="80.5">
      <c r="A40" s="303" t="s">
        <v>701</v>
      </c>
      <c r="B40" s="303" t="s">
        <v>702</v>
      </c>
      <c r="C40" s="303" t="s">
        <v>703</v>
      </c>
      <c r="D40" s="303" t="s">
        <v>704</v>
      </c>
      <c r="E40" s="303" t="s">
        <v>705</v>
      </c>
    </row>
    <row r="41" spans="1:7" s="298" customFormat="1" ht="67.5">
      <c r="A41" s="303" t="s">
        <v>672</v>
      </c>
      <c r="B41" s="303" t="s">
        <v>706</v>
      </c>
      <c r="C41" s="304" t="s">
        <v>707</v>
      </c>
      <c r="D41" s="303" t="s">
        <v>708</v>
      </c>
      <c r="E41" s="303" t="s">
        <v>709</v>
      </c>
    </row>
    <row r="42" spans="1:7" s="298" customFormat="1" ht="52">
      <c r="A42" s="303" t="s">
        <v>676</v>
      </c>
      <c r="B42" s="303" t="s">
        <v>710</v>
      </c>
      <c r="C42" s="256"/>
      <c r="D42" s="303" t="s">
        <v>711</v>
      </c>
      <c r="E42" s="303" t="s">
        <v>712</v>
      </c>
    </row>
    <row r="44" spans="1:7" s="300" customFormat="1" ht="13" customHeight="1" thickBot="1">
      <c r="A44" s="225" t="s">
        <v>713</v>
      </c>
      <c r="B44" s="299"/>
      <c r="C44" s="299"/>
      <c r="D44" s="299"/>
      <c r="E44" s="299"/>
      <c r="F44" s="299"/>
      <c r="G44" s="299"/>
    </row>
    <row r="45" spans="1:7" s="298" customFormat="1" ht="13">
      <c r="A45" s="305" t="s">
        <v>714</v>
      </c>
      <c r="B45" s="305" t="s">
        <v>715</v>
      </c>
      <c r="C45" s="305" t="s">
        <v>716</v>
      </c>
      <c r="D45" s="305" t="s">
        <v>717</v>
      </c>
    </row>
    <row r="46" spans="1:7" s="298" customFormat="1" ht="38.5">
      <c r="A46" s="306" t="s">
        <v>718</v>
      </c>
      <c r="B46" s="306" t="s">
        <v>719</v>
      </c>
      <c r="C46" s="306" t="s">
        <v>720</v>
      </c>
      <c r="D46" s="306" t="s">
        <v>721</v>
      </c>
    </row>
    <row r="47" spans="1:7" s="298" customFormat="1" ht="38.5">
      <c r="A47" s="306" t="s">
        <v>722</v>
      </c>
      <c r="B47" s="306" t="s">
        <v>723</v>
      </c>
      <c r="C47" s="306" t="s">
        <v>724</v>
      </c>
      <c r="D47" s="306" t="s">
        <v>725</v>
      </c>
    </row>
    <row r="48" spans="1:7" s="298" customFormat="1" ht="36" customHeight="1">
      <c r="A48" s="306" t="s">
        <v>726</v>
      </c>
      <c r="B48" s="306" t="s">
        <v>727</v>
      </c>
      <c r="C48" s="306" t="s">
        <v>728</v>
      </c>
      <c r="D48" s="306" t="s">
        <v>727</v>
      </c>
    </row>
    <row r="49" spans="1:7" s="298" customFormat="1" ht="26">
      <c r="A49" s="306" t="s">
        <v>729</v>
      </c>
      <c r="B49" s="306" t="s">
        <v>727</v>
      </c>
      <c r="C49" s="306" t="s">
        <v>730</v>
      </c>
      <c r="D49" s="306" t="s">
        <v>727</v>
      </c>
    </row>
    <row r="50" spans="1:7" s="298" customFormat="1" ht="52">
      <c r="A50" s="306" t="s">
        <v>731</v>
      </c>
      <c r="B50" s="306" t="s">
        <v>732</v>
      </c>
      <c r="C50" s="306" t="s">
        <v>733</v>
      </c>
      <c r="D50" s="306" t="s">
        <v>727</v>
      </c>
    </row>
    <row r="51" spans="1:7" s="298" customFormat="1" ht="65">
      <c r="A51" s="307" t="s">
        <v>734</v>
      </c>
      <c r="B51" s="307" t="s">
        <v>735</v>
      </c>
      <c r="C51" s="307" t="s">
        <v>736</v>
      </c>
      <c r="D51" s="307" t="s">
        <v>737</v>
      </c>
    </row>
    <row r="55" spans="1:7" s="300" customFormat="1" ht="13">
      <c r="A55" s="225" t="s">
        <v>738</v>
      </c>
      <c r="B55" s="299"/>
      <c r="C55" s="299"/>
      <c r="D55" s="299"/>
      <c r="E55" s="299"/>
      <c r="F55" s="299"/>
      <c r="G55" s="299"/>
    </row>
    <row r="56" spans="1:7" s="298" customFormat="1" ht="13.5">
      <c r="A56" s="430" t="s">
        <v>667</v>
      </c>
      <c r="B56" s="431"/>
      <c r="C56" s="432" t="s">
        <v>739</v>
      </c>
      <c r="D56" s="432"/>
    </row>
    <row r="57" spans="1:7" s="298" customFormat="1" ht="13">
      <c r="A57" s="433" t="s">
        <v>740</v>
      </c>
      <c r="B57" s="308" t="s">
        <v>741</v>
      </c>
      <c r="C57" s="435" t="s">
        <v>742</v>
      </c>
      <c r="D57" s="436"/>
    </row>
    <row r="58" spans="1:7" s="298" customFormat="1" ht="13">
      <c r="A58" s="434"/>
      <c r="B58" s="309" t="s">
        <v>743</v>
      </c>
      <c r="C58" s="435"/>
      <c r="D58" s="436"/>
    </row>
    <row r="59" spans="1:7" s="298" customFormat="1" ht="43.5" customHeight="1">
      <c r="A59" s="421" t="s">
        <v>744</v>
      </c>
      <c r="B59" s="422"/>
      <c r="C59" s="423" t="s">
        <v>745</v>
      </c>
      <c r="D59" s="423"/>
    </row>
    <row r="60" spans="1:7" s="298" customFormat="1" ht="44" customHeight="1">
      <c r="A60" s="421" t="s">
        <v>746</v>
      </c>
      <c r="B60" s="438"/>
      <c r="C60" s="423" t="s">
        <v>747</v>
      </c>
      <c r="D60" s="423"/>
    </row>
    <row r="61" spans="1:7" s="298" customFormat="1" ht="30" customHeight="1">
      <c r="A61" s="421" t="s">
        <v>748</v>
      </c>
      <c r="B61" s="438"/>
      <c r="C61" s="423" t="s">
        <v>749</v>
      </c>
      <c r="D61" s="423"/>
    </row>
    <row r="63" spans="1:7" s="300" customFormat="1" ht="13" customHeight="1">
      <c r="A63" s="225" t="s">
        <v>750</v>
      </c>
      <c r="B63" s="299"/>
      <c r="C63" s="299"/>
      <c r="D63" s="299"/>
      <c r="E63" s="299"/>
      <c r="F63" s="299"/>
      <c r="G63" s="299"/>
    </row>
    <row r="64" spans="1:7" s="298" customFormat="1" ht="13">
      <c r="A64" s="310" t="s">
        <v>714</v>
      </c>
      <c r="B64" s="310" t="s">
        <v>751</v>
      </c>
      <c r="C64" s="439" t="s">
        <v>716</v>
      </c>
      <c r="D64" s="439"/>
    </row>
    <row r="65" spans="1:7" s="298" customFormat="1" ht="13">
      <c r="A65" s="307" t="s">
        <v>752</v>
      </c>
      <c r="B65" s="311" t="s">
        <v>753</v>
      </c>
      <c r="C65" s="440" t="s">
        <v>754</v>
      </c>
      <c r="D65" s="440"/>
    </row>
    <row r="66" spans="1:7" s="298" customFormat="1" ht="13.65" customHeight="1">
      <c r="A66" s="307" t="s">
        <v>755</v>
      </c>
      <c r="B66" s="311" t="s">
        <v>756</v>
      </c>
      <c r="C66" s="440" t="s">
        <v>757</v>
      </c>
      <c r="D66" s="440"/>
    </row>
    <row r="67" spans="1:7" s="298" customFormat="1" ht="26" customHeight="1">
      <c r="A67" s="307" t="s">
        <v>758</v>
      </c>
      <c r="B67" s="311" t="s">
        <v>756</v>
      </c>
      <c r="C67" s="441" t="s">
        <v>759</v>
      </c>
      <c r="D67" s="441"/>
    </row>
    <row r="68" spans="1:7" s="298" customFormat="1" ht="13">
      <c r="A68" s="307" t="s">
        <v>760</v>
      </c>
      <c r="B68" s="311" t="s">
        <v>743</v>
      </c>
      <c r="C68" s="440" t="s">
        <v>761</v>
      </c>
      <c r="D68" s="440"/>
    </row>
    <row r="69" spans="1:7" s="298" customFormat="1" ht="25.5" customHeight="1">
      <c r="A69" s="307" t="s">
        <v>762</v>
      </c>
      <c r="B69" s="311" t="s">
        <v>763</v>
      </c>
      <c r="C69" s="440" t="s">
        <v>764</v>
      </c>
      <c r="D69" s="440"/>
    </row>
    <row r="73" spans="1:7" s="300" customFormat="1" ht="13" customHeight="1">
      <c r="A73" s="225" t="s">
        <v>765</v>
      </c>
      <c r="B73" s="299"/>
      <c r="C73" s="299"/>
      <c r="D73" s="299"/>
      <c r="E73" s="299"/>
      <c r="F73" s="299"/>
      <c r="G73" s="299"/>
    </row>
    <row r="74" spans="1:7" s="298" customFormat="1" ht="52.5" customHeight="1">
      <c r="A74" s="442" t="s">
        <v>766</v>
      </c>
      <c r="B74" s="442"/>
      <c r="C74" s="442"/>
    </row>
    <row r="75" spans="1:7" s="298" customFormat="1" ht="11.5" customHeight="1" thickBot="1">
      <c r="A75" s="312"/>
      <c r="B75" s="312"/>
      <c r="C75" s="312"/>
    </row>
    <row r="76" spans="1:7" s="298" customFormat="1" ht="26">
      <c r="A76" s="313" t="s">
        <v>767</v>
      </c>
      <c r="B76" s="314" t="s">
        <v>768</v>
      </c>
      <c r="C76" s="314" t="s">
        <v>769</v>
      </c>
    </row>
    <row r="77" spans="1:7" s="298" customFormat="1" ht="26">
      <c r="A77" s="315" t="s">
        <v>770</v>
      </c>
      <c r="B77" s="315" t="s">
        <v>771</v>
      </c>
      <c r="C77" s="315" t="s">
        <v>772</v>
      </c>
    </row>
    <row r="78" spans="1:7" s="298" customFormat="1" ht="26">
      <c r="A78" s="315" t="s">
        <v>773</v>
      </c>
      <c r="B78" s="315" t="s">
        <v>774</v>
      </c>
      <c r="C78" s="315" t="s">
        <v>775</v>
      </c>
    </row>
    <row r="79" spans="1:7" s="298" customFormat="1" ht="13">
      <c r="A79" s="315" t="s">
        <v>776</v>
      </c>
      <c r="B79" s="315" t="s">
        <v>777</v>
      </c>
      <c r="C79" s="315" t="s">
        <v>778</v>
      </c>
    </row>
    <row r="83" spans="1:17" s="300" customFormat="1" ht="13" customHeight="1">
      <c r="A83" s="225" t="s">
        <v>779</v>
      </c>
      <c r="B83" s="299"/>
      <c r="C83" s="299"/>
      <c r="D83" s="299"/>
      <c r="E83" s="299"/>
      <c r="F83" s="299"/>
      <c r="G83" s="299"/>
    </row>
    <row r="84" spans="1:17" s="298" customFormat="1" ht="46.5" customHeight="1">
      <c r="A84" s="437" t="s">
        <v>780</v>
      </c>
      <c r="B84" s="437"/>
      <c r="C84" s="437"/>
      <c r="D84" s="316"/>
      <c r="E84" s="316"/>
      <c r="F84" s="316"/>
      <c r="G84" s="316"/>
      <c r="H84" s="316"/>
      <c r="I84" s="316"/>
      <c r="J84" s="316"/>
      <c r="K84" s="316"/>
      <c r="L84" s="317"/>
      <c r="M84" s="317"/>
      <c r="N84" s="317"/>
      <c r="O84" s="317"/>
      <c r="P84" s="317"/>
      <c r="Q84" s="317"/>
    </row>
    <row r="85" spans="1:17" s="317" customFormat="1" ht="13" thickBot="1"/>
    <row r="86" spans="1:17" s="298" customFormat="1" ht="13">
      <c r="A86" s="318" t="s">
        <v>781</v>
      </c>
      <c r="B86" s="318" t="s">
        <v>782</v>
      </c>
      <c r="C86" s="318" t="s">
        <v>783</v>
      </c>
      <c r="D86" s="317"/>
      <c r="E86" s="317"/>
      <c r="F86" s="317"/>
      <c r="G86" s="317"/>
      <c r="H86" s="317"/>
      <c r="I86" s="317"/>
      <c r="J86" s="317"/>
      <c r="K86" s="317"/>
      <c r="L86" s="317"/>
      <c r="M86" s="317"/>
      <c r="N86" s="317"/>
      <c r="O86" s="317"/>
      <c r="P86" s="317"/>
      <c r="Q86" s="317"/>
    </row>
    <row r="87" spans="1:17" s="317" customFormat="1" ht="39" customHeight="1">
      <c r="A87" s="319" t="s">
        <v>784</v>
      </c>
      <c r="B87" s="320" t="s">
        <v>785</v>
      </c>
      <c r="C87" s="320" t="s">
        <v>786</v>
      </c>
    </row>
    <row r="88" spans="1:17" s="317" customFormat="1" ht="33" customHeight="1">
      <c r="A88" s="319" t="s">
        <v>787</v>
      </c>
      <c r="B88" s="320" t="s">
        <v>788</v>
      </c>
      <c r="C88" s="319" t="s">
        <v>789</v>
      </c>
    </row>
    <row r="89" spans="1:17" s="317" customFormat="1" ht="26">
      <c r="A89" s="319" t="s">
        <v>790</v>
      </c>
      <c r="B89" s="320" t="s">
        <v>791</v>
      </c>
      <c r="C89" s="320"/>
    </row>
    <row r="90" spans="1:17" s="317" customFormat="1" ht="13">
      <c r="A90" s="319" t="s">
        <v>792</v>
      </c>
      <c r="B90" s="320" t="s">
        <v>793</v>
      </c>
      <c r="C90" s="319" t="s">
        <v>794</v>
      </c>
    </row>
  </sheetData>
  <mergeCells count="35">
    <mergeCell ref="A84:C84"/>
    <mergeCell ref="A60:B60"/>
    <mergeCell ref="C60:D60"/>
    <mergeCell ref="A61:B61"/>
    <mergeCell ref="C61:D61"/>
    <mergeCell ref="C64:D64"/>
    <mergeCell ref="C65:D65"/>
    <mergeCell ref="C66:D66"/>
    <mergeCell ref="C67:D67"/>
    <mergeCell ref="C68:D68"/>
    <mergeCell ref="C69:D69"/>
    <mergeCell ref="A74:C74"/>
    <mergeCell ref="A59:B59"/>
    <mergeCell ref="C59:D59"/>
    <mergeCell ref="A21:A26"/>
    <mergeCell ref="B21:B26"/>
    <mergeCell ref="C21:D26"/>
    <mergeCell ref="A27:A30"/>
    <mergeCell ref="B27:B30"/>
    <mergeCell ref="C27:D30"/>
    <mergeCell ref="A36:C36"/>
    <mergeCell ref="A56:B56"/>
    <mergeCell ref="C56:D56"/>
    <mergeCell ref="A57:A58"/>
    <mergeCell ref="C57:D58"/>
    <mergeCell ref="A1:XFD3"/>
    <mergeCell ref="A7:A20"/>
    <mergeCell ref="B7:B9"/>
    <mergeCell ref="C7:D9"/>
    <mergeCell ref="B10:B13"/>
    <mergeCell ref="C10:D13"/>
    <mergeCell ref="B14:B17"/>
    <mergeCell ref="C14:D17"/>
    <mergeCell ref="B18:B20"/>
    <mergeCell ref="C18:D20"/>
  </mergeCells>
  <phoneticPr fontId="11"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sheetPr>
  <dimension ref="A1:P58"/>
  <sheetViews>
    <sheetView showGridLines="0" zoomScale="85" zoomScaleNormal="85" workbookViewId="0">
      <selection sqref="A1:XFD3"/>
    </sheetView>
  </sheetViews>
  <sheetFormatPr defaultColWidth="8.81640625" defaultRowHeight="14"/>
  <cols>
    <col min="1" max="1" width="19.453125" style="69" customWidth="1"/>
    <col min="2" max="2" width="29.7265625" style="79" customWidth="1"/>
    <col min="3" max="3" width="51.08984375" style="69" customWidth="1"/>
    <col min="4" max="4" width="63.453125" style="69" customWidth="1"/>
    <col min="5" max="5" width="32.90625" style="69" customWidth="1"/>
    <col min="6" max="6" width="9.26953125" style="69" customWidth="1"/>
    <col min="7" max="7" width="13.453125" style="69" customWidth="1"/>
    <col min="8" max="16384" width="8.81640625" style="69"/>
  </cols>
  <sheetData>
    <row r="1" spans="1:16" s="416" customFormat="1" ht="13.75" customHeight="1">
      <c r="A1" s="416" t="s">
        <v>67</v>
      </c>
    </row>
    <row r="2" spans="1:16" s="416" customFormat="1" ht="13.75" customHeight="1"/>
    <row r="3" spans="1:16" s="416" customFormat="1" ht="13.75" customHeight="1"/>
    <row r="5" spans="1:16" s="68" customFormat="1">
      <c r="A5" s="67" t="s">
        <v>221</v>
      </c>
      <c r="B5" s="109"/>
    </row>
    <row r="6" spans="1:16" ht="75.5" customHeight="1">
      <c r="A6" s="444" t="s">
        <v>808</v>
      </c>
      <c r="B6" s="444"/>
      <c r="C6" s="444"/>
      <c r="D6" s="444"/>
      <c r="E6" s="108"/>
      <c r="F6" s="108"/>
      <c r="G6" s="108"/>
      <c r="H6" s="108"/>
      <c r="I6" s="108"/>
      <c r="J6" s="108"/>
      <c r="K6" s="108"/>
      <c r="L6" s="108"/>
      <c r="M6" s="108"/>
      <c r="N6" s="108"/>
      <c r="O6" s="108"/>
      <c r="P6" s="108"/>
    </row>
    <row r="8" spans="1:16" s="68" customFormat="1">
      <c r="A8" s="67" t="s">
        <v>238</v>
      </c>
      <c r="B8" s="109"/>
    </row>
    <row r="9" spans="1:16">
      <c r="A9" s="122" t="s">
        <v>239</v>
      </c>
      <c r="B9" s="445" t="s">
        <v>238</v>
      </c>
      <c r="C9" s="446"/>
      <c r="D9" s="446"/>
      <c r="E9" s="162"/>
    </row>
    <row r="10" spans="1:16" ht="53" customHeight="1">
      <c r="A10" s="190" t="s">
        <v>453</v>
      </c>
      <c r="B10" s="447" t="s">
        <v>454</v>
      </c>
      <c r="C10" s="448"/>
      <c r="D10" s="449"/>
      <c r="E10" s="162"/>
    </row>
    <row r="11" spans="1:16" ht="76.75" customHeight="1">
      <c r="A11" s="190" t="s">
        <v>455</v>
      </c>
      <c r="B11" s="447" t="s">
        <v>456</v>
      </c>
      <c r="C11" s="448"/>
      <c r="D11" s="449"/>
      <c r="E11" s="162"/>
      <c r="F11" s="162"/>
    </row>
    <row r="12" spans="1:16" ht="47.25" customHeight="1">
      <c r="A12" s="190" t="s">
        <v>457</v>
      </c>
      <c r="B12" s="447" t="s">
        <v>809</v>
      </c>
      <c r="C12" s="448"/>
      <c r="D12" s="449"/>
      <c r="E12" s="162"/>
      <c r="F12" s="162"/>
    </row>
    <row r="13" spans="1:16">
      <c r="A13" s="70"/>
      <c r="C13" s="443"/>
      <c r="D13" s="443"/>
      <c r="E13" s="443"/>
      <c r="F13" s="443"/>
    </row>
    <row r="14" spans="1:16" s="68" customFormat="1">
      <c r="A14" s="67" t="s">
        <v>308</v>
      </c>
      <c r="B14" s="109"/>
    </row>
    <row r="15" spans="1:16" s="71" customFormat="1">
      <c r="A15" s="123" t="s">
        <v>237</v>
      </c>
      <c r="B15" s="123" t="s">
        <v>310</v>
      </c>
      <c r="C15" s="123" t="s">
        <v>338</v>
      </c>
      <c r="D15" s="123" t="s">
        <v>321</v>
      </c>
      <c r="E15" s="123" t="s">
        <v>341</v>
      </c>
      <c r="F15" s="72"/>
      <c r="G15" s="72"/>
    </row>
    <row r="16" spans="1:16" s="71" customFormat="1" ht="71.5" customHeight="1">
      <c r="A16" s="169">
        <v>1</v>
      </c>
      <c r="B16" s="168" t="s">
        <v>311</v>
      </c>
      <c r="C16" s="168" t="s">
        <v>458</v>
      </c>
      <c r="D16" s="168" t="s">
        <v>328</v>
      </c>
      <c r="E16" s="168" t="s">
        <v>318</v>
      </c>
      <c r="F16" s="73"/>
      <c r="G16" s="73"/>
    </row>
    <row r="17" spans="1:15" s="71" customFormat="1" ht="70">
      <c r="A17" s="169">
        <v>2</v>
      </c>
      <c r="B17" s="168" t="s">
        <v>312</v>
      </c>
      <c r="C17" s="168" t="s">
        <v>313</v>
      </c>
      <c r="D17" s="168" t="s">
        <v>329</v>
      </c>
      <c r="E17" s="168" t="s">
        <v>314</v>
      </c>
    </row>
    <row r="18" spans="1:15" s="71" customFormat="1" ht="63.75" customHeight="1">
      <c r="A18" s="169">
        <v>3</v>
      </c>
      <c r="B18" s="168" t="s">
        <v>315</v>
      </c>
      <c r="C18" s="168" t="s">
        <v>459</v>
      </c>
      <c r="D18" s="168" t="s">
        <v>330</v>
      </c>
      <c r="E18" s="168" t="s">
        <v>320</v>
      </c>
    </row>
    <row r="19" spans="1:15" s="71" customFormat="1" ht="70">
      <c r="A19" s="169">
        <v>4</v>
      </c>
      <c r="B19" s="168" t="s">
        <v>316</v>
      </c>
      <c r="C19" s="168" t="s">
        <v>333</v>
      </c>
      <c r="D19" s="168" t="s">
        <v>331</v>
      </c>
      <c r="E19" s="168" t="s">
        <v>319</v>
      </c>
    </row>
    <row r="20" spans="1:15" s="71" customFormat="1" ht="73" customHeight="1">
      <c r="A20" s="169">
        <v>5</v>
      </c>
      <c r="B20" s="168" t="s">
        <v>317</v>
      </c>
      <c r="C20" s="168" t="s">
        <v>460</v>
      </c>
      <c r="D20" s="168" t="s">
        <v>322</v>
      </c>
      <c r="E20" s="168" t="s">
        <v>461</v>
      </c>
    </row>
    <row r="21" spans="1:15" s="71" customFormat="1" ht="58.65" customHeight="1">
      <c r="A21" s="169">
        <v>6</v>
      </c>
      <c r="B21" s="168" t="s">
        <v>324</v>
      </c>
      <c r="C21" s="168" t="s">
        <v>323</v>
      </c>
      <c r="D21" s="168" t="s">
        <v>325</v>
      </c>
      <c r="E21" s="168" t="s">
        <v>326</v>
      </c>
      <c r="F21" s="73"/>
      <c r="G21" s="73"/>
    </row>
    <row r="22" spans="1:15" s="71" customFormat="1" ht="42">
      <c r="A22" s="169">
        <v>7</v>
      </c>
      <c r="B22" s="168" t="s">
        <v>327</v>
      </c>
      <c r="C22" s="168" t="s">
        <v>464</v>
      </c>
      <c r="D22" s="168" t="s">
        <v>462</v>
      </c>
      <c r="E22" s="168" t="s">
        <v>463</v>
      </c>
      <c r="F22" s="73"/>
      <c r="G22" s="73"/>
    </row>
    <row r="23" spans="1:15" s="71" customFormat="1" ht="70">
      <c r="A23" s="169">
        <v>8</v>
      </c>
      <c r="B23" s="168" t="s">
        <v>332</v>
      </c>
      <c r="C23" s="168" t="s">
        <v>465</v>
      </c>
      <c r="D23" s="168" t="s">
        <v>334</v>
      </c>
      <c r="E23" s="169" t="s">
        <v>466</v>
      </c>
      <c r="F23" s="73"/>
      <c r="G23" s="73"/>
    </row>
    <row r="24" spans="1:15" s="71" customFormat="1" ht="56">
      <c r="A24" s="169">
        <v>9</v>
      </c>
      <c r="B24" s="168" t="s">
        <v>335</v>
      </c>
      <c r="C24" s="168" t="s">
        <v>336</v>
      </c>
      <c r="D24" s="169" t="s">
        <v>466</v>
      </c>
      <c r="E24" s="168" t="s">
        <v>467</v>
      </c>
      <c r="F24" s="72"/>
      <c r="G24" s="72"/>
    </row>
    <row r="25" spans="1:15" s="71" customFormat="1" ht="42">
      <c r="A25" s="169">
        <v>10</v>
      </c>
      <c r="B25" s="168" t="s">
        <v>337</v>
      </c>
      <c r="C25" s="168" t="s">
        <v>339</v>
      </c>
      <c r="D25" s="168" t="s">
        <v>340</v>
      </c>
      <c r="E25" s="168" t="s">
        <v>468</v>
      </c>
      <c r="F25" s="73"/>
      <c r="G25" s="73"/>
    </row>
    <row r="26" spans="1:15" s="71" customFormat="1">
      <c r="A26" s="69"/>
      <c r="B26" s="79"/>
      <c r="C26" s="69"/>
      <c r="D26" s="69"/>
      <c r="E26" s="69"/>
    </row>
    <row r="27" spans="1:15" s="68" customFormat="1">
      <c r="A27" s="67" t="s">
        <v>437</v>
      </c>
      <c r="B27" s="109"/>
    </row>
    <row r="28" spans="1:15" ht="64" customHeight="1">
      <c r="A28" s="91" t="s">
        <v>438</v>
      </c>
      <c r="B28" s="450" t="s">
        <v>469</v>
      </c>
      <c r="C28" s="450"/>
      <c r="D28" s="450"/>
    </row>
    <row r="29" spans="1:15" s="71" customFormat="1" ht="40.25" customHeight="1">
      <c r="A29" s="91" t="s">
        <v>439</v>
      </c>
      <c r="B29" s="450" t="s">
        <v>470</v>
      </c>
      <c r="C29" s="450"/>
      <c r="D29" s="450"/>
      <c r="E29" s="69"/>
      <c r="L29" s="73"/>
      <c r="M29" s="73"/>
      <c r="N29" s="73"/>
      <c r="O29" s="73"/>
    </row>
    <row r="30" spans="1:15" ht="67.5" customHeight="1">
      <c r="A30" s="91" t="s">
        <v>440</v>
      </c>
      <c r="B30" s="450" t="s">
        <v>471</v>
      </c>
      <c r="C30" s="450"/>
      <c r="D30" s="450"/>
    </row>
    <row r="31" spans="1:15" ht="60.5" customHeight="1">
      <c r="A31" s="91" t="s">
        <v>441</v>
      </c>
      <c r="B31" s="450" t="s">
        <v>472</v>
      </c>
      <c r="C31" s="450"/>
      <c r="D31" s="450"/>
    </row>
    <row r="32" spans="1:15" ht="63.75" customHeight="1">
      <c r="A32" s="91" t="s">
        <v>442</v>
      </c>
      <c r="B32" s="450" t="s">
        <v>473</v>
      </c>
      <c r="C32" s="450"/>
      <c r="D32" s="450"/>
    </row>
    <row r="33" spans="1:1">
      <c r="A33" s="80"/>
    </row>
    <row r="34" spans="1:1">
      <c r="A34" s="80"/>
    </row>
    <row r="35" spans="1:1">
      <c r="A35" s="80"/>
    </row>
    <row r="58" spans="1:1">
      <c r="A58" s="70"/>
    </row>
  </sheetData>
  <mergeCells count="12">
    <mergeCell ref="B28:D28"/>
    <mergeCell ref="B29:D29"/>
    <mergeCell ref="B30:D30"/>
    <mergeCell ref="B31:D31"/>
    <mergeCell ref="B32:D32"/>
    <mergeCell ref="A1:XFD3"/>
    <mergeCell ref="C13:F13"/>
    <mergeCell ref="A6:D6"/>
    <mergeCell ref="B9:D9"/>
    <mergeCell ref="B10:D10"/>
    <mergeCell ref="B11:D11"/>
    <mergeCell ref="B12:D12"/>
  </mergeCells>
  <phoneticPr fontId="1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sheetPr>
  <dimension ref="A1:P158"/>
  <sheetViews>
    <sheetView zoomScaleNormal="100" workbookViewId="0">
      <pane xSplit="1" topLeftCell="B1" activePane="topRight" state="frozen"/>
      <selection pane="topRight" activeCell="L30" sqref="L30"/>
    </sheetView>
  </sheetViews>
  <sheetFormatPr defaultColWidth="10.08984375" defaultRowHeight="15"/>
  <cols>
    <col min="1" max="1" width="22.36328125" style="25" customWidth="1"/>
    <col min="2" max="16384" width="10.08984375" style="25"/>
  </cols>
  <sheetData>
    <row r="1" spans="1:15" s="451" customFormat="1" ht="13.75" customHeight="1">
      <c r="A1" s="451" t="s">
        <v>201</v>
      </c>
    </row>
    <row r="2" spans="1:15" s="451" customFormat="1" ht="13.75" customHeight="1"/>
    <row r="3" spans="1:15" s="451" customFormat="1" ht="13.75" customHeight="1"/>
    <row r="4" spans="1:15" ht="13.75" customHeight="1"/>
    <row r="5" spans="1:15" ht="13.75" customHeight="1">
      <c r="A5" s="16" t="s">
        <v>278</v>
      </c>
      <c r="B5" s="8" t="s">
        <v>240</v>
      </c>
    </row>
    <row r="6" spans="1:15" ht="13.75" customHeight="1">
      <c r="A6" s="8" t="str">
        <f>[7]!s_info_name(A5)</f>
        <v>维科技术</v>
      </c>
      <c r="B6" s="7">
        <v>43100</v>
      </c>
      <c r="C6" s="7">
        <v>43465</v>
      </c>
      <c r="D6" s="7">
        <v>43830</v>
      </c>
      <c r="E6" s="7">
        <v>44196</v>
      </c>
      <c r="F6" s="7">
        <v>44561</v>
      </c>
      <c r="G6" s="26"/>
      <c r="H6" s="26"/>
      <c r="I6" s="26"/>
      <c r="J6" s="26"/>
      <c r="K6" s="26"/>
      <c r="L6" s="26"/>
      <c r="M6" s="26"/>
      <c r="N6" s="26"/>
      <c r="O6" s="26"/>
    </row>
    <row r="7" spans="1:15">
      <c r="A7" s="17" t="s">
        <v>125</v>
      </c>
      <c r="B7" s="17" t="s">
        <v>241</v>
      </c>
      <c r="C7" s="17" t="s">
        <v>200</v>
      </c>
      <c r="D7" s="17" t="s">
        <v>199</v>
      </c>
      <c r="E7" s="17" t="s">
        <v>198</v>
      </c>
      <c r="F7" s="17" t="s">
        <v>197</v>
      </c>
      <c r="G7" s="26"/>
      <c r="H7" s="26"/>
      <c r="I7" s="26"/>
      <c r="J7" s="26"/>
      <c r="K7" s="26"/>
      <c r="L7" s="26"/>
      <c r="M7" s="26"/>
      <c r="N7" s="26"/>
      <c r="O7" s="26"/>
    </row>
    <row r="8" spans="1:15">
      <c r="A8" s="10" t="s">
        <v>124</v>
      </c>
      <c r="B8" s="10"/>
      <c r="C8" s="10"/>
      <c r="D8" s="10"/>
      <c r="E8" s="10"/>
      <c r="F8" s="10"/>
      <c r="G8" s="26"/>
      <c r="H8" s="26"/>
      <c r="I8" s="26"/>
      <c r="J8" s="26"/>
      <c r="K8" s="26"/>
      <c r="L8" s="26"/>
      <c r="M8" s="26"/>
      <c r="N8" s="26"/>
      <c r="O8" s="26"/>
    </row>
    <row r="9" spans="1:15">
      <c r="A9" s="8" t="s">
        <v>196</v>
      </c>
      <c r="B9" s="13">
        <f>[7]!s_stm07_is($A$5,"W16498900",B6,1,1)/100000000</f>
        <v>15.972209559100001</v>
      </c>
      <c r="C9" s="13">
        <f>[7]!s_stm07_is($A$5,"W16498900",C6,1,1)/100000000</f>
        <v>16.026789428099999</v>
      </c>
      <c r="D9" s="13">
        <f>[7]!s_stm07_is($A$5,"W16498900",D6,1,1)/100000000</f>
        <v>16.450011211900001</v>
      </c>
      <c r="E9" s="13">
        <f>[7]!s_stm07_is($A$5,"W16498900",E6,1,1)/100000000</f>
        <v>17.449795180100001</v>
      </c>
      <c r="F9" s="13">
        <f>[7]!s_stm07_is($A$5,"W16498900",F6,1,1)/100000000</f>
        <v>20.754382082900001</v>
      </c>
      <c r="G9" s="8"/>
      <c r="I9" s="26"/>
      <c r="J9" s="26"/>
      <c r="K9" s="26"/>
      <c r="L9" s="26"/>
      <c r="M9" s="26"/>
      <c r="N9" s="26"/>
      <c r="O9" s="26"/>
    </row>
    <row r="10" spans="1:15">
      <c r="A10" s="9" t="s">
        <v>69</v>
      </c>
      <c r="B10" s="32"/>
      <c r="C10" s="32">
        <f>(C9-B9)/B9</f>
        <v>3.4171771161680855E-3</v>
      </c>
      <c r="D10" s="32">
        <f>(D9-C9)/C9</f>
        <v>2.6407146964691614E-2</v>
      </c>
      <c r="E10" s="32">
        <f>(E9-D9)/D9</f>
        <v>6.0777099499892837E-2</v>
      </c>
      <c r="F10" s="32">
        <f>(F9-E9)/E9</f>
        <v>0.18937683042655992</v>
      </c>
      <c r="G10" s="26"/>
      <c r="I10" s="26"/>
      <c r="J10" s="26"/>
      <c r="K10" s="26"/>
      <c r="L10" s="26"/>
      <c r="M10" s="26"/>
      <c r="N10" s="26"/>
      <c r="O10" s="26"/>
    </row>
    <row r="11" spans="1:15">
      <c r="A11" s="8" t="s">
        <v>70</v>
      </c>
      <c r="B11" s="13">
        <f>[7]!s_stm07_is($A$5,"W16602333",B6,1)/100000000</f>
        <v>0.1662820918</v>
      </c>
      <c r="C11" s="13">
        <f>[7]!s_stm07_is($A$5,"W16602333",C6,1)/100000000</f>
        <v>0.54579586179999995</v>
      </c>
      <c r="D11" s="13">
        <f>[7]!s_stm07_is($A$5,"W16602333",D6,1)/100000000</f>
        <v>-0.6408093668</v>
      </c>
      <c r="E11" s="13">
        <f>[7]!s_stm07_is($A$5,"W16602333",E6,1)/100000000</f>
        <v>0.4914273918</v>
      </c>
      <c r="F11" s="13">
        <f>[7]!s_stm07_is($A$5,"W16602333",F6,1)/100000000</f>
        <v>-1.2717628286</v>
      </c>
      <c r="G11" s="26"/>
      <c r="H11" s="26"/>
      <c r="I11" s="26"/>
      <c r="J11" s="26"/>
      <c r="K11" s="26"/>
      <c r="L11" s="26"/>
      <c r="M11" s="26"/>
      <c r="N11" s="26"/>
      <c r="O11" s="26"/>
    </row>
    <row r="12" spans="1:15">
      <c r="A12" s="9" t="s">
        <v>69</v>
      </c>
      <c r="B12" s="32"/>
      <c r="C12" s="32">
        <f>(C11-B11)/B11</f>
        <v>2.2823490244305429</v>
      </c>
      <c r="D12" s="32">
        <f>(D11-C11)/C11</f>
        <v>-2.1740824942986037</v>
      </c>
      <c r="E12" s="32">
        <f>(E11-D11)/D11</f>
        <v>-1.7668854690031037</v>
      </c>
      <c r="F12" s="32">
        <f>(F11-E11)/E11</f>
        <v>-3.5878956888051921</v>
      </c>
      <c r="G12" s="26"/>
      <c r="H12" s="26"/>
      <c r="I12" s="26"/>
      <c r="J12" s="26"/>
      <c r="K12" s="26"/>
      <c r="L12" s="26"/>
      <c r="M12" s="26"/>
      <c r="N12" s="26"/>
      <c r="O12" s="26"/>
    </row>
    <row r="13" spans="1:15">
      <c r="A13" s="8" t="s">
        <v>71</v>
      </c>
      <c r="B13" s="13">
        <f>B11-B14</f>
        <v>1.034359233</v>
      </c>
      <c r="C13" s="13">
        <f>C11-C14</f>
        <v>2.1741021031000001</v>
      </c>
      <c r="D13" s="13">
        <f>D11-D14</f>
        <v>0.11863217020000005</v>
      </c>
      <c r="E13" s="13">
        <f>E11-E14</f>
        <v>1.1256988045</v>
      </c>
      <c r="F13" s="13">
        <f>F11-F14</f>
        <v>0.33985546379999998</v>
      </c>
      <c r="G13" s="26"/>
      <c r="H13" s="26"/>
      <c r="I13" s="26"/>
      <c r="J13" s="26"/>
      <c r="K13" s="26"/>
      <c r="L13" s="26"/>
      <c r="M13" s="26"/>
      <c r="N13" s="26"/>
      <c r="O13" s="26"/>
    </row>
    <row r="14" spans="1:15">
      <c r="A14" s="8" t="s">
        <v>72</v>
      </c>
      <c r="B14" s="13">
        <f>[7]!s_fa_deductedprofit($A$5,B6,1)/100000000</f>
        <v>-0.86807714120000001</v>
      </c>
      <c r="C14" s="13">
        <f>[7]!s_fa_deductedprofit($A$5,C6,1)/100000000</f>
        <v>-1.6283062413</v>
      </c>
      <c r="D14" s="13">
        <f>[7]!s_fa_deductedprofit($A$5,D6,1)/100000000</f>
        <v>-0.75944153700000006</v>
      </c>
      <c r="E14" s="13">
        <f>[7]!s_fa_deductedprofit($A$5,E6,1)/100000000</f>
        <v>-0.63427141269999998</v>
      </c>
      <c r="F14" s="13">
        <f>[7]!s_fa_deductedprofit($A$5,F6,1)/100000000</f>
        <v>-1.6116182924</v>
      </c>
      <c r="G14" s="26"/>
      <c r="H14" s="26"/>
      <c r="I14" s="26"/>
      <c r="J14" s="26"/>
      <c r="K14" s="26"/>
      <c r="L14" s="26"/>
      <c r="M14" s="26"/>
      <c r="N14" s="26"/>
      <c r="O14" s="26"/>
    </row>
    <row r="15" spans="1:15">
      <c r="A15" s="9" t="s">
        <v>69</v>
      </c>
      <c r="B15" s="32"/>
      <c r="C15" s="32">
        <f>(C14-B14)/B14</f>
        <v>0.87576214603357183</v>
      </c>
      <c r="D15" s="32">
        <f>(D14-C14)/C14</f>
        <v>-0.53360030334731112</v>
      </c>
      <c r="E15" s="32">
        <f>(E14-D14)/D14</f>
        <v>-0.16481864396627027</v>
      </c>
      <c r="F15" s="32">
        <f>(F14-E14)/E14</f>
        <v>1.5408969411684161</v>
      </c>
      <c r="G15" s="26"/>
      <c r="H15" s="26"/>
      <c r="I15" s="26"/>
      <c r="J15" s="26"/>
      <c r="K15" s="26"/>
      <c r="L15" s="26"/>
      <c r="M15" s="26"/>
      <c r="N15" s="26"/>
      <c r="O15" s="26"/>
    </row>
    <row r="16" spans="1:15">
      <c r="A16" s="8" t="s">
        <v>73</v>
      </c>
      <c r="B16" s="13">
        <f>[7]!s_fa_operatecashflow_ttm2($A$5,B6,1)/100000000</f>
        <v>-0.55406860769999999</v>
      </c>
      <c r="C16" s="13">
        <f>[7]!s_fa_operatecashflow_ttm2($A$5,C6,1)/100000000</f>
        <v>-0.1722579259</v>
      </c>
      <c r="D16" s="13">
        <f>[7]!s_fa_operatecashflow_ttm2($A$5,D6,1)/100000000</f>
        <v>-0.60375774879999999</v>
      </c>
      <c r="E16" s="13">
        <f>[7]!s_fa_operatecashflow_ttm2($A$5,E6,1)/100000000</f>
        <v>0.29606382590000002</v>
      </c>
      <c r="F16" s="13">
        <f>[7]!s_fa_operatecashflow_ttm2($A$5,F6,1)/100000000</f>
        <v>-2.3577236090999998</v>
      </c>
      <c r="G16" s="26"/>
      <c r="H16" s="26"/>
      <c r="I16" s="26"/>
      <c r="J16" s="26"/>
      <c r="K16" s="26"/>
      <c r="L16" s="26"/>
      <c r="M16" s="26"/>
      <c r="N16" s="26"/>
      <c r="O16" s="26"/>
    </row>
    <row r="17" spans="1:15">
      <c r="A17" s="9" t="s">
        <v>69</v>
      </c>
      <c r="B17" s="32"/>
      <c r="C17" s="32">
        <f>(C16-B16)/B16</f>
        <v>-0.68910361730280723</v>
      </c>
      <c r="D17" s="32">
        <f>(D16-C16)/C16</f>
        <v>2.5049635344529597</v>
      </c>
      <c r="E17" s="32">
        <f>(E16-D16)/D16</f>
        <v>-1.4903685733035184</v>
      </c>
      <c r="F17" s="32">
        <f>(F16-E16)/E16</f>
        <v>-8.9635652951953553</v>
      </c>
      <c r="G17" s="26"/>
      <c r="H17" s="26"/>
      <c r="I17" s="26"/>
      <c r="J17" s="26"/>
      <c r="K17" s="26"/>
      <c r="L17" s="26"/>
      <c r="M17" s="26"/>
      <c r="N17" s="26"/>
      <c r="O17" s="26"/>
    </row>
    <row r="18" spans="1:15">
      <c r="A18" s="8" t="s">
        <v>74</v>
      </c>
      <c r="B18" s="13">
        <f>[7]!s_fa_netprofitcashcover($A$5,B6)</f>
        <v>-333.21002983677886</v>
      </c>
      <c r="C18" s="13">
        <f>[7]!s_fa_netprofitcashcover($A$5,C6)</f>
        <v>-31.560870639785421</v>
      </c>
      <c r="D18" s="13">
        <f>[7]!s_fa_netprofitcashcover($A$5,D6)</f>
        <v>94.217996814711981</v>
      </c>
      <c r="E18" s="13">
        <f>[7]!s_fa_netprofitcashcover($A$5,E6)</f>
        <v>60.245690582199252</v>
      </c>
      <c r="F18" s="13">
        <f>[7]!s_fa_netprofitcashcover($A$5,F6)</f>
        <v>185.39019666862436</v>
      </c>
      <c r="G18" s="26"/>
      <c r="H18" s="26"/>
      <c r="I18" s="26"/>
      <c r="J18" s="26"/>
      <c r="K18" s="26"/>
      <c r="L18" s="26"/>
      <c r="M18" s="26"/>
      <c r="N18" s="26"/>
      <c r="O18" s="26"/>
    </row>
    <row r="19" spans="1:15">
      <c r="A19" s="8"/>
      <c r="B19" s="31"/>
      <c r="C19" s="31"/>
      <c r="D19" s="31"/>
      <c r="E19" s="31"/>
      <c r="F19" s="31"/>
      <c r="G19" s="26"/>
      <c r="H19" s="26"/>
      <c r="I19" s="26"/>
      <c r="J19" s="26"/>
      <c r="K19" s="26"/>
      <c r="L19" s="26"/>
      <c r="M19" s="26"/>
      <c r="N19" s="26"/>
      <c r="O19" s="26"/>
    </row>
    <row r="20" spans="1:15">
      <c r="A20" s="10" t="s">
        <v>75</v>
      </c>
      <c r="B20" s="10"/>
      <c r="C20" s="10"/>
      <c r="D20" s="10"/>
      <c r="E20" s="10"/>
      <c r="F20" s="10"/>
      <c r="G20" s="26"/>
      <c r="H20" s="26"/>
      <c r="I20" s="26"/>
      <c r="J20" s="26"/>
      <c r="K20" s="26"/>
      <c r="L20" s="26"/>
      <c r="M20" s="26"/>
      <c r="N20" s="26"/>
      <c r="O20" s="26"/>
    </row>
    <row r="21" spans="1:15">
      <c r="A21" s="8" t="s">
        <v>76</v>
      </c>
      <c r="B21" s="30">
        <f>[7]!s_fa_roe_diluted($A$5,B6)</f>
        <v>1.1819999999999999</v>
      </c>
      <c r="C21" s="30">
        <f>[7]!s_fa_roe_diluted($A$5,C6)</f>
        <v>3.9035000000000002</v>
      </c>
      <c r="D21" s="30">
        <f>[7]!s_fa_roe_diluted($A$5,D6)</f>
        <v>-4.7133000000000003</v>
      </c>
      <c r="E21" s="30">
        <f>[7]!s_fa_roe_diluted($A$5,E6)</f>
        <v>3.4533</v>
      </c>
      <c r="F21" s="30">
        <f>[7]!s_fa_roe_diluted($A$5,F6)</f>
        <v>-6.4040999999999997</v>
      </c>
      <c r="G21" s="26"/>
      <c r="H21" s="26"/>
      <c r="I21" s="26"/>
      <c r="J21" s="26"/>
      <c r="K21" s="26"/>
      <c r="L21" s="26"/>
      <c r="M21" s="26"/>
      <c r="N21" s="26"/>
      <c r="O21" s="26"/>
    </row>
    <row r="22" spans="1:15">
      <c r="A22" s="11" t="s">
        <v>77</v>
      </c>
      <c r="B22" s="30">
        <f xml:space="preserve"> [7]!s_fa_roe_exdiluted($A5,B6)</f>
        <v>-6.1708999999999996</v>
      </c>
      <c r="C22" s="30">
        <f xml:space="preserve"> [7]!s_fa_roe_exdiluted($A5,C6)</f>
        <v>-11.6456</v>
      </c>
      <c r="D22" s="30">
        <f xml:space="preserve"> [7]!s_fa_roe_exdiluted($A5,D6)</f>
        <v>-5.5858999999999996</v>
      </c>
      <c r="E22" s="30">
        <f xml:space="preserve"> [7]!s_fa_roe_exdiluted($A5,E6)</f>
        <v>-4.4569999999999999</v>
      </c>
      <c r="F22" s="30">
        <f xml:space="preserve"> [7]!s_fa_roe_exdiluted($A5,F6)</f>
        <v>-8.1155000000000008</v>
      </c>
      <c r="G22" s="26"/>
      <c r="H22" s="26"/>
      <c r="I22" s="26"/>
      <c r="J22" s="26"/>
      <c r="K22" s="26"/>
      <c r="L22" s="26"/>
      <c r="M22" s="26"/>
      <c r="N22" s="26"/>
      <c r="O22" s="26"/>
    </row>
    <row r="23" spans="1:15">
      <c r="A23" s="8" t="s">
        <v>78</v>
      </c>
      <c r="B23" s="30">
        <f>[7]!S_FA_GROSSPROFITMARGIN($A$5,B6)</f>
        <v>18.004000000000001</v>
      </c>
      <c r="C23" s="30">
        <f>[7]!S_FA_GROSSPROFITMARGIN($A$5,C6)</f>
        <v>14.2041</v>
      </c>
      <c r="D23" s="30">
        <f>[7]!S_FA_GROSSPROFITMARGIN($A$5,D6)</f>
        <v>13.968299999999999</v>
      </c>
      <c r="E23" s="30">
        <f>[7]!S_FA_GROSSPROFITMARGIN($A$5,E6)</f>
        <v>18.018799999999999</v>
      </c>
      <c r="F23" s="30">
        <f>[7]!S_FA_GROSSPROFITMARGIN($A$5,F6)</f>
        <v>12.3705</v>
      </c>
      <c r="G23" s="26"/>
      <c r="H23" s="26"/>
      <c r="I23" s="26"/>
      <c r="J23" s="26"/>
      <c r="K23" s="26"/>
      <c r="L23" s="26"/>
      <c r="M23" s="26"/>
      <c r="N23" s="26"/>
      <c r="O23" s="26"/>
    </row>
    <row r="24" spans="1:15">
      <c r="A24" s="8" t="s">
        <v>79</v>
      </c>
      <c r="B24" s="30">
        <f>[7]!s_fa_netprofitmargin($A$5,B6)</f>
        <v>0.63959999999999995</v>
      </c>
      <c r="C24" s="30">
        <f>[7]!s_fa_netprofitmargin($A$5,C6)</f>
        <v>3.5194000000000001</v>
      </c>
      <c r="D24" s="30">
        <f>[7]!s_fa_netprofitmargin($A$5,D6)</f>
        <v>-3.9144000000000001</v>
      </c>
      <c r="E24" s="30">
        <f>[7]!s_fa_netprofitmargin($A$5,E6)</f>
        <v>2.7622</v>
      </c>
      <c r="F24" s="30">
        <f>[7]!s_fa_netprofitmargin($A$5,F6)</f>
        <v>-6.2157999999999998</v>
      </c>
      <c r="G24" s="26"/>
      <c r="H24" s="26"/>
      <c r="I24" s="26"/>
      <c r="J24" s="26"/>
      <c r="K24" s="26"/>
      <c r="L24" s="26"/>
      <c r="M24" s="26"/>
      <c r="N24" s="26"/>
      <c r="O24" s="26"/>
    </row>
    <row r="25" spans="1:15">
      <c r="A25" s="8" t="s">
        <v>80</v>
      </c>
      <c r="B25" s="30">
        <f>[7]!s_fa_netprofitmargin_deducted($A5,B6)</f>
        <v>-5.4349220625234169</v>
      </c>
      <c r="C25" s="30">
        <f>[7]!s_fa_netprofitmargin_deducted($A5,C6)</f>
        <v>-10.15990288388682</v>
      </c>
      <c r="D25" s="30">
        <f>[7]!s_fa_netprofitmargin_deducted($A5,D6)</f>
        <v>-4.6166627318200071</v>
      </c>
      <c r="E25" s="30">
        <f>[7]!s_fa_netprofitmargin_deducted($A5,E6)</f>
        <v>-3.6348358599838031</v>
      </c>
      <c r="F25" s="30">
        <f>[7]!s_fa_netprofitmargin_deducted($A5,F6)</f>
        <v>-7.7651952535259943</v>
      </c>
      <c r="G25" s="26"/>
      <c r="H25" s="26"/>
      <c r="I25" s="26"/>
      <c r="J25" s="26"/>
      <c r="K25" s="26"/>
      <c r="L25" s="26"/>
      <c r="M25" s="26"/>
      <c r="N25" s="26"/>
      <c r="O25" s="26"/>
    </row>
    <row r="26" spans="1:15">
      <c r="A26" s="11" t="s">
        <v>81</v>
      </c>
      <c r="B26" s="30">
        <f>[7]!s_fa_roic($A5,B6)</f>
        <v>1.5223</v>
      </c>
      <c r="C26" s="30">
        <f>[7]!s_fa_roic($A5,C6)</f>
        <v>3.9977999999999998</v>
      </c>
      <c r="D26" s="30">
        <f>[7]!s_fa_roic($A5,D6)</f>
        <v>-3.5564</v>
      </c>
      <c r="E26" s="30">
        <f>[7]!s_fa_roic($A5,E6)</f>
        <v>3.0493000000000001</v>
      </c>
      <c r="F26" s="30">
        <f>[7]!s_fa_roic($A5,F6)</f>
        <v>-4.8139000000000003</v>
      </c>
      <c r="G26" s="26"/>
      <c r="H26" s="26"/>
      <c r="I26" s="26"/>
      <c r="J26" s="26"/>
      <c r="K26" s="26"/>
      <c r="L26" s="26"/>
      <c r="M26" s="26"/>
      <c r="N26" s="26"/>
      <c r="O26" s="26"/>
    </row>
    <row r="27" spans="1:15">
      <c r="A27" s="8" t="s">
        <v>82</v>
      </c>
      <c r="B27" s="30">
        <f>[7]!s_fa_roa($A5,B6)</f>
        <v>0.54169999999999996</v>
      </c>
      <c r="C27" s="30">
        <f>[7]!s_fa_roa($A5,C6)</f>
        <v>2.1738</v>
      </c>
      <c r="D27" s="30">
        <f>[7]!s_fa_roa($A5,D6)</f>
        <v>-2.4803000000000002</v>
      </c>
      <c r="E27" s="30">
        <f>[7]!s_fa_roa($A5,E6)</f>
        <v>1.6359999999999999</v>
      </c>
      <c r="F27" s="30">
        <f>[7]!s_fa_roa($A5,F6)</f>
        <v>-3.5811999999999999</v>
      </c>
      <c r="G27" s="26"/>
      <c r="H27" s="26"/>
      <c r="I27" s="26"/>
      <c r="J27" s="26"/>
      <c r="K27" s="26"/>
      <c r="L27" s="26"/>
      <c r="M27" s="26"/>
      <c r="N27" s="26"/>
      <c r="O27" s="26"/>
    </row>
    <row r="28" spans="1:15">
      <c r="A28" s="8" t="s">
        <v>83</v>
      </c>
      <c r="B28" s="30">
        <f>[7]!s_fa_ebitda2($A5,B6,1)/B9/100000000*100</f>
        <v>1.2226932740732472</v>
      </c>
      <c r="C28" s="30">
        <f>[7]!s_fa_ebitda2($A5,C6,1)/C9/100000000*100</f>
        <v>-0.20116663692774411</v>
      </c>
      <c r="D28" s="30">
        <f>[7]!s_fa_ebitda2($A5,D6,1)/D9/100000000*100</f>
        <v>1.9648818060754816</v>
      </c>
      <c r="E28" s="30">
        <f>[7]!s_fa_ebitda2($A5,E6,1)/E9/100000000*100</f>
        <v>6.4226689558976089</v>
      </c>
      <c r="F28" s="30">
        <f>[7]!s_fa_ebitda2($A5,F6,1)/F9/100000000*100</f>
        <v>2.2290424352415013</v>
      </c>
      <c r="G28" s="26"/>
      <c r="H28" s="26"/>
      <c r="I28" s="26"/>
      <c r="J28" s="26"/>
      <c r="K28" s="26"/>
      <c r="L28" s="26"/>
      <c r="M28" s="26"/>
      <c r="N28" s="26"/>
      <c r="O28" s="26"/>
    </row>
    <row r="29" spans="1:15">
      <c r="A29" s="10" t="s">
        <v>84</v>
      </c>
      <c r="B29" s="10"/>
      <c r="C29" s="10"/>
      <c r="D29" s="10"/>
      <c r="E29" s="10"/>
      <c r="F29" s="10"/>
      <c r="G29" s="26"/>
      <c r="H29" s="26"/>
      <c r="I29" s="26"/>
      <c r="J29" s="26"/>
      <c r="K29" s="26"/>
      <c r="L29" s="26"/>
      <c r="M29" s="26"/>
      <c r="N29" s="26"/>
      <c r="O29" s="26"/>
    </row>
    <row r="30" spans="1:15">
      <c r="A30" s="8" t="s">
        <v>85</v>
      </c>
      <c r="B30" s="13">
        <f>[7]!s_stm07_is($A$5,"W16644425",B6,1)/100000000</f>
        <v>0.55802653079999998</v>
      </c>
      <c r="C30" s="13">
        <f>[7]!s_stm07_is($A$5,"W16644425",C6,1)/100000000</f>
        <v>0.52090117660000002</v>
      </c>
      <c r="D30" s="13">
        <f>[7]!s_stm07_is($A$5,"W16644425",D6,1)/100000000</f>
        <v>0.38404518840000001</v>
      </c>
      <c r="E30" s="13">
        <f>[7]!s_stm07_is($A$5,"W16644425",E6,1)/100000000</f>
        <v>0.34608080250000001</v>
      </c>
      <c r="F30" s="13">
        <f>[7]!s_stm07_is($A$5,"W16644425",F6,1)/100000000</f>
        <v>0.50566412520000004</v>
      </c>
      <c r="G30" s="26"/>
      <c r="H30" s="26"/>
      <c r="I30" s="26"/>
      <c r="J30" s="26"/>
      <c r="K30" s="26"/>
      <c r="L30" s="26"/>
      <c r="M30" s="26"/>
      <c r="N30" s="26"/>
      <c r="O30" s="26"/>
    </row>
    <row r="31" spans="1:15">
      <c r="A31" s="8" t="s">
        <v>86</v>
      </c>
      <c r="B31" s="13">
        <f>[7]!s_stm07_is($A$5,"W17691551",B6,1)/100000000</f>
        <v>1.7778830483000001</v>
      </c>
      <c r="C31" s="13">
        <f>[7]!s_stm07_is($A$5,"W17691551",C6,1)/100000000</f>
        <v>1.3689742907</v>
      </c>
      <c r="D31" s="13">
        <f>[7]!s_stm07_is($A$5,"W17691551",D6,1)/100000000</f>
        <v>1.3004554545</v>
      </c>
      <c r="E31" s="13">
        <f>[7]!s_stm07_is($A$5,"W17691551",E6,1)/100000000</f>
        <v>0.97394552940000001</v>
      </c>
      <c r="F31" s="13">
        <f>[7]!s_stm07_is($A$5,"W17691551",F6,1)/100000000</f>
        <v>1.3669583824</v>
      </c>
      <c r="G31" s="26"/>
      <c r="H31" s="29"/>
      <c r="I31" s="26"/>
      <c r="J31" s="26"/>
      <c r="K31" s="26"/>
      <c r="L31" s="26"/>
      <c r="M31" s="26"/>
      <c r="N31" s="26"/>
      <c r="O31" s="26"/>
    </row>
    <row r="32" spans="1:15">
      <c r="A32" s="28" t="s">
        <v>87</v>
      </c>
      <c r="B32" s="15"/>
      <c r="C32" s="15">
        <f>[7]!s_stm07_is_103($A$5,C6,1)/100000000</f>
        <v>0.63975738429999995</v>
      </c>
      <c r="D32" s="15">
        <f>[7]!s_stm07_is_103($A$5,D6,1)/100000000</f>
        <v>0.68533597219999998</v>
      </c>
      <c r="E32" s="15">
        <f>[7]!s_stm07_is_103($A$5,E6,1)/100000000</f>
        <v>0.84530734610000002</v>
      </c>
      <c r="F32" s="15">
        <f>[7]!s_stm07_is_103($A$5,F6,1)/100000000</f>
        <v>1.0147030708</v>
      </c>
      <c r="G32" s="26"/>
      <c r="H32" s="26"/>
      <c r="I32" s="26"/>
      <c r="J32" s="26"/>
      <c r="K32" s="26"/>
      <c r="L32" s="26"/>
      <c r="M32" s="26"/>
      <c r="N32" s="26"/>
      <c r="O32" s="26"/>
    </row>
    <row r="33" spans="1:15">
      <c r="A33" s="8" t="s">
        <v>88</v>
      </c>
      <c r="B33" s="13">
        <f>[7]!s_stm07_is($A$5,"W10733478",B6,1)/100000000</f>
        <v>0.17590407129999999</v>
      </c>
      <c r="C33" s="13">
        <f>[7]!s_stm07_is($A$5,"W10733478",C6,1)/100000000</f>
        <v>7.9910713199999997E-2</v>
      </c>
      <c r="D33" s="13">
        <f>[7]!s_stm07_is($A$5,"W10733478",D6,1)/100000000</f>
        <v>0.1207507526</v>
      </c>
      <c r="E33" s="13">
        <f>[7]!s_stm07_is($A$5,"W10733478",E6,1)/100000000</f>
        <v>0.130682247</v>
      </c>
      <c r="F33" s="13">
        <f>[7]!s_stm07_is($A$5,"W10733478",F6,1)/100000000</f>
        <v>0.23464679719999998</v>
      </c>
      <c r="G33" s="26"/>
      <c r="H33" s="26"/>
      <c r="I33" s="26"/>
      <c r="J33" s="26"/>
      <c r="K33" s="26"/>
      <c r="L33" s="26"/>
      <c r="M33" s="26"/>
      <c r="N33" s="26"/>
      <c r="O33" s="26"/>
    </row>
    <row r="34" spans="1:15">
      <c r="A34" s="28" t="s">
        <v>84</v>
      </c>
      <c r="B34" s="15">
        <f>SUM(B30:B33)</f>
        <v>2.5118136504000002</v>
      </c>
      <c r="C34" s="15">
        <f>SUM(C30:C33)</f>
        <v>2.6095435647999996</v>
      </c>
      <c r="D34" s="15">
        <f>SUM(D30:D33)</f>
        <v>2.4905873676999999</v>
      </c>
      <c r="E34" s="15">
        <f>SUM(E30:E33)</f>
        <v>2.2960159250000003</v>
      </c>
      <c r="F34" s="15">
        <f>SUM(F30:F33)</f>
        <v>3.1219723756</v>
      </c>
      <c r="G34" s="26"/>
      <c r="H34" s="26"/>
      <c r="I34" s="26"/>
      <c r="J34" s="26"/>
      <c r="K34" s="26"/>
      <c r="L34" s="26"/>
      <c r="M34" s="26"/>
      <c r="N34" s="26"/>
      <c r="O34" s="26"/>
    </row>
    <row r="35" spans="1:15">
      <c r="A35" s="8" t="s">
        <v>89</v>
      </c>
      <c r="B35" s="27">
        <f t="shared" ref="B35:F39" si="0">B30/B$9</f>
        <v>3.4937340931772969E-2</v>
      </c>
      <c r="C35" s="27">
        <f t="shared" si="0"/>
        <v>3.2501904323188807E-2</v>
      </c>
      <c r="D35" s="27">
        <f t="shared" si="0"/>
        <v>2.3346196148619051E-2</v>
      </c>
      <c r="E35" s="27">
        <f t="shared" si="0"/>
        <v>1.9832943534757105E-2</v>
      </c>
      <c r="F35" s="27">
        <f t="shared" si="0"/>
        <v>2.4364210082487979E-2</v>
      </c>
      <c r="G35" s="26"/>
      <c r="H35" s="26"/>
      <c r="I35" s="26"/>
      <c r="J35" s="26"/>
      <c r="K35" s="26"/>
      <c r="L35" s="26"/>
      <c r="M35" s="26"/>
      <c r="N35" s="26"/>
      <c r="O35" s="26"/>
    </row>
    <row r="36" spans="1:15">
      <c r="A36" s="8" t="s">
        <v>90</v>
      </c>
      <c r="B36" s="27">
        <f t="shared" si="0"/>
        <v>0.1113110269259565</v>
      </c>
      <c r="C36" s="27">
        <f t="shared" si="0"/>
        <v>8.5417874668007918E-2</v>
      </c>
      <c r="D36" s="27">
        <f t="shared" si="0"/>
        <v>7.9054988944885676E-2</v>
      </c>
      <c r="E36" s="27">
        <f t="shared" si="0"/>
        <v>5.581415250711376E-2</v>
      </c>
      <c r="F36" s="27">
        <f t="shared" si="0"/>
        <v>6.5863603018384606E-2</v>
      </c>
      <c r="G36" s="26"/>
      <c r="H36" s="26"/>
      <c r="I36" s="26"/>
      <c r="J36" s="26"/>
      <c r="K36" s="26"/>
      <c r="L36" s="26"/>
      <c r="M36" s="26"/>
      <c r="N36" s="26"/>
      <c r="O36" s="26"/>
    </row>
    <row r="37" spans="1:15">
      <c r="A37" s="28" t="s">
        <v>91</v>
      </c>
      <c r="B37" s="15">
        <f t="shared" si="0"/>
        <v>0</v>
      </c>
      <c r="C37" s="15">
        <f t="shared" si="0"/>
        <v>3.9918000243910623E-2</v>
      </c>
      <c r="D37" s="15">
        <f t="shared" si="0"/>
        <v>4.1661732832390129E-2</v>
      </c>
      <c r="E37" s="15">
        <f t="shared" si="0"/>
        <v>4.8442250317298895E-2</v>
      </c>
      <c r="F37" s="15">
        <f t="shared" si="0"/>
        <v>4.8891027771722315E-2</v>
      </c>
      <c r="G37" s="26"/>
      <c r="H37" s="26"/>
      <c r="I37" s="26"/>
      <c r="J37" s="26"/>
      <c r="K37" s="26"/>
      <c r="L37" s="26"/>
      <c r="M37" s="26"/>
      <c r="N37" s="26"/>
      <c r="O37" s="26"/>
    </row>
    <row r="38" spans="1:15">
      <c r="A38" s="8" t="s">
        <v>92</v>
      </c>
      <c r="B38" s="27">
        <f t="shared" si="0"/>
        <v>1.1013133195449496E-2</v>
      </c>
      <c r="C38" s="27">
        <f t="shared" si="0"/>
        <v>4.9860712002549558E-3</v>
      </c>
      <c r="D38" s="27">
        <f t="shared" si="0"/>
        <v>7.340466279600371E-3</v>
      </c>
      <c r="E38" s="27">
        <f t="shared" si="0"/>
        <v>7.4890418856624705E-3</v>
      </c>
      <c r="F38" s="27">
        <f t="shared" si="0"/>
        <v>1.1305891751570417E-2</v>
      </c>
      <c r="G38" s="26"/>
      <c r="H38" s="26"/>
      <c r="I38" s="26"/>
      <c r="J38" s="26"/>
      <c r="K38" s="26"/>
      <c r="L38" s="26"/>
      <c r="M38" s="26"/>
      <c r="N38" s="26"/>
      <c r="O38" s="26"/>
    </row>
    <row r="39" spans="1:15">
      <c r="A39" s="28" t="s">
        <v>93</v>
      </c>
      <c r="B39" s="15">
        <f t="shared" si="0"/>
        <v>0.15726150105317899</v>
      </c>
      <c r="C39" s="15">
        <f t="shared" si="0"/>
        <v>0.16282385043536229</v>
      </c>
      <c r="D39" s="15">
        <f t="shared" si="0"/>
        <v>0.15140338420549521</v>
      </c>
      <c r="E39" s="15">
        <f t="shared" si="0"/>
        <v>0.13157838824483226</v>
      </c>
      <c r="F39" s="15">
        <f t="shared" si="0"/>
        <v>0.15042473262416531</v>
      </c>
      <c r="G39" s="26"/>
      <c r="H39" s="26"/>
      <c r="I39" s="26"/>
      <c r="J39" s="26"/>
      <c r="K39" s="26"/>
      <c r="L39" s="26"/>
      <c r="M39" s="26"/>
      <c r="N39" s="26"/>
      <c r="O39" s="26"/>
    </row>
    <row r="40" spans="1:15">
      <c r="A40" s="10" t="s">
        <v>94</v>
      </c>
      <c r="B40" s="10"/>
      <c r="C40" s="10"/>
      <c r="D40" s="10"/>
      <c r="E40" s="10"/>
      <c r="F40" s="10"/>
      <c r="G40" s="26"/>
      <c r="H40" s="26"/>
      <c r="I40" s="26"/>
      <c r="J40" s="26"/>
      <c r="K40" s="26"/>
      <c r="L40" s="26"/>
      <c r="M40" s="26"/>
      <c r="N40" s="26"/>
      <c r="O40" s="26"/>
    </row>
    <row r="41" spans="1:15">
      <c r="A41" s="8" t="s">
        <v>94</v>
      </c>
      <c r="B41" s="13">
        <f>[7]!s_stm07_cs($A$5,"W17905498",B6,1)/100000000</f>
        <v>0.62335650359999994</v>
      </c>
      <c r="C41" s="13">
        <f>[7]!s_stm07_cs($A$5,"W17905498",C6,1)/100000000</f>
        <v>3.4604856782</v>
      </c>
      <c r="D41" s="13">
        <f>[7]!s_stm07_cs($A$5,"W17905498",D6,1)/100000000</f>
        <v>1.3674124555</v>
      </c>
      <c r="E41" s="13">
        <f>[7]!s_stm07_cs($A$5,"W17905498",E6,1)/100000000</f>
        <v>3.4404785543000003</v>
      </c>
      <c r="F41" s="13">
        <f>[7]!s_stm07_cs($A$5,"W17905498",F6,1)/100000000</f>
        <v>3.1689053558999998</v>
      </c>
      <c r="G41" s="26"/>
      <c r="H41" s="26"/>
      <c r="I41" s="26"/>
      <c r="J41" s="26"/>
      <c r="K41" s="26"/>
      <c r="L41" s="26"/>
      <c r="M41" s="26"/>
      <c r="N41" s="26"/>
      <c r="O41" s="26"/>
    </row>
    <row r="42" spans="1:15">
      <c r="A42" s="8" t="s">
        <v>95</v>
      </c>
      <c r="B42" s="13">
        <f>IF(ISTEXT([7]!s_stm07_bs_178($A$5,B6,1)),0,[7]!s_stm07_bs_178($A$5,B6,1)/100000000)</f>
        <v>0.48976403799999996</v>
      </c>
      <c r="C42" s="13">
        <f>IF(ISTEXT([7]!s_stm07_bs_178($A$5,C6,1)),0,[7]!s_stm07_bs_178($A$5,C6,1)/100000000)</f>
        <v>1.1002289426</v>
      </c>
      <c r="D42" s="13">
        <f>IF(ISTEXT([7]!s_stm07_bs_178($A$5,D6,1)),0,[7]!s_stm07_bs_178($A$5,D6,1)/100000000)</f>
        <v>0.97863146590000005</v>
      </c>
      <c r="E42" s="13">
        <f>IF(ISTEXT([7]!s_stm07_bs_178($A$5,E6,1)),0,[7]!s_stm07_bs_178($A$5,E6,1)/100000000)</f>
        <v>3.5340119674000001</v>
      </c>
      <c r="F42" s="13">
        <f>IF(ISTEXT([7]!s_stm07_bs_178($A$5,F6,1)),0,[7]!s_stm07_bs_178($A$5,F6,1)/100000000)</f>
        <v>4.4045841473000005</v>
      </c>
      <c r="G42" s="26"/>
      <c r="H42" s="26"/>
      <c r="I42" s="26"/>
      <c r="J42" s="26"/>
      <c r="K42" s="26"/>
      <c r="L42" s="26"/>
      <c r="M42" s="26"/>
      <c r="N42" s="26"/>
      <c r="O42" s="26"/>
    </row>
    <row r="43" spans="1:15">
      <c r="A43" s="8" t="s">
        <v>96</v>
      </c>
      <c r="B43" s="13">
        <f>[7]!s_stm07_bs_177($A$5,B6,1)/100000000</f>
        <v>3.7504119610000002</v>
      </c>
      <c r="C43" s="13">
        <f>[7]!s_stm07_bs_177($A$5,C6,1)/100000000</f>
        <v>4.2474193494000003</v>
      </c>
      <c r="D43" s="13">
        <f>[7]!s_stm07_bs_177($A$5,D6,1)/100000000</f>
        <v>4.6761256641000006</v>
      </c>
      <c r="E43" s="13">
        <f>[7]!s_stm07_bs_177($A$5,E6,1)/100000000</f>
        <v>5.4162511288999999</v>
      </c>
      <c r="F43" s="13">
        <f>[7]!s_stm07_bs_177($A$5,F6,1)/100000000</f>
        <v>6.2531254472000004</v>
      </c>
      <c r="G43" s="26"/>
      <c r="H43" s="26"/>
      <c r="I43" s="26"/>
      <c r="J43" s="26"/>
      <c r="K43" s="26"/>
      <c r="L43" s="26"/>
      <c r="M43" s="26"/>
      <c r="N43" s="26"/>
      <c r="O43" s="26"/>
    </row>
    <row r="44" spans="1:15">
      <c r="A44" s="8" t="s">
        <v>97</v>
      </c>
      <c r="B44" s="13">
        <f>[7]!s_fa_da($A$5,B6,1)/100000000</f>
        <v>0.71017754060000005</v>
      </c>
      <c r="C44" s="13">
        <f>[7]!s_fa_da($A$5,C6,1)/100000000</f>
        <v>0.71513412300000001</v>
      </c>
      <c r="D44" s="13">
        <f>[7]!s_fa_da($A$5,D6,1)/100000000</f>
        <v>0.79084412900000001</v>
      </c>
      <c r="E44" s="13">
        <f>[7]!s_fa_da($A$5,E6,1)/100000000</f>
        <v>0.78104679900000007</v>
      </c>
      <c r="F44" s="13">
        <f>[7]!s_fa_da($A$5,F6,1)/100000000</f>
        <v>1.0590706701000001</v>
      </c>
      <c r="G44" s="26"/>
      <c r="H44" s="26"/>
      <c r="I44" s="26"/>
      <c r="J44" s="26"/>
      <c r="K44" s="26"/>
      <c r="L44" s="26"/>
      <c r="M44" s="26"/>
      <c r="N44" s="26"/>
      <c r="O44" s="26"/>
    </row>
    <row r="45" spans="1:15">
      <c r="A45" s="15" t="s">
        <v>69</v>
      </c>
      <c r="B45" s="15"/>
      <c r="C45" s="15">
        <f>(C44-B44)/B44</f>
        <v>6.9793567335463052E-3</v>
      </c>
      <c r="D45" s="15">
        <f>(D44-C44)/C44</f>
        <v>0.10586826102269489</v>
      </c>
      <c r="E45" s="15">
        <f>(E44-D44)/D44</f>
        <v>-1.2388446269922221E-2</v>
      </c>
      <c r="F45" s="15">
        <f>(F44-E44)/E44</f>
        <v>0.35596314005250795</v>
      </c>
      <c r="G45" s="26"/>
      <c r="H45" s="26"/>
      <c r="I45" s="26"/>
      <c r="J45" s="26"/>
      <c r="K45" s="26"/>
      <c r="L45" s="26"/>
      <c r="M45" s="26"/>
      <c r="N45" s="26"/>
      <c r="O45" s="26"/>
    </row>
    <row r="46" spans="1:15">
      <c r="A46" s="8" t="s">
        <v>98</v>
      </c>
      <c r="B46" s="13">
        <f>B44/B11</f>
        <v>4.2709201749409313</v>
      </c>
      <c r="C46" s="13">
        <f>C44/C11</f>
        <v>1.3102593351322476</v>
      </c>
      <c r="D46" s="13">
        <f>D44/D11</f>
        <v>-1.2341332227230484</v>
      </c>
      <c r="E46" s="13">
        <f>E44/E11</f>
        <v>1.5893432316403493</v>
      </c>
      <c r="F46" s="13">
        <f>F44/F11</f>
        <v>-0.83275800037799608</v>
      </c>
      <c r="G46" s="26"/>
      <c r="H46" s="26"/>
      <c r="I46" s="26"/>
      <c r="J46" s="26"/>
      <c r="K46" s="26"/>
      <c r="L46" s="26"/>
      <c r="M46" s="26"/>
      <c r="N46" s="26"/>
      <c r="O46" s="26"/>
    </row>
    <row r="47" spans="1:15">
      <c r="A47" s="10" t="s">
        <v>99</v>
      </c>
      <c r="B47" s="10"/>
      <c r="C47" s="10"/>
      <c r="D47" s="10"/>
      <c r="E47" s="10"/>
      <c r="F47" s="10"/>
      <c r="G47" s="26"/>
      <c r="H47" s="26"/>
      <c r="I47" s="26"/>
      <c r="J47" s="26"/>
      <c r="K47" s="26"/>
      <c r="L47" s="26"/>
      <c r="M47" s="26"/>
      <c r="N47" s="26"/>
      <c r="O47" s="26"/>
    </row>
    <row r="48" spans="1:15">
      <c r="A48" s="8" t="s">
        <v>100</v>
      </c>
      <c r="B48" s="13">
        <f>([7]!s_stm07_bs($A$5,"W10532007",B6,1)-[7]!s_stm07_bs($A$5,"W10532007",#REF!,1)+[7]!s_stm07_cs($A$5,"W18243130",B6,1))/100000000</f>
        <v>4.4849823687999999</v>
      </c>
      <c r="C48" s="13">
        <f>([7]!s_stm07_bs($A$5,"W10532007",C6,1)-[7]!s_stm07_bs($A$5,"W10532007",B6,1)+[7]!s_stm07_cs($A$5,"W18243130",C6,1))/100000000</f>
        <v>3.3510221356000001</v>
      </c>
      <c r="D48" s="13">
        <f>([7]!s_stm07_bs($A$5,"W10532007",D6,1)-[7]!s_stm07_bs($A$5,"W10532007",C6,1)+[7]!s_stm07_cs($A$5,"W18243130",D6,1))/100000000</f>
        <v>3.6090311851000001</v>
      </c>
      <c r="E48" s="13">
        <f>([7]!s_stm07_bs($A$5,"W10532007",E6,1)-[7]!s_stm07_bs($A$5,"W10532007",D6,1)+[7]!s_stm07_cs($A$5,"W18243130",E6,1))/100000000</f>
        <v>3.6553827912000001</v>
      </c>
      <c r="F48" s="13">
        <f>([7]!s_stm07_bs($A$5,"W10532007",F6,1)-[7]!s_stm07_bs($A$5,"W10532007",E6,1)+[7]!s_stm07_cs($A$5,"W18243130",F6,1))/100000000</f>
        <v>4.2716601731999999</v>
      </c>
      <c r="G48" s="26"/>
      <c r="H48" s="26"/>
      <c r="I48" s="26"/>
      <c r="J48" s="26"/>
      <c r="K48" s="26"/>
      <c r="L48" s="26"/>
      <c r="M48" s="26"/>
      <c r="N48" s="26"/>
      <c r="O48" s="26"/>
    </row>
    <row r="49" spans="1:15">
      <c r="A49" s="8" t="s">
        <v>101</v>
      </c>
      <c r="B49" s="27">
        <f>B48/B9</f>
        <v>0.28079911875716201</v>
      </c>
      <c r="C49" s="27">
        <f>C48/C9</f>
        <v>0.20908879789264623</v>
      </c>
      <c r="D49" s="27">
        <f>D48/D9</f>
        <v>0.21939384348195537</v>
      </c>
      <c r="E49" s="27">
        <f>E48/E9</f>
        <v>0.20947998262860137</v>
      </c>
      <c r="F49" s="27">
        <f>F48/F9</f>
        <v>0.20581967490708944</v>
      </c>
      <c r="G49" s="26"/>
      <c r="H49" s="26"/>
      <c r="I49" s="26"/>
      <c r="J49" s="26"/>
      <c r="K49" s="26"/>
      <c r="L49" s="26"/>
      <c r="M49" s="26"/>
      <c r="N49" s="26"/>
      <c r="O49" s="26"/>
    </row>
    <row r="50" spans="1:15">
      <c r="A50" s="8" t="s">
        <v>102</v>
      </c>
      <c r="B50" s="6">
        <f>[7]!s_info_employee($A$5,B6)</f>
        <v>4121</v>
      </c>
      <c r="C50" s="6">
        <f>[7]!s_info_employee($A$5,C6)</f>
        <v>2230</v>
      </c>
      <c r="D50" s="6">
        <f>[7]!s_info_employee($A$5,D6)</f>
        <v>2412</v>
      </c>
      <c r="E50" s="6">
        <f>[7]!s_info_employee($A$5,E6)</f>
        <v>2513</v>
      </c>
      <c r="F50" s="6">
        <f>[7]!s_info_employee($A$5,F6)</f>
        <v>2566</v>
      </c>
      <c r="G50" s="26"/>
      <c r="H50" s="26"/>
      <c r="I50" s="26"/>
      <c r="J50" s="26"/>
      <c r="K50" s="26"/>
      <c r="L50" s="26"/>
      <c r="M50" s="26"/>
      <c r="N50" s="26"/>
      <c r="O50" s="26"/>
    </row>
    <row r="51" spans="1:15">
      <c r="A51" s="8" t="s">
        <v>103</v>
      </c>
      <c r="B51" s="13">
        <f>(B48/B50)*10000</f>
        <v>10.88323797330745</v>
      </c>
      <c r="C51" s="13">
        <f>(C48/C50)*10000</f>
        <v>15.027005092376681</v>
      </c>
      <c r="D51" s="13">
        <f>(D48/D50)*10000</f>
        <v>14.962815858623548</v>
      </c>
      <c r="E51" s="13">
        <f>(E48/E50)*10000</f>
        <v>14.54589252367688</v>
      </c>
      <c r="F51" s="13">
        <f>(F48/F50)*10000</f>
        <v>16.647155780202649</v>
      </c>
      <c r="G51" s="26"/>
      <c r="H51" s="26"/>
      <c r="I51" s="26"/>
      <c r="J51" s="26"/>
      <c r="K51" s="26"/>
      <c r="L51" s="26"/>
      <c r="M51" s="26"/>
      <c r="N51" s="26"/>
      <c r="O51" s="26"/>
    </row>
    <row r="52" spans="1:15">
      <c r="A52" s="8" t="s">
        <v>104</v>
      </c>
      <c r="B52" s="6">
        <f>[7]!s_stmnote_rdemployee($A$5,B6,1)</f>
        <v>551</v>
      </c>
      <c r="C52" s="6">
        <f>[7]!s_stmnote_rdemployee($A$5,C6,1)</f>
        <v>451</v>
      </c>
      <c r="D52" s="6">
        <f>[7]!s_stmnote_rdemployee($A$5,D6,1)</f>
        <v>464</v>
      </c>
      <c r="E52" s="6">
        <f>[7]!s_stmnote_rdemployee($A$5,E6,1)</f>
        <v>575</v>
      </c>
      <c r="F52" s="6">
        <f>[7]!s_stmnote_rdemployee($A$5,F6,1)</f>
        <v>610</v>
      </c>
      <c r="G52" s="26"/>
      <c r="H52" s="26"/>
      <c r="I52" s="26"/>
      <c r="J52" s="26"/>
      <c r="K52" s="26"/>
      <c r="L52" s="26"/>
      <c r="M52" s="26"/>
      <c r="N52" s="26"/>
      <c r="O52" s="26"/>
    </row>
    <row r="53" spans="1:15">
      <c r="A53" s="8" t="s">
        <v>105</v>
      </c>
      <c r="B53" s="27">
        <f>[7]!s_stmnote_rdemployee_pct($A$5,B6,1)/100</f>
        <v>0.13369999999999999</v>
      </c>
      <c r="C53" s="27">
        <f>[7]!s_stmnote_rdemployee_pct($A$5,C6,1)/100</f>
        <v>0.20219999999999999</v>
      </c>
      <c r="D53" s="27">
        <f>[7]!s_stmnote_rdemployee_pct($A$5,D6,1)/100</f>
        <v>0.19239999999999999</v>
      </c>
      <c r="E53" s="27">
        <f>[7]!s_stmnote_rdemployee_pct($A$5,E6,1)/100</f>
        <v>0.2288</v>
      </c>
      <c r="F53" s="27">
        <f>[7]!s_stmnote_rdemployee_pct($A$5,F6,1)/100</f>
        <v>0.23769999999999999</v>
      </c>
      <c r="G53" s="26"/>
      <c r="H53" s="26"/>
      <c r="I53" s="26"/>
      <c r="J53" s="26"/>
      <c r="K53" s="26"/>
      <c r="L53" s="26"/>
      <c r="M53" s="26"/>
      <c r="N53" s="26"/>
      <c r="O53" s="26"/>
    </row>
    <row r="54" spans="1:15">
      <c r="A54" s="10" t="s">
        <v>106</v>
      </c>
      <c r="B54" s="10"/>
      <c r="C54" s="10"/>
      <c r="D54" s="10"/>
      <c r="E54" s="10"/>
      <c r="F54" s="10"/>
      <c r="G54" s="26"/>
      <c r="H54" s="26"/>
      <c r="I54" s="26"/>
      <c r="J54" s="26"/>
      <c r="K54" s="26"/>
      <c r="L54" s="26"/>
      <c r="M54" s="26"/>
      <c r="N54" s="26"/>
      <c r="O54" s="26"/>
    </row>
    <row r="55" spans="1:15">
      <c r="A55" s="8" t="s">
        <v>107</v>
      </c>
      <c r="B55" s="13"/>
      <c r="C55" s="13"/>
      <c r="D55" s="13">
        <f>D56+D57</f>
        <v>-0.54615175900000001</v>
      </c>
      <c r="E55" s="13">
        <f>E56+E57</f>
        <v>-0.71852427779999994</v>
      </c>
      <c r="F55" s="13">
        <f>F56+F57</f>
        <v>-0.56223733519999997</v>
      </c>
      <c r="G55" s="26"/>
      <c r="H55" s="26"/>
      <c r="I55" s="26"/>
      <c r="J55" s="26"/>
      <c r="K55" s="26"/>
      <c r="L55" s="26"/>
      <c r="M55" s="26"/>
      <c r="N55" s="26"/>
      <c r="O55" s="26"/>
    </row>
    <row r="56" spans="1:15">
      <c r="A56" s="8" t="s">
        <v>108</v>
      </c>
      <c r="B56" s="13">
        <f>[7]!s_stm07_is($A$5,"W12274359",B6,1)/100000000</f>
        <v>1.0908433003</v>
      </c>
      <c r="C56" s="13">
        <f>[7]!s_stm07_is($A$5,"W12274359",C6,1)/100000000</f>
        <v>0.82632957019999997</v>
      </c>
      <c r="D56" s="13">
        <f>[7]!s_stm07_is($A$5,"W12274359",D6,1)/100000000</f>
        <v>-0.32048540180000001</v>
      </c>
      <c r="E56" s="13">
        <f>[7]!s_stm07_is($A$5,"W12274359",E6,1)/100000000</f>
        <v>-8.1215543099999996E-2</v>
      </c>
      <c r="F56" s="13">
        <f>[7]!s_stm07_is($A$5,"W12274359",F6,1)/100000000</f>
        <v>-0.3037801423</v>
      </c>
      <c r="G56" s="26"/>
      <c r="H56" s="26"/>
      <c r="I56" s="26"/>
      <c r="J56" s="26"/>
      <c r="K56" s="26"/>
      <c r="L56" s="26"/>
      <c r="M56" s="26"/>
      <c r="N56" s="26"/>
      <c r="O56" s="26"/>
    </row>
    <row r="57" spans="1:15">
      <c r="A57" s="8" t="s">
        <v>109</v>
      </c>
      <c r="B57" s="13"/>
      <c r="C57" s="13"/>
      <c r="D57" s="13">
        <f>[7]!s_stm07_is_101($A$5,D6,1)/100000000</f>
        <v>-0.2256663572</v>
      </c>
      <c r="E57" s="13">
        <f>[7]!s_stm07_is_101($A$5,E6,1)/100000000</f>
        <v>-0.63730873469999993</v>
      </c>
      <c r="F57" s="13">
        <f>[7]!s_stm07_is_101($A$5,F6,1)/100000000</f>
        <v>-0.25845719289999997</v>
      </c>
      <c r="G57" s="26"/>
      <c r="H57" s="26"/>
      <c r="I57" s="26"/>
      <c r="J57" s="26"/>
      <c r="K57" s="26"/>
      <c r="L57" s="26"/>
      <c r="M57" s="26"/>
      <c r="N57" s="26"/>
      <c r="O57" s="26"/>
    </row>
    <row r="58" spans="1:15">
      <c r="A58" s="10" t="s">
        <v>110</v>
      </c>
      <c r="B58" s="10"/>
      <c r="C58" s="10"/>
      <c r="D58" s="10"/>
      <c r="E58" s="10"/>
      <c r="F58" s="10"/>
      <c r="G58" s="26"/>
      <c r="H58" s="26"/>
      <c r="I58" s="26"/>
      <c r="J58" s="26"/>
      <c r="K58" s="26"/>
      <c r="L58" s="26"/>
      <c r="M58" s="26"/>
      <c r="N58" s="26"/>
      <c r="O58" s="26"/>
    </row>
    <row r="59" spans="1:15">
      <c r="A59" s="8" t="s">
        <v>111</v>
      </c>
      <c r="B59" s="13">
        <f>[7]!s_stm07_bs($A$5,"W15273164",B6,1,1)/100000000</f>
        <v>27.183014908600001</v>
      </c>
      <c r="C59" s="13">
        <f>[7]!s_stm07_bs($A$5,"W15273164",C6,1,1)/100000000</f>
        <v>24.712578346799997</v>
      </c>
      <c r="D59" s="13">
        <f>[7]!s_stm07_bs($A$5,"W15273164",D6,1,1)/100000000</f>
        <v>27.209423533600003</v>
      </c>
      <c r="E59" s="13">
        <f>[7]!s_stm07_bs($A$5,"W15273164",E6,1,1)/100000000</f>
        <v>31.713138664599999</v>
      </c>
      <c r="F59" s="13">
        <f>[7]!s_stm07_bs($A$5,"W15273164",F6,1,1)/100000000</f>
        <v>40.332540163499999</v>
      </c>
      <c r="G59" s="26"/>
      <c r="H59" s="26"/>
      <c r="I59" s="26"/>
      <c r="J59" s="26"/>
      <c r="K59" s="26"/>
      <c r="L59" s="26"/>
      <c r="M59" s="26"/>
      <c r="N59" s="26"/>
      <c r="O59" s="26"/>
    </row>
    <row r="60" spans="1:15">
      <c r="A60" s="8" t="s">
        <v>112</v>
      </c>
      <c r="B60" s="13">
        <f>[7]!s_stm07_bs($A$5,"W15273164",B6,1,1)/100000000</f>
        <v>27.183014908600001</v>
      </c>
      <c r="C60" s="13">
        <f>[7]!s_stm07_bs($A$5,"W15273164",C6,1,1)/100000000</f>
        <v>24.712578346799997</v>
      </c>
      <c r="D60" s="13">
        <f>[7]!s_stm07_bs($A$5,"W15273164",D6,1,1)/100000000</f>
        <v>27.209423533600003</v>
      </c>
      <c r="E60" s="13">
        <f>[7]!s_stm07_bs($A$5,"W15273164",E6,1,1)/100000000</f>
        <v>31.713138664599999</v>
      </c>
      <c r="F60" s="13">
        <f>[7]!s_stm07_bs($A$5,"W15273164",F6,1,1)/100000000</f>
        <v>40.332540163499999</v>
      </c>
      <c r="G60" s="26"/>
      <c r="H60" s="26"/>
      <c r="I60" s="26"/>
      <c r="J60" s="26"/>
      <c r="K60" s="26"/>
      <c r="L60" s="26"/>
      <c r="M60" s="26"/>
      <c r="N60" s="26"/>
      <c r="O60" s="26"/>
    </row>
    <row r="61" spans="1:15">
      <c r="A61" s="8" t="s">
        <v>113</v>
      </c>
      <c r="B61" s="13">
        <f>[7]!s_stm07_bs($A$5,"W16511628",B6,1,1)/100000000</f>
        <v>4.0512527805000005</v>
      </c>
      <c r="C61" s="13">
        <f>[7]!s_stm07_bs($A$5,"W16511628",C6,1,1)/100000000</f>
        <v>2.7893464144000002</v>
      </c>
      <c r="D61" s="13">
        <f>[7]!s_stm07_bs($A$5,"W16511628",D6,1,1)/100000000</f>
        <v>3.0727834600999997</v>
      </c>
      <c r="E61" s="13">
        <f>[7]!s_stm07_bs($A$5,"W16511628",E6,1,1)/100000000</f>
        <v>3.8689713442000002</v>
      </c>
      <c r="F61" s="13">
        <f>[7]!s_stm07_bs($A$5,"W16511628",F6,1,1)/100000000</f>
        <v>5.8426806426999995</v>
      </c>
      <c r="G61" s="26"/>
      <c r="H61" s="26"/>
      <c r="I61" s="26"/>
      <c r="J61" s="26"/>
      <c r="K61" s="26"/>
      <c r="L61" s="26"/>
      <c r="M61" s="26"/>
      <c r="N61" s="26"/>
      <c r="O61" s="26"/>
    </row>
    <row r="62" spans="1:15">
      <c r="A62" s="8" t="s">
        <v>114</v>
      </c>
      <c r="B62" s="13">
        <f>[7]!s_stm07_bs($A$5,"W10470384",B6,1,1)/100000000</f>
        <v>4.2096789123000002</v>
      </c>
      <c r="C62" s="13">
        <f>[7]!s_stm07_bs($A$5,"W10470384",C6,1,1)/100000000</f>
        <v>4.3408558132000001</v>
      </c>
      <c r="D62" s="13">
        <f>[7]!s_stm07_bs($A$5,"W10470384",D6,1,1)/100000000</f>
        <v>4.4305571108999997</v>
      </c>
      <c r="E62" s="13">
        <f>[7]!s_stm07_bs($A$5,"W10470384",E6,1,1)/100000000</f>
        <v>6.0079592264999997</v>
      </c>
      <c r="F62" s="13">
        <f>[7]!s_stm07_bs($A$5,"W10470384",F6,1,1)/100000000</f>
        <v>5.4158876054</v>
      </c>
      <c r="G62" s="26"/>
      <c r="H62" s="26"/>
      <c r="I62" s="26"/>
      <c r="J62" s="26"/>
      <c r="K62" s="26"/>
      <c r="L62" s="26"/>
      <c r="M62" s="26"/>
      <c r="N62" s="26"/>
      <c r="O62" s="26"/>
    </row>
    <row r="63" spans="1:15">
      <c r="A63" s="8" t="s">
        <v>115</v>
      </c>
      <c r="B63" s="27">
        <f>[7]!s_fa_debttoassets($A$5,B6)/100</f>
        <v>0.48621599999999998</v>
      </c>
      <c r="C63" s="27">
        <f>[7]!s_fa_debttoassets($A$5,C6)/100</f>
        <v>0.44376800000000005</v>
      </c>
      <c r="D63" s="27">
        <f>[7]!s_fa_debttoassets($A$5,D6)/100</f>
        <v>0.50999000000000005</v>
      </c>
      <c r="E63" s="27">
        <f>[7]!s_fa_debttoassets($A$5,E6)/100</f>
        <v>0.55017400000000005</v>
      </c>
      <c r="F63" s="27">
        <f>[7]!s_fa_debttoassets($A$5,F6)/100</f>
        <v>0.50782400000000005</v>
      </c>
      <c r="G63" s="26"/>
      <c r="H63" s="26"/>
      <c r="I63" s="26"/>
      <c r="J63" s="26"/>
      <c r="K63" s="26"/>
      <c r="L63" s="26"/>
      <c r="M63" s="26"/>
      <c r="N63" s="26"/>
      <c r="O63" s="26"/>
    </row>
    <row r="64" spans="1:15">
      <c r="A64" s="8" t="s">
        <v>116</v>
      </c>
      <c r="B64" s="27">
        <f>(IF(ISTEXT([7]!s_stm07_bs($A$5,"W16717512",B6,1)),0,[7]!s_stm07_bs($A$5,"W16717512",B6,1))+IF(ISTEXT([7]!s_stm07_bs($A$5,"W14758798",B6,1)),0,[7]!s_stm07_bs($A$5,"W14758798",B6,1))+IF(ISTEXT([7]!s_stm07_bs($A$5,"W12336122",B6,1)),0,[7]!s_stm07_bs($A$5,"W12336122",B6,1)))/100000000/B59</f>
        <v>0.11183454117292276</v>
      </c>
      <c r="C64" s="27">
        <f>(IF(ISTEXT([7]!s_stm07_bs($A$5,"W16717512",C6,1)),0,[7]!s_stm07_bs($A$5,"W16717512",C6,1))+IF(ISTEXT([7]!s_stm07_bs($A$5,"W14758798",C6,1)),0,[7]!s_stm07_bs($A$5,"W14758798",C6,1))+IF(ISTEXT([7]!s_stm07_bs($A$5,"W12336122",C6,1)),0,[7]!s_stm07_bs($A$5,"W12336122",C6,1)))/100000000/C59</f>
        <v>9.2665361253028836E-2</v>
      </c>
      <c r="D64" s="27">
        <f>(IF(ISTEXT([7]!s_stm07_bs($A$5,"W16717512",D6,1)),0,[7]!s_stm07_bs($A$5,"W16717512",D6,1))+IF(ISTEXT([7]!s_stm07_bs($A$5,"W14758798",D6,1)),0,[7]!s_stm07_bs($A$5,"W14758798",D6,1))+IF(ISTEXT([7]!s_stm07_bs($A$5,"W12336122",D6,1)),0,[7]!s_stm07_bs($A$5,"W12336122",D6,1)))/100000000/D59</f>
        <v>0.11776427726383545</v>
      </c>
      <c r="E64" s="27">
        <f>(IF(ISTEXT([7]!s_stm07_bs($A$5,"W16717512",E6,1)),0,[7]!s_stm07_bs($A$5,"W16717512",E6,1))+IF(ISTEXT([7]!s_stm07_bs($A$5,"W14758798",E6,1)),0,[7]!s_stm07_bs($A$5,"W14758798",E6,1))+IF(ISTEXT([7]!s_stm07_bs($A$5,"W12336122",E6,1)),0,[7]!s_stm07_bs($A$5,"W12336122",E6,1)))/100000000/E59</f>
        <v>0.16700725161625385</v>
      </c>
      <c r="F64" s="27">
        <f>(IF(ISTEXT([7]!s_stm07_bs($A$5,"W16717512",F6,1)),0,[7]!s_stm07_bs($A$5,"W16717512",F6,1))+IF(ISTEXT([7]!s_stm07_bs($A$5,"W14758798",F6,1)),0,[7]!s_stm07_bs($A$5,"W14758798",F6,1))+IF(ISTEXT([7]!s_stm07_bs($A$5,"W12336122",F6,1)),0,[7]!s_stm07_bs($A$5,"W12336122",F6,1)))/100000000/F59</f>
        <v>0.11366956945967266</v>
      </c>
      <c r="G64" s="26"/>
      <c r="H64" s="26"/>
      <c r="I64" s="26"/>
      <c r="J64" s="26"/>
      <c r="K64" s="26"/>
      <c r="L64" s="26"/>
      <c r="M64" s="26"/>
      <c r="N64" s="26"/>
      <c r="O64" s="26"/>
    </row>
    <row r="65" spans="1:16">
      <c r="A65" s="10" t="s">
        <v>117</v>
      </c>
      <c r="B65" s="10"/>
      <c r="C65" s="10"/>
      <c r="D65" s="10"/>
      <c r="E65" s="10"/>
      <c r="F65" s="10"/>
      <c r="G65" s="26"/>
      <c r="H65" s="26"/>
      <c r="I65" s="26"/>
      <c r="J65" s="26"/>
      <c r="K65" s="26"/>
      <c r="L65" s="26"/>
      <c r="M65" s="26"/>
      <c r="N65" s="26"/>
      <c r="O65" s="26"/>
    </row>
    <row r="66" spans="1:16">
      <c r="A66" s="8" t="s">
        <v>118</v>
      </c>
      <c r="B66" s="13">
        <f>[7]!s_fa_arturndays($A$5,B6)</f>
        <v>52.5732</v>
      </c>
      <c r="C66" s="13">
        <f>[7]!s_fa_arturndays($A$5,C6)</f>
        <v>96.033299999999997</v>
      </c>
      <c r="D66" s="13">
        <f>[7]!s_fa_arturndays($A$5,D6)</f>
        <v>95.979500000000002</v>
      </c>
      <c r="E66" s="13">
        <f>[7]!s_fa_arturndays($A$5,E6)</f>
        <v>107.678</v>
      </c>
      <c r="F66" s="13">
        <f>[7]!s_fa_arturndays($A$5,F6)</f>
        <v>99.078000000000003</v>
      </c>
      <c r="G66" s="26"/>
      <c r="H66" s="26"/>
      <c r="I66" s="26"/>
      <c r="J66" s="26"/>
      <c r="K66" s="26"/>
      <c r="L66" s="26"/>
      <c r="M66" s="26"/>
      <c r="N66" s="26"/>
      <c r="O66" s="26"/>
    </row>
    <row r="67" spans="1:16">
      <c r="A67" s="8" t="s">
        <v>119</v>
      </c>
      <c r="B67" s="13">
        <f>[7]!fa_apturndays($A$5,B6)</f>
        <v>77.254546141072908</v>
      </c>
      <c r="C67" s="13">
        <f>[7]!fa_apturndays($A$5,C6)</f>
        <v>119.9545793450115</v>
      </c>
      <c r="D67" s="13">
        <f>[7]!fa_apturndays($A$5,D6)</f>
        <v>109.59636997468357</v>
      </c>
      <c r="E67" s="13">
        <f>[7]!fa_apturndays($A$5,E6)</f>
        <v>126.08946174986258</v>
      </c>
      <c r="F67" s="13">
        <f>[7]!fa_apturndays($A$5,F6)</f>
        <v>119.21838471609418</v>
      </c>
      <c r="G67" s="26"/>
      <c r="H67" s="26"/>
      <c r="I67" s="26"/>
      <c r="J67" s="26"/>
      <c r="K67" s="26"/>
      <c r="L67" s="26"/>
      <c r="M67" s="26"/>
      <c r="N67" s="26"/>
      <c r="O67" s="26"/>
    </row>
    <row r="68" spans="1:16">
      <c r="A68" s="8" t="s">
        <v>120</v>
      </c>
      <c r="B68" s="13">
        <f>[7]!s_fa_invturndays($A$5,B6)</f>
        <v>68.968199999999996</v>
      </c>
      <c r="C68" s="13">
        <f>[7]!s_fa_invturndays($A$5,C6)</f>
        <v>89.547799999999995</v>
      </c>
      <c r="D68" s="13">
        <f>[7]!s_fa_invturndays($A$5,D6)</f>
        <v>74.558899999999994</v>
      </c>
      <c r="E68" s="13">
        <f>[7]!s_fa_invturndays($A$5,E6)</f>
        <v>87.344700000000003</v>
      </c>
      <c r="F68" s="13">
        <f>[7]!s_fa_invturndays($A$5,F6)</f>
        <v>96.117900000000006</v>
      </c>
      <c r="G68" s="26"/>
      <c r="H68" s="26"/>
      <c r="I68" s="26"/>
      <c r="J68" s="26"/>
      <c r="K68" s="26"/>
      <c r="L68" s="26"/>
      <c r="M68" s="26"/>
      <c r="N68" s="26"/>
      <c r="O68" s="26"/>
    </row>
    <row r="69" spans="1:16">
      <c r="A69" s="8" t="s">
        <v>121</v>
      </c>
      <c r="B69" s="13">
        <f>[7]!fa_netturndays($A5,B6)</f>
        <v>44.286853858927088</v>
      </c>
      <c r="C69" s="13">
        <f>[7]!fa_netturndays($A5,C6)</f>
        <v>65.626520654988497</v>
      </c>
      <c r="D69" s="13">
        <f>[7]!fa_netturndays($A5,D6)</f>
        <v>60.942030025316427</v>
      </c>
      <c r="E69" s="13">
        <f>[7]!fa_netturndays($A5,E6)</f>
        <v>68.933238250137407</v>
      </c>
      <c r="F69" s="13">
        <f>[7]!fa_netturndays($A5,F6)</f>
        <v>75.977515283905817</v>
      </c>
      <c r="G69" s="26"/>
      <c r="H69" s="26"/>
      <c r="I69" s="26"/>
      <c r="J69" s="26"/>
      <c r="K69" s="26"/>
      <c r="L69" s="26"/>
      <c r="M69" s="26"/>
      <c r="N69" s="26"/>
      <c r="O69" s="26"/>
    </row>
    <row r="70" spans="1:16">
      <c r="A70" s="8" t="s">
        <v>122</v>
      </c>
      <c r="B70" s="13">
        <f>365/[7]!s_fa_faturn($A$5,B6)</f>
        <v>82.125821258212582</v>
      </c>
      <c r="C70" s="13">
        <f>365/[7]!s_fa_faturn($A$5,C6)</f>
        <v>91.072408802834488</v>
      </c>
      <c r="D70" s="13">
        <f>365/[7]!s_fa_faturn($A$5,D6)</f>
        <v>98.999159185223363</v>
      </c>
      <c r="E70" s="13">
        <f>365/[7]!s_fa_faturn($A$5,E6)</f>
        <v>105.55234239444765</v>
      </c>
      <c r="F70" s="13">
        <f>365/[7]!s_fa_faturn($A$5,F6)</f>
        <v>102.61167805234601</v>
      </c>
      <c r="G70" s="26"/>
      <c r="H70" s="26"/>
      <c r="I70" s="26"/>
      <c r="J70" s="26"/>
      <c r="K70" s="26"/>
      <c r="L70" s="26"/>
      <c r="M70" s="26"/>
      <c r="N70" s="26"/>
      <c r="O70" s="26"/>
    </row>
    <row r="71" spans="1:16">
      <c r="A71" s="8" t="s">
        <v>123</v>
      </c>
      <c r="B71" s="13">
        <f>[7]!s_fa_assetsturn($A5,B6)</f>
        <v>0.84699999999999998</v>
      </c>
      <c r="C71" s="13">
        <f>[7]!s_fa_assetsturn($A5,C6)</f>
        <v>0.61770000000000003</v>
      </c>
      <c r="D71" s="13">
        <f>[7]!s_fa_assetsturn($A5,D6)</f>
        <v>0.63360000000000005</v>
      </c>
      <c r="E71" s="13">
        <f>[7]!s_fa_assetsturn($A5,E6)</f>
        <v>0.59230000000000005</v>
      </c>
      <c r="F71" s="13">
        <f>[7]!s_fa_assetsturn($A5,F6)</f>
        <v>0.57609999999999995</v>
      </c>
      <c r="G71" s="26"/>
      <c r="H71" s="26"/>
      <c r="I71" s="26"/>
      <c r="J71" s="26"/>
      <c r="K71" s="26"/>
      <c r="L71" s="26"/>
      <c r="M71" s="26"/>
      <c r="N71" s="26"/>
      <c r="O71" s="26"/>
    </row>
    <row r="72" spans="1:16">
      <c r="A72" s="26"/>
      <c r="B72" s="26"/>
      <c r="C72" s="26"/>
      <c r="D72" s="26"/>
      <c r="E72" s="26"/>
      <c r="F72" s="26"/>
      <c r="G72" s="26"/>
      <c r="H72" s="26"/>
      <c r="I72" s="26"/>
      <c r="J72" s="26"/>
      <c r="K72" s="26"/>
      <c r="L72" s="26"/>
      <c r="M72" s="26"/>
      <c r="N72" s="26"/>
      <c r="O72" s="26"/>
      <c r="P72" s="26"/>
    </row>
    <row r="73" spans="1:16">
      <c r="A73" s="26"/>
      <c r="B73" s="26"/>
      <c r="C73" s="26"/>
      <c r="D73" s="26"/>
      <c r="E73" s="26"/>
      <c r="F73" s="26"/>
      <c r="G73" s="26"/>
      <c r="H73" s="26"/>
      <c r="I73" s="26"/>
      <c r="J73" s="26"/>
      <c r="K73" s="26"/>
      <c r="L73" s="26"/>
      <c r="M73" s="26"/>
      <c r="N73" s="26"/>
      <c r="O73" s="26"/>
      <c r="P73" s="26"/>
    </row>
    <row r="74" spans="1:16">
      <c r="A74" s="26"/>
      <c r="B74" s="26"/>
      <c r="C74" s="26"/>
      <c r="D74" s="26"/>
      <c r="E74" s="26"/>
      <c r="F74" s="26"/>
      <c r="G74" s="26"/>
      <c r="H74" s="26"/>
      <c r="I74" s="26"/>
      <c r="J74" s="26"/>
      <c r="K74" s="26"/>
      <c r="L74" s="26"/>
      <c r="M74" s="26"/>
      <c r="N74" s="26"/>
      <c r="O74" s="26"/>
      <c r="P74" s="26"/>
    </row>
    <row r="75" spans="1:16">
      <c r="A75" s="26"/>
      <c r="B75" s="26"/>
      <c r="C75" s="26"/>
      <c r="D75" s="26"/>
      <c r="E75" s="26"/>
      <c r="F75" s="26"/>
      <c r="G75" s="26"/>
      <c r="H75" s="26"/>
      <c r="I75" s="26"/>
      <c r="J75" s="26"/>
      <c r="K75" s="26"/>
      <c r="L75" s="26"/>
      <c r="M75" s="26"/>
      <c r="N75" s="26"/>
      <c r="O75" s="26"/>
      <c r="P75" s="26"/>
    </row>
    <row r="76" spans="1:16">
      <c r="A76" s="26"/>
      <c r="B76" s="26"/>
      <c r="C76" s="26"/>
      <c r="D76" s="26"/>
      <c r="E76" s="26"/>
      <c r="F76" s="26"/>
      <c r="G76" s="26"/>
      <c r="H76" s="26"/>
      <c r="I76" s="26"/>
      <c r="J76" s="26"/>
      <c r="K76" s="26"/>
      <c r="L76" s="26"/>
      <c r="M76" s="26"/>
      <c r="N76" s="26"/>
      <c r="O76" s="26"/>
      <c r="P76" s="26"/>
    </row>
    <row r="77" spans="1:16">
      <c r="A77" s="26"/>
      <c r="B77" s="26"/>
      <c r="C77" s="26"/>
      <c r="D77" s="26"/>
      <c r="E77" s="26"/>
      <c r="F77" s="26"/>
      <c r="G77" s="26"/>
      <c r="H77" s="26"/>
      <c r="I77" s="26"/>
      <c r="J77" s="26"/>
      <c r="K77" s="26"/>
      <c r="L77" s="26"/>
      <c r="M77" s="26"/>
      <c r="N77" s="26"/>
      <c r="O77" s="26"/>
      <c r="P77" s="26"/>
    </row>
    <row r="78" spans="1:16">
      <c r="A78" s="26"/>
      <c r="B78" s="26"/>
      <c r="C78" s="26"/>
      <c r="D78" s="26"/>
      <c r="E78" s="26"/>
      <c r="F78" s="26"/>
      <c r="G78" s="26"/>
      <c r="H78" s="26"/>
      <c r="I78" s="26"/>
      <c r="J78" s="26"/>
      <c r="K78" s="26"/>
      <c r="L78" s="26"/>
      <c r="M78" s="26"/>
      <c r="N78" s="26"/>
      <c r="O78" s="26"/>
      <c r="P78" s="26"/>
    </row>
    <row r="79" spans="1:16">
      <c r="A79" s="26"/>
      <c r="B79" s="26"/>
      <c r="C79" s="26"/>
      <c r="D79" s="26"/>
      <c r="E79" s="26"/>
      <c r="F79" s="26"/>
      <c r="G79" s="26"/>
      <c r="H79" s="26"/>
      <c r="I79" s="26"/>
      <c r="J79" s="26"/>
      <c r="K79" s="26"/>
      <c r="L79" s="26"/>
      <c r="M79" s="26"/>
      <c r="N79" s="26"/>
      <c r="O79" s="26"/>
      <c r="P79" s="26"/>
    </row>
    <row r="80" spans="1:16">
      <c r="A80" s="26"/>
      <c r="B80" s="26"/>
      <c r="C80" s="26"/>
      <c r="D80" s="26"/>
      <c r="E80" s="26"/>
      <c r="F80" s="26"/>
      <c r="G80" s="26"/>
      <c r="H80" s="26"/>
      <c r="I80" s="26"/>
      <c r="J80" s="26"/>
      <c r="K80" s="26"/>
      <c r="L80" s="26"/>
      <c r="M80" s="26"/>
      <c r="N80" s="26"/>
      <c r="O80" s="26"/>
      <c r="P80" s="26"/>
    </row>
    <row r="81" spans="1:16">
      <c r="A81" s="26"/>
      <c r="B81" s="26"/>
      <c r="C81" s="26"/>
      <c r="D81" s="26"/>
      <c r="E81" s="26"/>
      <c r="F81" s="26"/>
      <c r="G81" s="26"/>
      <c r="H81" s="26"/>
      <c r="I81" s="26"/>
      <c r="J81" s="26"/>
      <c r="K81" s="26"/>
      <c r="L81" s="26"/>
      <c r="M81" s="26"/>
      <c r="N81" s="26"/>
      <c r="O81" s="26"/>
      <c r="P81" s="26"/>
    </row>
    <row r="82" spans="1:16">
      <c r="A82" s="26"/>
      <c r="B82" s="26"/>
      <c r="C82" s="26"/>
      <c r="D82" s="26"/>
      <c r="E82" s="26"/>
      <c r="F82" s="26"/>
      <c r="G82" s="26"/>
      <c r="H82" s="26"/>
      <c r="I82" s="26"/>
      <c r="J82" s="26"/>
      <c r="K82" s="26"/>
      <c r="L82" s="26"/>
      <c r="M82" s="26"/>
      <c r="N82" s="26"/>
      <c r="O82" s="26"/>
      <c r="P82" s="26"/>
    </row>
    <row r="83" spans="1:16">
      <c r="A83" s="26"/>
      <c r="B83" s="26"/>
      <c r="C83" s="26"/>
      <c r="D83" s="26"/>
      <c r="E83" s="26"/>
      <c r="F83" s="26"/>
      <c r="G83" s="26"/>
      <c r="H83" s="26"/>
      <c r="I83" s="26"/>
      <c r="J83" s="26"/>
      <c r="K83" s="26"/>
      <c r="L83" s="26"/>
      <c r="M83" s="26"/>
      <c r="N83" s="26"/>
      <c r="O83" s="26"/>
      <c r="P83" s="26"/>
    </row>
    <row r="84" spans="1:16">
      <c r="A84" s="26"/>
      <c r="B84" s="26"/>
      <c r="C84" s="26"/>
      <c r="D84" s="26"/>
      <c r="E84" s="26"/>
      <c r="F84" s="26"/>
      <c r="G84" s="26"/>
      <c r="H84" s="26"/>
      <c r="I84" s="26"/>
      <c r="J84" s="26"/>
      <c r="K84" s="26"/>
      <c r="L84" s="26"/>
      <c r="M84" s="26"/>
      <c r="N84" s="26"/>
      <c r="O84" s="26"/>
      <c r="P84" s="26"/>
    </row>
    <row r="85" spans="1:16">
      <c r="A85" s="26"/>
      <c r="B85" s="26"/>
      <c r="C85" s="26"/>
      <c r="D85" s="26"/>
      <c r="E85" s="26"/>
      <c r="F85" s="26"/>
      <c r="G85" s="26"/>
      <c r="H85" s="26"/>
      <c r="I85" s="26"/>
      <c r="J85" s="26"/>
      <c r="K85" s="26"/>
      <c r="L85" s="26"/>
      <c r="M85" s="26"/>
      <c r="N85" s="26"/>
      <c r="O85" s="26"/>
      <c r="P85" s="26"/>
    </row>
    <row r="86" spans="1:16">
      <c r="A86" s="26"/>
      <c r="B86" s="26"/>
      <c r="C86" s="26"/>
      <c r="D86" s="26"/>
      <c r="E86" s="26"/>
      <c r="F86" s="26"/>
      <c r="G86" s="26"/>
      <c r="H86" s="26"/>
      <c r="I86" s="26"/>
      <c r="J86" s="26"/>
      <c r="K86" s="26"/>
      <c r="L86" s="26"/>
      <c r="M86" s="26"/>
      <c r="N86" s="26"/>
      <c r="O86" s="26"/>
      <c r="P86" s="26"/>
    </row>
    <row r="87" spans="1:16">
      <c r="A87" s="26"/>
      <c r="B87" s="26"/>
      <c r="C87" s="26"/>
      <c r="D87" s="26"/>
      <c r="E87" s="26"/>
      <c r="F87" s="26"/>
      <c r="G87" s="26"/>
      <c r="H87" s="26"/>
      <c r="I87" s="26"/>
      <c r="J87" s="26"/>
      <c r="K87" s="26"/>
      <c r="L87" s="26"/>
      <c r="M87" s="26"/>
      <c r="N87" s="26"/>
      <c r="O87" s="26"/>
      <c r="P87" s="26"/>
    </row>
    <row r="88" spans="1:16">
      <c r="A88" s="26"/>
      <c r="B88" s="26"/>
      <c r="C88" s="26"/>
      <c r="D88" s="26"/>
      <c r="E88" s="26"/>
      <c r="F88" s="26"/>
      <c r="G88" s="26"/>
      <c r="H88" s="26"/>
      <c r="I88" s="26"/>
      <c r="J88" s="26"/>
      <c r="K88" s="26"/>
      <c r="L88" s="26"/>
      <c r="M88" s="26"/>
      <c r="N88" s="26"/>
      <c r="O88" s="26"/>
      <c r="P88" s="26"/>
    </row>
    <row r="89" spans="1:16">
      <c r="A89" s="26"/>
      <c r="B89" s="26"/>
      <c r="C89" s="26"/>
      <c r="D89" s="26"/>
      <c r="E89" s="26"/>
      <c r="F89" s="26"/>
      <c r="G89" s="26"/>
      <c r="H89" s="26"/>
      <c r="I89" s="26"/>
      <c r="J89" s="26"/>
      <c r="K89" s="26"/>
      <c r="L89" s="26"/>
      <c r="M89" s="26"/>
      <c r="N89" s="26"/>
      <c r="O89" s="26"/>
      <c r="P89" s="26"/>
    </row>
    <row r="90" spans="1:16">
      <c r="A90" s="26"/>
      <c r="B90" s="26"/>
      <c r="C90" s="26"/>
      <c r="D90" s="26"/>
      <c r="E90" s="26"/>
      <c r="F90" s="26"/>
      <c r="G90" s="26"/>
      <c r="H90" s="26"/>
      <c r="I90" s="26"/>
      <c r="J90" s="26"/>
      <c r="K90" s="26"/>
      <c r="L90" s="26"/>
      <c r="M90" s="26"/>
      <c r="N90" s="26"/>
      <c r="O90" s="26"/>
      <c r="P90" s="26"/>
    </row>
    <row r="91" spans="1:16">
      <c r="A91" s="26"/>
      <c r="B91" s="26"/>
      <c r="C91" s="26"/>
      <c r="D91" s="26"/>
      <c r="E91" s="26"/>
      <c r="F91" s="26"/>
      <c r="G91" s="26"/>
      <c r="H91" s="26"/>
      <c r="I91" s="26"/>
      <c r="J91" s="26"/>
      <c r="K91" s="26"/>
      <c r="L91" s="26"/>
      <c r="M91" s="26"/>
      <c r="N91" s="26"/>
      <c r="O91" s="26"/>
      <c r="P91" s="26"/>
    </row>
    <row r="92" spans="1:16">
      <c r="A92" s="26"/>
      <c r="B92" s="26"/>
      <c r="C92" s="26"/>
      <c r="D92" s="26"/>
      <c r="E92" s="26"/>
      <c r="F92" s="26"/>
      <c r="G92" s="26"/>
      <c r="H92" s="26"/>
      <c r="I92" s="26"/>
      <c r="J92" s="26"/>
      <c r="K92" s="26"/>
      <c r="L92" s="26"/>
      <c r="M92" s="26"/>
      <c r="N92" s="26"/>
      <c r="O92" s="26"/>
      <c r="P92" s="26"/>
    </row>
    <row r="93" spans="1:16">
      <c r="A93" s="26"/>
      <c r="B93" s="26"/>
      <c r="C93" s="26"/>
      <c r="D93" s="26"/>
      <c r="E93" s="26"/>
      <c r="F93" s="26"/>
      <c r="G93" s="26"/>
      <c r="H93" s="26"/>
      <c r="I93" s="26"/>
      <c r="J93" s="26"/>
      <c r="K93" s="26"/>
      <c r="L93" s="26"/>
      <c r="M93" s="26"/>
      <c r="N93" s="26"/>
      <c r="O93" s="26"/>
      <c r="P93" s="26"/>
    </row>
    <row r="94" spans="1:16">
      <c r="A94" s="26"/>
      <c r="B94" s="26"/>
      <c r="C94" s="26"/>
      <c r="D94" s="26"/>
      <c r="E94" s="26"/>
      <c r="F94" s="26"/>
      <c r="G94" s="26"/>
      <c r="H94" s="26"/>
      <c r="I94" s="26"/>
      <c r="J94" s="26"/>
      <c r="K94" s="26"/>
      <c r="L94" s="26"/>
      <c r="M94" s="26"/>
      <c r="N94" s="26"/>
      <c r="O94" s="26"/>
      <c r="P94" s="26"/>
    </row>
    <row r="95" spans="1:16">
      <c r="A95" s="26"/>
      <c r="B95" s="26"/>
      <c r="C95" s="26"/>
      <c r="D95" s="26"/>
      <c r="E95" s="26"/>
      <c r="F95" s="26"/>
      <c r="G95" s="26"/>
      <c r="H95" s="26"/>
      <c r="I95" s="26"/>
      <c r="J95" s="26"/>
      <c r="K95" s="26"/>
      <c r="L95" s="26"/>
      <c r="M95" s="26"/>
      <c r="N95" s="26"/>
      <c r="O95" s="26"/>
      <c r="P95" s="26"/>
    </row>
    <row r="96" spans="1:16">
      <c r="A96" s="26"/>
      <c r="B96" s="26"/>
      <c r="C96" s="26"/>
      <c r="D96" s="26"/>
      <c r="E96" s="26"/>
      <c r="F96" s="26"/>
      <c r="G96" s="26"/>
      <c r="H96" s="26"/>
      <c r="I96" s="26"/>
      <c r="J96" s="26"/>
      <c r="K96" s="26"/>
      <c r="L96" s="26"/>
      <c r="M96" s="26"/>
      <c r="N96" s="26"/>
      <c r="O96" s="26"/>
      <c r="P96" s="26"/>
    </row>
    <row r="97" spans="1:16">
      <c r="A97" s="26"/>
      <c r="B97" s="26"/>
      <c r="C97" s="26"/>
      <c r="D97" s="26"/>
      <c r="E97" s="26"/>
      <c r="F97" s="26"/>
      <c r="G97" s="26"/>
      <c r="H97" s="26"/>
      <c r="I97" s="26"/>
      <c r="J97" s="26"/>
      <c r="K97" s="26"/>
      <c r="L97" s="26"/>
      <c r="M97" s="26"/>
      <c r="N97" s="26"/>
      <c r="O97" s="26"/>
      <c r="P97" s="26"/>
    </row>
    <row r="98" spans="1:16">
      <c r="A98" s="26"/>
      <c r="B98" s="26"/>
      <c r="C98" s="26"/>
      <c r="D98" s="26"/>
      <c r="E98" s="26"/>
      <c r="F98" s="26"/>
      <c r="G98" s="26"/>
      <c r="H98" s="26"/>
      <c r="I98" s="26"/>
      <c r="J98" s="26"/>
      <c r="K98" s="26"/>
      <c r="L98" s="26"/>
      <c r="M98" s="26"/>
      <c r="N98" s="26"/>
      <c r="O98" s="26"/>
      <c r="P98" s="26"/>
    </row>
    <row r="99" spans="1:16">
      <c r="A99" s="26"/>
      <c r="B99" s="26"/>
      <c r="C99" s="26"/>
      <c r="D99" s="26"/>
      <c r="E99" s="26"/>
      <c r="F99" s="26"/>
      <c r="G99" s="26"/>
      <c r="H99" s="26"/>
      <c r="I99" s="26"/>
      <c r="J99" s="26"/>
      <c r="K99" s="26"/>
      <c r="L99" s="26"/>
      <c r="M99" s="26"/>
      <c r="N99" s="26"/>
      <c r="O99" s="26"/>
      <c r="P99" s="26"/>
    </row>
    <row r="100" spans="1:16">
      <c r="A100" s="26"/>
      <c r="B100" s="26"/>
      <c r="C100" s="26"/>
      <c r="D100" s="26"/>
      <c r="E100" s="26"/>
      <c r="F100" s="26"/>
      <c r="G100" s="26"/>
      <c r="H100" s="26"/>
      <c r="I100" s="26"/>
      <c r="J100" s="26"/>
      <c r="K100" s="26"/>
      <c r="L100" s="26"/>
      <c r="M100" s="26"/>
      <c r="N100" s="26"/>
      <c r="O100" s="26"/>
      <c r="P100" s="26"/>
    </row>
    <row r="101" spans="1:16">
      <c r="A101" s="26"/>
      <c r="B101" s="26"/>
      <c r="C101" s="26"/>
      <c r="D101" s="26"/>
      <c r="E101" s="26"/>
      <c r="F101" s="26"/>
      <c r="G101" s="26"/>
      <c r="H101" s="26"/>
      <c r="I101" s="26"/>
      <c r="J101" s="26"/>
      <c r="K101" s="26"/>
      <c r="L101" s="26"/>
      <c r="M101" s="26"/>
      <c r="N101" s="26"/>
      <c r="O101" s="26"/>
      <c r="P101" s="26"/>
    </row>
    <row r="102" spans="1:16">
      <c r="A102" s="26"/>
      <c r="B102" s="26"/>
      <c r="C102" s="26"/>
      <c r="D102" s="26"/>
      <c r="E102" s="26"/>
      <c r="F102" s="26"/>
      <c r="G102" s="26"/>
      <c r="H102" s="26"/>
      <c r="I102" s="26"/>
      <c r="J102" s="26"/>
      <c r="K102" s="26"/>
      <c r="L102" s="26"/>
      <c r="M102" s="26"/>
      <c r="N102" s="26"/>
      <c r="O102" s="26"/>
      <c r="P102" s="26"/>
    </row>
    <row r="103" spans="1:16">
      <c r="A103" s="26"/>
      <c r="B103" s="26"/>
      <c r="C103" s="26"/>
      <c r="D103" s="26"/>
      <c r="E103" s="26"/>
      <c r="F103" s="26"/>
      <c r="G103" s="26"/>
      <c r="H103" s="26"/>
      <c r="I103" s="26"/>
      <c r="J103" s="26"/>
      <c r="K103" s="26"/>
      <c r="L103" s="26"/>
      <c r="M103" s="26"/>
      <c r="N103" s="26"/>
      <c r="O103" s="26"/>
      <c r="P103" s="26"/>
    </row>
    <row r="104" spans="1:16">
      <c r="A104" s="26"/>
      <c r="B104" s="26"/>
      <c r="C104" s="26"/>
      <c r="D104" s="26"/>
      <c r="E104" s="26"/>
      <c r="F104" s="26"/>
      <c r="G104" s="26"/>
      <c r="H104" s="26"/>
      <c r="I104" s="26"/>
      <c r="J104" s="26"/>
      <c r="K104" s="26"/>
      <c r="L104" s="26"/>
      <c r="M104" s="26"/>
      <c r="N104" s="26"/>
      <c r="O104" s="26"/>
      <c r="P104" s="26"/>
    </row>
    <row r="105" spans="1:16">
      <c r="A105" s="26"/>
      <c r="B105" s="26"/>
      <c r="C105" s="26"/>
      <c r="D105" s="26"/>
      <c r="E105" s="26"/>
      <c r="F105" s="26"/>
      <c r="G105" s="26"/>
      <c r="H105" s="26"/>
      <c r="I105" s="26"/>
      <c r="J105" s="26"/>
      <c r="K105" s="26"/>
      <c r="L105" s="26"/>
      <c r="M105" s="26"/>
      <c r="N105" s="26"/>
      <c r="O105" s="26"/>
      <c r="P105" s="26"/>
    </row>
    <row r="106" spans="1:16">
      <c r="A106" s="26"/>
      <c r="B106" s="26"/>
      <c r="C106" s="26"/>
      <c r="D106" s="26"/>
      <c r="E106" s="26"/>
      <c r="F106" s="26"/>
      <c r="G106" s="26"/>
      <c r="H106" s="26"/>
      <c r="I106" s="26"/>
      <c r="J106" s="26"/>
      <c r="K106" s="26"/>
      <c r="L106" s="26"/>
      <c r="M106" s="26"/>
      <c r="N106" s="26"/>
      <c r="O106" s="26"/>
      <c r="P106" s="26"/>
    </row>
    <row r="107" spans="1:16">
      <c r="A107" s="26"/>
      <c r="B107" s="26"/>
      <c r="C107" s="26"/>
      <c r="D107" s="26"/>
      <c r="E107" s="26"/>
      <c r="F107" s="26"/>
      <c r="G107" s="26"/>
      <c r="H107" s="26"/>
      <c r="I107" s="26"/>
      <c r="J107" s="26"/>
      <c r="K107" s="26"/>
      <c r="L107" s="26"/>
      <c r="M107" s="26"/>
      <c r="N107" s="26"/>
      <c r="O107" s="26"/>
      <c r="P107" s="26"/>
    </row>
    <row r="108" spans="1:16">
      <c r="A108" s="26"/>
      <c r="B108" s="26"/>
      <c r="C108" s="26"/>
      <c r="D108" s="26"/>
      <c r="E108" s="26"/>
      <c r="F108" s="26"/>
      <c r="G108" s="26"/>
      <c r="H108" s="26"/>
      <c r="I108" s="26"/>
      <c r="J108" s="26"/>
      <c r="K108" s="26"/>
      <c r="L108" s="26"/>
      <c r="M108" s="26"/>
      <c r="N108" s="26"/>
      <c r="O108" s="26"/>
      <c r="P108" s="26"/>
    </row>
    <row r="109" spans="1:16">
      <c r="A109" s="26"/>
      <c r="B109" s="26"/>
      <c r="C109" s="26"/>
      <c r="D109" s="26"/>
      <c r="E109" s="26"/>
      <c r="F109" s="26"/>
      <c r="G109" s="26"/>
      <c r="H109" s="26"/>
      <c r="I109" s="26"/>
      <c r="J109" s="26"/>
      <c r="K109" s="26"/>
      <c r="L109" s="26"/>
      <c r="M109" s="26"/>
      <c r="N109" s="26"/>
      <c r="O109" s="26"/>
      <c r="P109" s="26"/>
    </row>
    <row r="110" spans="1:16">
      <c r="A110" s="26"/>
      <c r="B110" s="26"/>
      <c r="C110" s="26"/>
      <c r="D110" s="26"/>
      <c r="E110" s="26"/>
      <c r="F110" s="26"/>
      <c r="G110" s="26"/>
      <c r="H110" s="26"/>
      <c r="I110" s="26"/>
      <c r="J110" s="26"/>
      <c r="K110" s="26"/>
      <c r="L110" s="26"/>
      <c r="M110" s="26"/>
      <c r="N110" s="26"/>
      <c r="O110" s="26"/>
      <c r="P110" s="26"/>
    </row>
    <row r="111" spans="1:16">
      <c r="A111" s="26"/>
      <c r="B111" s="26"/>
      <c r="C111" s="26"/>
      <c r="D111" s="26"/>
      <c r="E111" s="26"/>
      <c r="F111" s="26"/>
      <c r="G111" s="26"/>
      <c r="H111" s="26"/>
      <c r="I111" s="26"/>
      <c r="J111" s="26"/>
      <c r="K111" s="26"/>
      <c r="L111" s="26"/>
      <c r="M111" s="26"/>
      <c r="N111" s="26"/>
      <c r="O111" s="26"/>
      <c r="P111" s="26"/>
    </row>
    <row r="112" spans="1:16">
      <c r="A112" s="26"/>
      <c r="B112" s="26"/>
      <c r="C112" s="26"/>
      <c r="D112" s="26"/>
      <c r="E112" s="26"/>
      <c r="F112" s="26"/>
      <c r="G112" s="26"/>
      <c r="H112" s="26"/>
      <c r="I112" s="26"/>
      <c r="J112" s="26"/>
      <c r="K112" s="26"/>
      <c r="L112" s="26"/>
      <c r="M112" s="26"/>
      <c r="N112" s="26"/>
      <c r="O112" s="26"/>
      <c r="P112" s="26"/>
    </row>
    <row r="113" spans="1:16">
      <c r="A113" s="26"/>
      <c r="B113" s="26"/>
      <c r="C113" s="26"/>
      <c r="D113" s="26"/>
      <c r="E113" s="26"/>
      <c r="F113" s="26"/>
      <c r="G113" s="26"/>
      <c r="H113" s="26"/>
      <c r="I113" s="26"/>
      <c r="J113" s="26"/>
      <c r="K113" s="26"/>
      <c r="L113" s="26"/>
      <c r="M113" s="26"/>
      <c r="N113" s="26"/>
      <c r="O113" s="26"/>
      <c r="P113" s="26"/>
    </row>
    <row r="114" spans="1:16">
      <c r="A114" s="26"/>
      <c r="B114" s="26"/>
      <c r="C114" s="26"/>
      <c r="D114" s="26"/>
      <c r="E114" s="26"/>
      <c r="F114" s="26"/>
      <c r="G114" s="26"/>
      <c r="H114" s="26"/>
      <c r="I114" s="26"/>
      <c r="J114" s="26"/>
      <c r="K114" s="26"/>
      <c r="L114" s="26"/>
      <c r="M114" s="26"/>
      <c r="N114" s="26"/>
      <c r="O114" s="26"/>
      <c r="P114" s="26"/>
    </row>
    <row r="115" spans="1:16">
      <c r="A115" s="26"/>
      <c r="B115" s="26"/>
      <c r="C115" s="26"/>
      <c r="D115" s="26"/>
      <c r="E115" s="26"/>
      <c r="F115" s="26"/>
      <c r="G115" s="26"/>
      <c r="H115" s="26"/>
      <c r="I115" s="26"/>
      <c r="J115" s="26"/>
      <c r="K115" s="26"/>
      <c r="L115" s="26"/>
      <c r="M115" s="26"/>
      <c r="N115" s="26"/>
      <c r="O115" s="26"/>
      <c r="P115" s="26"/>
    </row>
    <row r="116" spans="1:16">
      <c r="A116" s="26"/>
      <c r="B116" s="26"/>
      <c r="C116" s="26"/>
      <c r="D116" s="26"/>
      <c r="E116" s="26"/>
      <c r="F116" s="26"/>
      <c r="G116" s="26"/>
      <c r="H116" s="26"/>
      <c r="I116" s="26"/>
      <c r="J116" s="26"/>
      <c r="K116" s="26"/>
      <c r="L116" s="26"/>
      <c r="M116" s="26"/>
      <c r="N116" s="26"/>
      <c r="O116" s="26"/>
      <c r="P116" s="26"/>
    </row>
    <row r="117" spans="1:16">
      <c r="A117" s="26"/>
      <c r="B117" s="26"/>
      <c r="C117" s="26"/>
      <c r="D117" s="26"/>
      <c r="E117" s="26"/>
      <c r="F117" s="26"/>
      <c r="G117" s="26"/>
      <c r="H117" s="26"/>
      <c r="I117" s="26"/>
      <c r="J117" s="26"/>
      <c r="K117" s="26"/>
      <c r="L117" s="26"/>
      <c r="M117" s="26"/>
      <c r="N117" s="26"/>
      <c r="O117" s="26"/>
      <c r="P117" s="26"/>
    </row>
    <row r="118" spans="1:16">
      <c r="A118" s="26"/>
      <c r="B118" s="26"/>
      <c r="C118" s="26"/>
      <c r="D118" s="26"/>
      <c r="E118" s="26"/>
      <c r="F118" s="26"/>
      <c r="G118" s="26"/>
      <c r="H118" s="26"/>
      <c r="I118" s="26"/>
      <c r="J118" s="26"/>
      <c r="K118" s="26"/>
      <c r="L118" s="26"/>
      <c r="M118" s="26"/>
      <c r="N118" s="26"/>
      <c r="O118" s="26"/>
      <c r="P118" s="26"/>
    </row>
    <row r="119" spans="1:16">
      <c r="A119" s="26"/>
      <c r="B119" s="26"/>
      <c r="C119" s="26"/>
      <c r="D119" s="26"/>
      <c r="E119" s="26"/>
      <c r="F119" s="26"/>
      <c r="G119" s="26"/>
      <c r="H119" s="26"/>
      <c r="I119" s="26"/>
      <c r="J119" s="26"/>
      <c r="K119" s="26"/>
      <c r="L119" s="26"/>
      <c r="M119" s="26"/>
      <c r="N119" s="26"/>
      <c r="O119" s="26"/>
      <c r="P119" s="26"/>
    </row>
    <row r="120" spans="1:16">
      <c r="A120" s="26"/>
      <c r="B120" s="26"/>
      <c r="C120" s="26"/>
      <c r="D120" s="26"/>
      <c r="E120" s="26"/>
      <c r="F120" s="26"/>
      <c r="G120" s="26"/>
      <c r="H120" s="26"/>
      <c r="I120" s="26"/>
      <c r="J120" s="26"/>
      <c r="K120" s="26"/>
      <c r="L120" s="26"/>
      <c r="M120" s="26"/>
      <c r="N120" s="26"/>
      <c r="O120" s="26"/>
      <c r="P120" s="26"/>
    </row>
    <row r="121" spans="1:16">
      <c r="A121" s="26"/>
      <c r="B121" s="26"/>
      <c r="C121" s="26"/>
      <c r="D121" s="26"/>
      <c r="E121" s="26"/>
      <c r="F121" s="26"/>
      <c r="G121" s="26"/>
      <c r="H121" s="26"/>
      <c r="I121" s="26"/>
      <c r="J121" s="26"/>
      <c r="K121" s="26"/>
      <c r="L121" s="26"/>
      <c r="M121" s="26"/>
      <c r="N121" s="26"/>
      <c r="O121" s="26"/>
      <c r="P121" s="26"/>
    </row>
    <row r="122" spans="1:16">
      <c r="A122" s="26"/>
      <c r="B122" s="26"/>
      <c r="C122" s="26"/>
      <c r="D122" s="26"/>
      <c r="E122" s="26"/>
      <c r="F122" s="26"/>
      <c r="G122" s="26"/>
      <c r="H122" s="26"/>
      <c r="I122" s="26"/>
      <c r="J122" s="26"/>
      <c r="K122" s="26"/>
      <c r="L122" s="26"/>
      <c r="M122" s="26"/>
      <c r="N122" s="26"/>
      <c r="O122" s="26"/>
      <c r="P122" s="26"/>
    </row>
    <row r="123" spans="1:16">
      <c r="A123" s="26"/>
      <c r="B123" s="26"/>
      <c r="C123" s="26"/>
      <c r="D123" s="26"/>
      <c r="E123" s="26"/>
      <c r="F123" s="26"/>
      <c r="G123" s="26"/>
      <c r="H123" s="26"/>
      <c r="I123" s="26"/>
      <c r="J123" s="26"/>
      <c r="K123" s="26"/>
      <c r="L123" s="26"/>
      <c r="M123" s="26"/>
      <c r="N123" s="26"/>
      <c r="O123" s="26"/>
      <c r="P123" s="26"/>
    </row>
    <row r="124" spans="1:16">
      <c r="A124" s="26"/>
      <c r="B124" s="26"/>
      <c r="C124" s="26"/>
      <c r="D124" s="26"/>
      <c r="E124" s="26"/>
      <c r="F124" s="26"/>
      <c r="G124" s="26"/>
      <c r="H124" s="26"/>
      <c r="I124" s="26"/>
      <c r="J124" s="26"/>
      <c r="K124" s="26"/>
      <c r="L124" s="26"/>
      <c r="M124" s="26"/>
      <c r="N124" s="26"/>
      <c r="O124" s="26"/>
      <c r="P124" s="26"/>
    </row>
    <row r="125" spans="1:16">
      <c r="A125" s="26"/>
      <c r="B125" s="26"/>
      <c r="C125" s="26"/>
      <c r="D125" s="26"/>
      <c r="E125" s="26"/>
      <c r="F125" s="26"/>
      <c r="G125" s="26"/>
      <c r="H125" s="26"/>
      <c r="I125" s="26"/>
      <c r="J125" s="26"/>
      <c r="K125" s="26"/>
      <c r="L125" s="26"/>
      <c r="M125" s="26"/>
      <c r="N125" s="26"/>
      <c r="O125" s="26"/>
      <c r="P125" s="26"/>
    </row>
    <row r="126" spans="1:16">
      <c r="A126" s="26"/>
      <c r="B126" s="26"/>
      <c r="C126" s="26"/>
      <c r="D126" s="26"/>
      <c r="E126" s="26"/>
      <c r="F126" s="26"/>
      <c r="G126" s="26"/>
      <c r="H126" s="26"/>
      <c r="I126" s="26"/>
      <c r="J126" s="26"/>
      <c r="K126" s="26"/>
      <c r="L126" s="26"/>
      <c r="M126" s="26"/>
      <c r="N126" s="26"/>
      <c r="O126" s="26"/>
      <c r="P126" s="26"/>
    </row>
    <row r="127" spans="1:16">
      <c r="A127" s="26"/>
      <c r="B127" s="26"/>
      <c r="C127" s="26"/>
      <c r="D127" s="26"/>
      <c r="E127" s="26"/>
      <c r="F127" s="26"/>
      <c r="G127" s="26"/>
      <c r="H127" s="26"/>
      <c r="I127" s="26"/>
      <c r="J127" s="26"/>
      <c r="K127" s="26"/>
      <c r="L127" s="26"/>
      <c r="M127" s="26"/>
      <c r="N127" s="26"/>
      <c r="O127" s="26"/>
      <c r="P127" s="26"/>
    </row>
    <row r="128" spans="1:16">
      <c r="A128" s="26"/>
      <c r="B128" s="26"/>
      <c r="C128" s="26"/>
      <c r="D128" s="26"/>
      <c r="E128" s="26"/>
      <c r="F128" s="26"/>
      <c r="G128" s="26"/>
      <c r="H128" s="26"/>
      <c r="I128" s="26"/>
      <c r="J128" s="26"/>
      <c r="K128" s="26"/>
      <c r="L128" s="26"/>
      <c r="M128" s="26"/>
      <c r="N128" s="26"/>
      <c r="O128" s="26"/>
      <c r="P128" s="26"/>
    </row>
    <row r="129" spans="1:16">
      <c r="A129" s="26"/>
      <c r="B129" s="26"/>
      <c r="C129" s="26"/>
      <c r="D129" s="26"/>
      <c r="E129" s="26"/>
      <c r="F129" s="26"/>
      <c r="G129" s="26"/>
      <c r="H129" s="26"/>
      <c r="I129" s="26"/>
      <c r="J129" s="26"/>
      <c r="K129" s="26"/>
      <c r="L129" s="26"/>
      <c r="M129" s="26"/>
      <c r="N129" s="26"/>
      <c r="O129" s="26"/>
      <c r="P129" s="26"/>
    </row>
    <row r="130" spans="1:16">
      <c r="A130" s="26"/>
      <c r="B130" s="26"/>
      <c r="C130" s="26"/>
      <c r="D130" s="26"/>
      <c r="E130" s="26"/>
      <c r="F130" s="26"/>
      <c r="G130" s="26"/>
      <c r="H130" s="26"/>
      <c r="I130" s="26"/>
      <c r="J130" s="26"/>
      <c r="K130" s="26"/>
      <c r="L130" s="26"/>
      <c r="M130" s="26"/>
      <c r="N130" s="26"/>
      <c r="O130" s="26"/>
      <c r="P130" s="26"/>
    </row>
    <row r="131" spans="1:16">
      <c r="A131" s="26"/>
      <c r="B131" s="26"/>
      <c r="C131" s="26"/>
      <c r="D131" s="26"/>
      <c r="E131" s="26"/>
      <c r="F131" s="26"/>
      <c r="G131" s="26"/>
      <c r="H131" s="26"/>
      <c r="I131" s="26"/>
      <c r="J131" s="26"/>
      <c r="K131" s="26"/>
      <c r="L131" s="26"/>
      <c r="M131" s="26"/>
      <c r="N131" s="26"/>
      <c r="O131" s="26"/>
      <c r="P131" s="26"/>
    </row>
    <row r="132" spans="1:16">
      <c r="A132" s="26"/>
      <c r="B132" s="26"/>
      <c r="C132" s="26"/>
      <c r="D132" s="26"/>
      <c r="E132" s="26"/>
      <c r="F132" s="26"/>
      <c r="G132" s="26"/>
      <c r="H132" s="26"/>
      <c r="I132" s="26"/>
      <c r="J132" s="26"/>
      <c r="K132" s="26"/>
      <c r="L132" s="26"/>
      <c r="M132" s="26"/>
      <c r="N132" s="26"/>
      <c r="O132" s="26"/>
      <c r="P132" s="26"/>
    </row>
    <row r="133" spans="1:16">
      <c r="A133" s="26"/>
      <c r="B133" s="26"/>
      <c r="C133" s="26"/>
      <c r="D133" s="26"/>
      <c r="E133" s="26"/>
      <c r="F133" s="26"/>
      <c r="G133" s="26"/>
      <c r="H133" s="26"/>
      <c r="I133" s="26"/>
      <c r="J133" s="26"/>
      <c r="K133" s="26"/>
      <c r="L133" s="26"/>
      <c r="M133" s="26"/>
      <c r="N133" s="26"/>
      <c r="O133" s="26"/>
      <c r="P133" s="26"/>
    </row>
    <row r="134" spans="1:16">
      <c r="A134" s="26"/>
      <c r="B134" s="26"/>
      <c r="C134" s="26"/>
      <c r="D134" s="26"/>
      <c r="E134" s="26"/>
      <c r="F134" s="26"/>
      <c r="G134" s="26"/>
      <c r="H134" s="26"/>
      <c r="I134" s="26"/>
      <c r="J134" s="26"/>
      <c r="K134" s="26"/>
      <c r="L134" s="26"/>
      <c r="M134" s="26"/>
      <c r="N134" s="26"/>
      <c r="O134" s="26"/>
      <c r="P134" s="26"/>
    </row>
    <row r="135" spans="1:16">
      <c r="A135" s="26"/>
      <c r="B135" s="26"/>
      <c r="C135" s="26"/>
      <c r="D135" s="26"/>
      <c r="E135" s="26"/>
      <c r="F135" s="26"/>
      <c r="G135" s="26"/>
      <c r="H135" s="26"/>
      <c r="I135" s="26"/>
      <c r="J135" s="26"/>
      <c r="K135" s="26"/>
      <c r="L135" s="26"/>
      <c r="M135" s="26"/>
      <c r="N135" s="26"/>
      <c r="O135" s="26"/>
      <c r="P135" s="26"/>
    </row>
    <row r="136" spans="1:16">
      <c r="A136" s="26"/>
      <c r="B136" s="26"/>
      <c r="C136" s="26"/>
      <c r="D136" s="26"/>
      <c r="E136" s="26"/>
      <c r="F136" s="26"/>
      <c r="G136" s="26"/>
      <c r="H136" s="26"/>
      <c r="I136" s="26"/>
      <c r="J136" s="26"/>
      <c r="K136" s="26"/>
      <c r="L136" s="26"/>
      <c r="M136" s="26"/>
      <c r="N136" s="26"/>
      <c r="O136" s="26"/>
      <c r="P136" s="26"/>
    </row>
    <row r="137" spans="1:16">
      <c r="A137" s="26"/>
      <c r="B137" s="26"/>
      <c r="C137" s="26"/>
      <c r="D137" s="26"/>
      <c r="E137" s="26"/>
      <c r="F137" s="26"/>
      <c r="G137" s="26"/>
      <c r="H137" s="26"/>
      <c r="I137" s="26"/>
      <c r="J137" s="26"/>
      <c r="K137" s="26"/>
      <c r="L137" s="26"/>
      <c r="M137" s="26"/>
      <c r="N137" s="26"/>
      <c r="O137" s="26"/>
      <c r="P137" s="26"/>
    </row>
    <row r="138" spans="1:16">
      <c r="A138" s="26"/>
      <c r="B138" s="26"/>
      <c r="C138" s="26"/>
      <c r="D138" s="26"/>
      <c r="E138" s="26"/>
      <c r="F138" s="26"/>
      <c r="G138" s="26"/>
      <c r="H138" s="26"/>
      <c r="I138" s="26"/>
      <c r="J138" s="26"/>
      <c r="K138" s="26"/>
      <c r="L138" s="26"/>
      <c r="M138" s="26"/>
      <c r="N138" s="26"/>
      <c r="O138" s="26"/>
      <c r="P138" s="26"/>
    </row>
    <row r="139" spans="1:16">
      <c r="A139" s="26"/>
      <c r="B139" s="26"/>
      <c r="C139" s="26"/>
      <c r="D139" s="26"/>
      <c r="E139" s="26"/>
      <c r="F139" s="26"/>
      <c r="G139" s="26"/>
      <c r="H139" s="26"/>
      <c r="I139" s="26"/>
      <c r="J139" s="26"/>
      <c r="K139" s="26"/>
      <c r="L139" s="26"/>
      <c r="M139" s="26"/>
      <c r="N139" s="26"/>
      <c r="O139" s="26"/>
      <c r="P139" s="26"/>
    </row>
    <row r="140" spans="1:16">
      <c r="A140" s="26"/>
      <c r="B140" s="26"/>
      <c r="C140" s="26"/>
      <c r="D140" s="26"/>
      <c r="E140" s="26"/>
      <c r="F140" s="26"/>
      <c r="G140" s="26"/>
      <c r="H140" s="26"/>
      <c r="I140" s="26"/>
      <c r="J140" s="26"/>
      <c r="K140" s="26"/>
      <c r="L140" s="26"/>
      <c r="M140" s="26"/>
      <c r="N140" s="26"/>
      <c r="O140" s="26"/>
      <c r="P140" s="26"/>
    </row>
    <row r="141" spans="1:16">
      <c r="A141" s="26"/>
      <c r="B141" s="26"/>
      <c r="C141" s="26"/>
      <c r="D141" s="26"/>
      <c r="E141" s="26"/>
      <c r="F141" s="26"/>
      <c r="G141" s="26"/>
      <c r="H141" s="26"/>
      <c r="I141" s="26"/>
      <c r="J141" s="26"/>
      <c r="K141" s="26"/>
      <c r="L141" s="26"/>
      <c r="M141" s="26"/>
      <c r="N141" s="26"/>
      <c r="O141" s="26"/>
      <c r="P141" s="26"/>
    </row>
    <row r="142" spans="1:16">
      <c r="A142" s="26"/>
      <c r="B142" s="26"/>
      <c r="C142" s="26"/>
      <c r="D142" s="26"/>
      <c r="E142" s="26"/>
      <c r="F142" s="26"/>
      <c r="G142" s="26"/>
      <c r="H142" s="26"/>
      <c r="I142" s="26"/>
      <c r="J142" s="26"/>
      <c r="K142" s="26"/>
      <c r="L142" s="26"/>
      <c r="M142" s="26"/>
      <c r="N142" s="26"/>
      <c r="O142" s="26"/>
      <c r="P142" s="26"/>
    </row>
    <row r="143" spans="1:16">
      <c r="A143" s="26"/>
      <c r="B143" s="26"/>
      <c r="C143" s="26"/>
      <c r="D143" s="26"/>
      <c r="E143" s="26"/>
      <c r="F143" s="26"/>
      <c r="G143" s="26"/>
      <c r="H143" s="26"/>
      <c r="I143" s="26"/>
      <c r="J143" s="26"/>
      <c r="K143" s="26"/>
      <c r="L143" s="26"/>
      <c r="M143" s="26"/>
      <c r="N143" s="26"/>
      <c r="O143" s="26"/>
      <c r="P143" s="26"/>
    </row>
    <row r="144" spans="1:16">
      <c r="A144" s="26"/>
      <c r="B144" s="26"/>
      <c r="C144" s="26"/>
      <c r="D144" s="26"/>
      <c r="E144" s="26"/>
      <c r="F144" s="26"/>
      <c r="G144" s="26"/>
      <c r="H144" s="26"/>
      <c r="I144" s="26"/>
      <c r="J144" s="26"/>
      <c r="K144" s="26"/>
      <c r="L144" s="26"/>
      <c r="M144" s="26"/>
      <c r="N144" s="26"/>
      <c r="O144" s="26"/>
      <c r="P144" s="26"/>
    </row>
    <row r="145" spans="1:16">
      <c r="A145" s="26"/>
      <c r="B145" s="26"/>
      <c r="C145" s="26"/>
      <c r="D145" s="26"/>
      <c r="E145" s="26"/>
      <c r="F145" s="26"/>
      <c r="G145" s="26"/>
      <c r="H145" s="26"/>
      <c r="I145" s="26"/>
      <c r="J145" s="26"/>
      <c r="K145" s="26"/>
      <c r="L145" s="26"/>
      <c r="M145" s="26"/>
      <c r="N145" s="26"/>
      <c r="O145" s="26"/>
      <c r="P145" s="26"/>
    </row>
    <row r="146" spans="1:16">
      <c r="A146" s="26"/>
      <c r="B146" s="26"/>
      <c r="C146" s="26"/>
      <c r="D146" s="26"/>
      <c r="E146" s="26"/>
      <c r="F146" s="26"/>
      <c r="G146" s="26"/>
      <c r="H146" s="26"/>
      <c r="I146" s="26"/>
      <c r="J146" s="26"/>
      <c r="K146" s="26"/>
      <c r="L146" s="26"/>
      <c r="M146" s="26"/>
      <c r="N146" s="26"/>
      <c r="O146" s="26"/>
      <c r="P146" s="26"/>
    </row>
    <row r="147" spans="1:16">
      <c r="A147" s="26"/>
      <c r="B147" s="26"/>
      <c r="C147" s="26"/>
      <c r="D147" s="26"/>
      <c r="E147" s="26"/>
      <c r="F147" s="26"/>
      <c r="G147" s="26"/>
      <c r="H147" s="26"/>
      <c r="I147" s="26"/>
      <c r="J147" s="26"/>
      <c r="K147" s="26"/>
      <c r="L147" s="26"/>
      <c r="M147" s="26"/>
      <c r="N147" s="26"/>
      <c r="O147" s="26"/>
      <c r="P147" s="26"/>
    </row>
    <row r="148" spans="1:16">
      <c r="A148" s="26"/>
      <c r="B148" s="26"/>
      <c r="C148" s="26"/>
      <c r="D148" s="26"/>
      <c r="E148" s="26"/>
      <c r="F148" s="26"/>
      <c r="G148" s="26"/>
      <c r="H148" s="26"/>
      <c r="I148" s="26"/>
      <c r="J148" s="26"/>
      <c r="K148" s="26"/>
      <c r="L148" s="26"/>
      <c r="M148" s="26"/>
      <c r="N148" s="26"/>
      <c r="O148" s="26"/>
      <c r="P148" s="26"/>
    </row>
    <row r="149" spans="1:16">
      <c r="A149" s="26"/>
      <c r="B149" s="26"/>
      <c r="C149" s="26"/>
      <c r="D149" s="26"/>
      <c r="E149" s="26"/>
      <c r="F149" s="26"/>
      <c r="G149" s="26"/>
      <c r="H149" s="26"/>
      <c r="I149" s="26"/>
      <c r="J149" s="26"/>
      <c r="K149" s="26"/>
      <c r="L149" s="26"/>
      <c r="M149" s="26"/>
      <c r="N149" s="26"/>
      <c r="O149" s="26"/>
      <c r="P149" s="26"/>
    </row>
    <row r="150" spans="1:16">
      <c r="A150" s="26"/>
      <c r="B150" s="26"/>
      <c r="C150" s="26"/>
      <c r="D150" s="26"/>
      <c r="E150" s="26"/>
      <c r="F150" s="26"/>
      <c r="G150" s="26"/>
      <c r="H150" s="26"/>
      <c r="I150" s="26"/>
      <c r="J150" s="26"/>
      <c r="K150" s="26"/>
      <c r="L150" s="26"/>
      <c r="M150" s="26"/>
      <c r="N150" s="26"/>
      <c r="O150" s="26"/>
      <c r="P150" s="26"/>
    </row>
    <row r="151" spans="1:16">
      <c r="A151" s="26"/>
      <c r="B151" s="26"/>
      <c r="C151" s="26"/>
      <c r="D151" s="26"/>
      <c r="E151" s="26"/>
      <c r="F151" s="26"/>
      <c r="G151" s="26"/>
      <c r="H151" s="26"/>
      <c r="I151" s="26"/>
      <c r="J151" s="26"/>
      <c r="K151" s="26"/>
      <c r="L151" s="26"/>
      <c r="M151" s="26"/>
      <c r="N151" s="26"/>
      <c r="O151" s="26"/>
      <c r="P151" s="26"/>
    </row>
    <row r="152" spans="1:16">
      <c r="A152" s="26"/>
      <c r="B152" s="26"/>
      <c r="C152" s="26"/>
      <c r="D152" s="26"/>
      <c r="E152" s="26"/>
      <c r="F152" s="26"/>
      <c r="G152" s="26"/>
      <c r="H152" s="26"/>
      <c r="I152" s="26"/>
      <c r="J152" s="26"/>
      <c r="K152" s="26"/>
      <c r="L152" s="26"/>
      <c r="M152" s="26"/>
      <c r="N152" s="26"/>
      <c r="O152" s="26"/>
      <c r="P152" s="26"/>
    </row>
    <row r="153" spans="1:16">
      <c r="A153" s="26"/>
      <c r="B153" s="26"/>
      <c r="C153" s="26"/>
      <c r="D153" s="26"/>
      <c r="E153" s="26"/>
      <c r="F153" s="26"/>
      <c r="G153" s="26"/>
      <c r="H153" s="26"/>
      <c r="I153" s="26"/>
      <c r="J153" s="26"/>
      <c r="K153" s="26"/>
      <c r="L153" s="26"/>
      <c r="M153" s="26"/>
      <c r="N153" s="26"/>
      <c r="O153" s="26"/>
      <c r="P153" s="26"/>
    </row>
    <row r="154" spans="1:16">
      <c r="A154" s="26"/>
      <c r="B154" s="26"/>
      <c r="C154" s="26"/>
      <c r="D154" s="26"/>
      <c r="E154" s="26"/>
      <c r="F154" s="26"/>
      <c r="G154" s="26"/>
      <c r="H154" s="26"/>
      <c r="I154" s="26"/>
      <c r="J154" s="26"/>
      <c r="K154" s="26"/>
      <c r="L154" s="26"/>
      <c r="M154" s="26"/>
      <c r="N154" s="26"/>
      <c r="O154" s="26"/>
      <c r="P154" s="26"/>
    </row>
    <row r="155" spans="1:16">
      <c r="A155" s="26"/>
      <c r="B155" s="26"/>
      <c r="C155" s="26"/>
      <c r="D155" s="26"/>
      <c r="E155" s="26"/>
      <c r="F155" s="26"/>
      <c r="G155" s="26"/>
      <c r="H155" s="26"/>
      <c r="I155" s="26"/>
      <c r="J155" s="26"/>
      <c r="K155" s="26"/>
      <c r="L155" s="26"/>
      <c r="M155" s="26"/>
      <c r="N155" s="26"/>
      <c r="O155" s="26"/>
      <c r="P155" s="26"/>
    </row>
    <row r="156" spans="1:16">
      <c r="A156" s="26"/>
      <c r="B156" s="26"/>
      <c r="C156" s="26"/>
      <c r="D156" s="26"/>
      <c r="E156" s="26"/>
      <c r="F156" s="26"/>
      <c r="G156" s="26"/>
      <c r="H156" s="26"/>
      <c r="I156" s="26"/>
      <c r="J156" s="26"/>
      <c r="K156" s="26"/>
      <c r="L156" s="26"/>
      <c r="M156" s="26"/>
      <c r="N156" s="26"/>
      <c r="O156" s="26"/>
      <c r="P156" s="26"/>
    </row>
    <row r="157" spans="1:16">
      <c r="A157" s="26"/>
      <c r="B157" s="26"/>
      <c r="C157" s="26"/>
      <c r="D157" s="26"/>
      <c r="E157" s="26"/>
      <c r="F157" s="26"/>
      <c r="G157" s="26"/>
      <c r="H157" s="26"/>
      <c r="I157" s="26"/>
      <c r="J157" s="26"/>
      <c r="K157" s="26"/>
      <c r="L157" s="26"/>
      <c r="M157" s="26"/>
      <c r="N157" s="26"/>
      <c r="O157" s="26"/>
      <c r="P157" s="26"/>
    </row>
    <row r="158" spans="1:16">
      <c r="A158" s="26"/>
      <c r="B158" s="26"/>
      <c r="C158" s="26"/>
      <c r="D158" s="26"/>
      <c r="E158" s="26"/>
      <c r="F158" s="26"/>
      <c r="G158" s="26"/>
      <c r="H158" s="26"/>
      <c r="I158" s="26"/>
      <c r="J158" s="26"/>
      <c r="K158" s="26"/>
      <c r="L158" s="26"/>
      <c r="M158" s="26"/>
      <c r="N158" s="26"/>
      <c r="O158" s="26"/>
      <c r="P158" s="26"/>
    </row>
  </sheetData>
  <mergeCells count="1">
    <mergeCell ref="A1:XFD3"/>
  </mergeCells>
  <phoneticPr fontId="11" type="noConversion"/>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FEDA2-44DD-4D8C-8CEB-2975FF26AEEA}">
  <sheetPr>
    <tabColor theme="9"/>
  </sheetPr>
  <dimension ref="A1:R50"/>
  <sheetViews>
    <sheetView zoomScale="85" zoomScaleNormal="85" workbookViewId="0">
      <pane ySplit="6" topLeftCell="A7" activePane="bottomLeft" state="frozen"/>
      <selection pane="bottomLeft" activeCell="I7" sqref="B7:I49"/>
    </sheetView>
  </sheetViews>
  <sheetFormatPr defaultColWidth="10.08984375" defaultRowHeight="15"/>
  <cols>
    <col min="1" max="1" width="16" style="33" customWidth="1"/>
    <col min="2" max="6" width="10.08984375" style="33"/>
    <col min="7" max="7" width="10.08984375" style="33" customWidth="1"/>
    <col min="8" max="16384" width="10.08984375" style="33"/>
  </cols>
  <sheetData>
    <row r="1" spans="1:18" s="452" customFormat="1" ht="13.75" customHeight="1">
      <c r="A1" s="452" t="s">
        <v>202</v>
      </c>
    </row>
    <row r="2" spans="1:18" s="452" customFormat="1" ht="13.75" customHeight="1"/>
    <row r="3" spans="1:18" s="452" customFormat="1" ht="13.75" customHeight="1"/>
    <row r="5" spans="1:18">
      <c r="A5" s="16" t="s">
        <v>278</v>
      </c>
      <c r="B5" s="6"/>
      <c r="C5" s="6"/>
      <c r="D5" s="6"/>
      <c r="E5" s="6"/>
      <c r="F5" s="124"/>
      <c r="G5" s="124"/>
      <c r="H5" s="6"/>
      <c r="I5" s="6"/>
      <c r="J5" s="6"/>
      <c r="K5" s="6"/>
      <c r="L5" s="6"/>
      <c r="R5" s="34" t="s">
        <v>203</v>
      </c>
    </row>
    <row r="6" spans="1:18">
      <c r="A6" s="8" t="str">
        <f>[7]!s_info_name(A5)</f>
        <v>维科技术</v>
      </c>
      <c r="B6" s="197">
        <v>43465</v>
      </c>
      <c r="C6" s="197">
        <v>43555</v>
      </c>
      <c r="D6" s="197">
        <v>43646</v>
      </c>
      <c r="E6" s="197">
        <v>43738</v>
      </c>
      <c r="F6" s="197">
        <v>43830</v>
      </c>
      <c r="G6" s="197">
        <v>43921</v>
      </c>
      <c r="H6" s="197">
        <v>44012</v>
      </c>
      <c r="I6" s="7">
        <v>44104</v>
      </c>
      <c r="J6" s="7">
        <v>44196</v>
      </c>
      <c r="K6" s="7">
        <v>44286</v>
      </c>
      <c r="L6" s="7">
        <v>44377</v>
      </c>
      <c r="M6" s="7">
        <v>44469</v>
      </c>
      <c r="N6" s="7">
        <v>44561</v>
      </c>
      <c r="O6" s="7">
        <v>44651</v>
      </c>
      <c r="P6" s="7">
        <v>44742</v>
      </c>
      <c r="Q6" s="34" t="s">
        <v>203</v>
      </c>
    </row>
    <row r="7" spans="1:18">
      <c r="A7" s="17" t="s">
        <v>125</v>
      </c>
      <c r="B7" s="18" t="s">
        <v>474</v>
      </c>
      <c r="C7" s="18" t="s">
        <v>475</v>
      </c>
      <c r="D7" s="18" t="s">
        <v>476</v>
      </c>
      <c r="E7" s="18" t="s">
        <v>477</v>
      </c>
      <c r="F7" s="18" t="s">
        <v>478</v>
      </c>
      <c r="G7" s="18" t="s">
        <v>479</v>
      </c>
      <c r="H7" s="18" t="s">
        <v>480</v>
      </c>
      <c r="I7" s="18" t="s">
        <v>242</v>
      </c>
      <c r="J7" s="18" t="s">
        <v>126</v>
      </c>
      <c r="K7" s="18" t="s">
        <v>127</v>
      </c>
      <c r="L7" s="18" t="s">
        <v>128</v>
      </c>
      <c r="M7" s="18" t="s">
        <v>129</v>
      </c>
      <c r="N7" s="18" t="s">
        <v>130</v>
      </c>
      <c r="O7" s="18" t="s">
        <v>305</v>
      </c>
      <c r="P7" s="18" t="s">
        <v>306</v>
      </c>
      <c r="Q7" s="35" t="e">
        <f>DATE(YEAR(#REF!)-1,MONTH(#REF!),DAY(#REF!))</f>
        <v>#REF!</v>
      </c>
    </row>
    <row r="8" spans="1:18">
      <c r="A8" s="10" t="s">
        <v>124</v>
      </c>
      <c r="B8" s="14"/>
      <c r="C8" s="14"/>
      <c r="D8" s="14"/>
      <c r="E8" s="14"/>
      <c r="F8" s="14"/>
      <c r="G8" s="14"/>
      <c r="H8" s="14"/>
      <c r="I8" s="14"/>
      <c r="J8" s="14"/>
      <c r="K8" s="14"/>
      <c r="L8" s="14"/>
      <c r="M8" s="14"/>
      <c r="N8" s="14"/>
      <c r="O8" s="14"/>
      <c r="P8" s="14"/>
      <c r="Q8" s="36"/>
    </row>
    <row r="9" spans="1:18">
      <c r="A9" s="8" t="s">
        <v>68</v>
      </c>
      <c r="B9" s="13">
        <f>[7]!s_qstm07_is($A5,"W11730589",B6,1)/100000000</f>
        <v>4.8059007008999997</v>
      </c>
      <c r="C9" s="13">
        <f>[7]!s_qstm07_is($A5,"W11730589",C6,1)/100000000</f>
        <v>2.0683072778000002</v>
      </c>
      <c r="D9" s="13">
        <f>[7]!s_qstm07_is($A5,"W11730589",D6,1)/100000000</f>
        <v>3.3572144943</v>
      </c>
      <c r="E9" s="13">
        <f>[7]!s_qstm07_is($A5,"W11730589",E6,1)/100000000</f>
        <v>4.9677956850999996</v>
      </c>
      <c r="F9" s="13">
        <f>[7]!s_qstm07_is($A5,"W11730589",F6,1)/100000000</f>
        <v>6.0566937547000004</v>
      </c>
      <c r="G9" s="13">
        <f>[7]!s_qstm07_is($A5,"W11730589",G6,1)/100000000</f>
        <v>1.9963734015000001</v>
      </c>
      <c r="H9" s="13">
        <f>[7]!s_qstm07_is($A5,"W11730589",H6,1)/100000000</f>
        <v>4.2802181236000001</v>
      </c>
      <c r="I9" s="13">
        <f>[7]!s_qstm07_is($A5,"W11730589",I6,1)/100000000</f>
        <v>4.2317596834</v>
      </c>
      <c r="J9" s="13">
        <f>[7]!s_qstm07_is($A5,"W11730589",J6,1)/100000000</f>
        <v>6.9414439716</v>
      </c>
      <c r="K9" s="13">
        <f>[7]!s_qstm07_is($A5,"W11730589",K6,1)/100000000</f>
        <v>4.3147733199000005</v>
      </c>
      <c r="L9" s="13">
        <f>[7]!s_qstm07_is($A5,"W11730589",L6,1)/100000000</f>
        <v>4.9424393960000002</v>
      </c>
      <c r="M9" s="13">
        <f>[7]!s_qstm07_is($A5,"W11730589",M6,1)/100000000</f>
        <v>5.7719396758000006</v>
      </c>
      <c r="N9" s="13">
        <f>[7]!s_qstm07_is($A5,"W11730589",N6,1)/100000000</f>
        <v>5.7252296912</v>
      </c>
      <c r="O9" s="13">
        <f>[7]!s_qstm07_is($A5,"W11730589",O6,1)/100000000</f>
        <v>4.6734767129000003</v>
      </c>
      <c r="P9" s="13">
        <f>[7]!s_qstm07_is($A5,"W11730589",P6,1)/100000000</f>
        <v>7.1622781987000002</v>
      </c>
      <c r="Q9" s="36"/>
    </row>
    <row r="10" spans="1:18">
      <c r="A10" s="9" t="s">
        <v>69</v>
      </c>
      <c r="B10" s="125"/>
      <c r="C10" s="125"/>
      <c r="D10" s="125"/>
      <c r="E10" s="125"/>
      <c r="F10" s="125"/>
      <c r="G10" s="125"/>
      <c r="H10" s="125"/>
      <c r="I10" s="125"/>
      <c r="J10" s="125">
        <f>(J9-I9)/I9</f>
        <v>0.64032092815414998</v>
      </c>
      <c r="K10" s="125">
        <f>(K9-J9)/J9</f>
        <v>-0.37840407016849448</v>
      </c>
      <c r="L10" s="125">
        <f>(L9-K9)/K9</f>
        <v>0.1454690732431215</v>
      </c>
      <c r="M10" s="125">
        <f>(M9-I9)/I9</f>
        <v>0.36395733870278418</v>
      </c>
      <c r="N10" s="125">
        <f>(N9-J9)/J9</f>
        <v>-0.17521055926922119</v>
      </c>
      <c r="O10" s="125">
        <f>(O9-K9)/K9</f>
        <v>8.3133774686525871E-2</v>
      </c>
      <c r="P10" s="125">
        <f>(P9-L9)/L9</f>
        <v>0.44913829484617518</v>
      </c>
      <c r="Q10" s="36">
        <f>[7]!s_stm07_is($A$5,"W16498900",Q7,1,1)/100000000</f>
        <v>0</v>
      </c>
    </row>
    <row r="11" spans="1:18">
      <c r="A11" s="8" t="s">
        <v>70</v>
      </c>
      <c r="B11" s="13">
        <f>[7]!s_qstm07_is($A5,"W10727047",B6,1)/100000000</f>
        <v>-0.41961353330000001</v>
      </c>
      <c r="C11" s="13">
        <f>[7]!s_qstm07_is($A5,"W10727047",C6,1)/100000000</f>
        <v>-0.21584445059999999</v>
      </c>
      <c r="D11" s="13">
        <f>[7]!s_qstm07_is($A5,"W10727047",D6,1)/100000000</f>
        <v>-0.26969940149999999</v>
      </c>
      <c r="E11" s="13">
        <f>[7]!s_qstm07_is($A5,"W10727047",E6,1)/100000000</f>
        <v>1.6233639899999999E-2</v>
      </c>
      <c r="F11" s="13">
        <f>[7]!s_qstm07_is($A5,"W10727047",F6,1)/100000000</f>
        <v>-0.17149915460000001</v>
      </c>
      <c r="G11" s="13">
        <f>[7]!s_qstm07_is($A5,"W10727047",G6,1)/100000000</f>
        <v>-0.16254325619999999</v>
      </c>
      <c r="H11" s="13">
        <f>[7]!s_qstm07_is($A5,"W10727047",H6,1)/100000000</f>
        <v>0.50419129579999999</v>
      </c>
      <c r="I11" s="13">
        <f>[7]!s_qstm07_is($A5,"W10727047",I6,1)/100000000</f>
        <v>8.2485240500000001E-2</v>
      </c>
      <c r="J11" s="13">
        <f>[7]!s_qstm07_is($A5,"W10727047",J6,1)/100000000</f>
        <v>6.7294111700000006E-2</v>
      </c>
      <c r="K11" s="13">
        <f>[7]!s_qstm07_is($A5,"W10727047",K6,1)/100000000</f>
        <v>2.4702287200000003E-2</v>
      </c>
      <c r="L11" s="13">
        <f>[7]!s_qstm07_is($A5,"W10727047",L6,1)/100000000</f>
        <v>4.1281087799999998E-2</v>
      </c>
      <c r="M11" s="13">
        <f>[7]!s_qstm07_is($A5,"W10727047",M6,1)/100000000</f>
        <v>-0.51142399390000004</v>
      </c>
      <c r="N11" s="13">
        <f>[7]!s_qstm07_is($A5,"W10727047",N6,1)/100000000</f>
        <v>-0.82632220970000003</v>
      </c>
      <c r="O11" s="13">
        <f>[7]!s_qstm07_is($A5,"W10727047",O6,1)/100000000</f>
        <v>-6.5480652E-2</v>
      </c>
      <c r="P11" s="13">
        <f>[7]!s_qstm07_is($A5,"W10727047",P6,1)/100000000</f>
        <v>0.1361201155</v>
      </c>
      <c r="Q11" s="36"/>
    </row>
    <row r="12" spans="1:18">
      <c r="A12" s="9" t="s">
        <v>69</v>
      </c>
      <c r="B12" s="125"/>
      <c r="C12" s="125"/>
      <c r="D12" s="125"/>
      <c r="E12" s="125"/>
      <c r="F12" s="125"/>
      <c r="G12" s="125"/>
      <c r="H12" s="125"/>
      <c r="I12" s="125"/>
      <c r="J12" s="125">
        <f>(J11-I11)/I11</f>
        <v>-0.18416784273060335</v>
      </c>
      <c r="K12" s="125">
        <f>(K11-J11)/J11</f>
        <v>-0.63292052490232953</v>
      </c>
      <c r="L12" s="125">
        <f>(L11-K11)/K11</f>
        <v>0.67114435460049193</v>
      </c>
      <c r="M12" s="125">
        <f>(M11-I11)/I11</f>
        <v>-7.2001879463514458</v>
      </c>
      <c r="N12" s="125">
        <f>(N11-J11)/J11</f>
        <v>-13.2792646908511</v>
      </c>
      <c r="O12" s="125">
        <f>(O11-K11)/K11</f>
        <v>-3.6507930812171918</v>
      </c>
      <c r="P12" s="125">
        <f>(P11-L11)/L11</f>
        <v>2.2973965259704228</v>
      </c>
      <c r="Q12" s="36">
        <f>[7]!s_qstm07_is($A$5,"W12244963",Q7,1,1)/100000000</f>
        <v>0</v>
      </c>
    </row>
    <row r="13" spans="1:18">
      <c r="A13" s="8" t="s">
        <v>71</v>
      </c>
      <c r="B13" s="13">
        <f t="shared" ref="B13:H13" si="0">B11-B14</f>
        <v>0.56083641790000005</v>
      </c>
      <c r="C13" s="13">
        <f t="shared" si="0"/>
        <v>0.15493830510000003</v>
      </c>
      <c r="D13" s="13">
        <f t="shared" si="0"/>
        <v>6.1407939999999994E-2</v>
      </c>
      <c r="E13" s="13">
        <f t="shared" si="0"/>
        <v>0.15349247090000001</v>
      </c>
      <c r="F13" s="13">
        <f t="shared" si="0"/>
        <v>-0.25120654580000001</v>
      </c>
      <c r="G13" s="13">
        <f t="shared" si="0"/>
        <v>0.17756879800000003</v>
      </c>
      <c r="H13" s="13">
        <f t="shared" si="0"/>
        <v>0.70160465350000001</v>
      </c>
      <c r="I13" s="13">
        <f t="shared" ref="I13:N13" si="1">I11-I14</f>
        <v>0.1017353765</v>
      </c>
      <c r="J13" s="13">
        <f t="shared" si="1"/>
        <v>0.14478997650000003</v>
      </c>
      <c r="K13" s="13">
        <f t="shared" si="1"/>
        <v>-5.7055213999999965E-3</v>
      </c>
      <c r="L13" s="13">
        <f t="shared" si="1"/>
        <v>0.1851870545</v>
      </c>
      <c r="M13" s="13">
        <f t="shared" si="1"/>
        <v>-1.2251921200000015E-2</v>
      </c>
      <c r="N13" s="13">
        <f t="shared" si="1"/>
        <v>0.1726258518999999</v>
      </c>
      <c r="O13" s="13">
        <f>O11-O14</f>
        <v>6.4740576100000002E-2</v>
      </c>
      <c r="P13" s="13">
        <f>P11-P14</f>
        <v>0.12985806359999999</v>
      </c>
      <c r="Q13" s="36"/>
    </row>
    <row r="14" spans="1:18">
      <c r="A14" s="8" t="s">
        <v>72</v>
      </c>
      <c r="B14" s="13">
        <f>[7]!s_qfa_deductedprofit($A$5,B6,1)/100000000</f>
        <v>-0.9804499512</v>
      </c>
      <c r="C14" s="13">
        <f>[7]!s_qfa_deductedprofit($A$5,C6,1)/100000000</f>
        <v>-0.37078275570000002</v>
      </c>
      <c r="D14" s="13">
        <f>[7]!s_qfa_deductedprofit($A$5,D6,1)/100000000</f>
        <v>-0.33110734149999999</v>
      </c>
      <c r="E14" s="13">
        <f>[7]!s_qfa_deductedprofit($A$5,E6,1)/100000000</f>
        <v>-0.137258831</v>
      </c>
      <c r="F14" s="13">
        <f>[7]!s_qfa_deductedprofit($A$5,F6,1)/100000000</f>
        <v>7.9707391200000005E-2</v>
      </c>
      <c r="G14" s="13">
        <f>[7]!s_qfa_deductedprofit($A$5,G6,1)/100000000</f>
        <v>-0.34011205420000001</v>
      </c>
      <c r="H14" s="13">
        <f>[7]!s_qfa_deductedprofit($A$5,H6,1)/100000000</f>
        <v>-0.19741335769999999</v>
      </c>
      <c r="I14" s="13">
        <f>[7]!s_qfa_deductedprofit($A$5,I6,1)/100000000</f>
        <v>-1.9250136000000001E-2</v>
      </c>
      <c r="J14" s="13">
        <f>[7]!s_qfa_deductedprofit($A$5,J6,1)/100000000</f>
        <v>-7.7495864800000008E-2</v>
      </c>
      <c r="K14" s="13">
        <f>[7]!s_qfa_deductedprofit($A$5,K6,1)/100000000</f>
        <v>3.0407808599999999E-2</v>
      </c>
      <c r="L14" s="13">
        <f>[7]!s_qfa_deductedprofit($A$5,L6,1)/100000000</f>
        <v>-0.1439059667</v>
      </c>
      <c r="M14" s="13">
        <f>[7]!s_qfa_deductedprofit($A$5,M6,1)/100000000</f>
        <v>-0.49917207270000002</v>
      </c>
      <c r="N14" s="13">
        <f>[7]!s_qfa_deductedprofit($A$5,N6,1)/100000000</f>
        <v>-0.99894806159999994</v>
      </c>
      <c r="O14" s="13">
        <f>[7]!s_qfa_deductedprofit($A$5,O6,1)/100000000</f>
        <v>-0.1302212281</v>
      </c>
      <c r="P14" s="13">
        <f>[7]!s_qfa_deductedprofit($A$5,P6,1)/100000000</f>
        <v>6.2620518999999993E-3</v>
      </c>
      <c r="Q14" s="36"/>
    </row>
    <row r="15" spans="1:18">
      <c r="A15" s="9" t="s">
        <v>69</v>
      </c>
      <c r="B15" s="125"/>
      <c r="C15" s="125"/>
      <c r="D15" s="125"/>
      <c r="E15" s="125"/>
      <c r="F15" s="125"/>
      <c r="G15" s="125"/>
      <c r="H15" s="125"/>
      <c r="I15" s="125"/>
      <c r="J15" s="125">
        <f>(J14-I14)/I14</f>
        <v>3.0257307688631396</v>
      </c>
      <c r="K15" s="125">
        <f>(K14-J14)/J14</f>
        <v>-1.3923797570164027</v>
      </c>
      <c r="L15" s="125">
        <f>(L14-K14)/K14</f>
        <v>-5.7325332973846725</v>
      </c>
      <c r="M15" s="125">
        <f>(M14-I14)/I14</f>
        <v>24.930833563981057</v>
      </c>
      <c r="N15" s="125">
        <f>(N14-J14)/J14</f>
        <v>11.890340203029773</v>
      </c>
      <c r="O15" s="125">
        <f>(O14-K14)/K14</f>
        <v>-5.2824930205591993</v>
      </c>
      <c r="P15" s="125">
        <f>(P14-L14)/L14</f>
        <v>-1.0435148871419242</v>
      </c>
      <c r="Q15" s="36">
        <f>[7]!s_qfa_deductedprofit($A$5,Q7,1)/100000000</f>
        <v>0</v>
      </c>
    </row>
    <row r="16" spans="1:18">
      <c r="A16" s="8" t="s">
        <v>73</v>
      </c>
      <c r="B16" s="13">
        <f>[7]!s_qstm07_cs($A5,"W13116090",B6,1)/100000000</f>
        <v>0.80020987529999998</v>
      </c>
      <c r="C16" s="13">
        <f>[7]!s_qstm07_cs($A5,"W13116090",C6,1)/100000000</f>
        <v>-0.21679807379999999</v>
      </c>
      <c r="D16" s="13">
        <f>[7]!s_qstm07_cs($A5,"W13116090",D6,1)/100000000</f>
        <v>-0.66070571720000004</v>
      </c>
      <c r="E16" s="13">
        <f>[7]!s_qstm07_cs($A5,"W13116090",E6,1)/100000000</f>
        <v>-6.7800745100000004E-2</v>
      </c>
      <c r="F16" s="13">
        <f>[7]!s_qstm07_cs($A5,"W13116090",F6,1)/100000000</f>
        <v>0.34154678729999999</v>
      </c>
      <c r="G16" s="13">
        <f>[7]!s_qstm07_cs($A5,"W13116090",G6,1)/100000000</f>
        <v>9.9111391199999996E-2</v>
      </c>
      <c r="H16" s="13">
        <f>[7]!s_qstm07_cs($A5,"W13116090",H6,1)/100000000</f>
        <v>8.8057139100000001E-2</v>
      </c>
      <c r="I16" s="13">
        <f>[7]!s_qstm07_cs($A5,"W13116090",I6,1)/100000000</f>
        <v>-0.57871013640000002</v>
      </c>
      <c r="J16" s="13">
        <f>[7]!s_qstm07_cs($A5,"W13116090",J6,1)/100000000</f>
        <v>0.68760543200000002</v>
      </c>
      <c r="K16" s="13">
        <f>[7]!s_qstm07_cs($A5,"W13116090",K6,1)/100000000</f>
        <v>-2.4049956600000002E-2</v>
      </c>
      <c r="L16" s="13">
        <f>[7]!s_qstm07_cs($A5,"W13116090",L6,1)/100000000</f>
        <v>0.12028839869999999</v>
      </c>
      <c r="M16" s="13">
        <f>[7]!s_qstm07_cs($A5,"W13116090",M6,1)/100000000</f>
        <v>-1.1475159590999999</v>
      </c>
      <c r="N16" s="13">
        <f>[7]!s_qstm07_cs($A5,"W13116090",N6,1)/100000000</f>
        <v>-1.3064460920999998</v>
      </c>
      <c r="O16" s="13">
        <f>[7]!s_qstm07_cs($A5,"W13116090",O6,1)/100000000</f>
        <v>-1.5760735187999999</v>
      </c>
      <c r="P16" s="13">
        <f>[7]!s_qstm07_cs($A5,"W13116090",P6,1)/100000000</f>
        <v>0.38885615969999998</v>
      </c>
      <c r="Q16" s="36"/>
    </row>
    <row r="17" spans="1:17">
      <c r="A17" s="9" t="s">
        <v>69</v>
      </c>
      <c r="B17" s="125"/>
      <c r="C17" s="125"/>
      <c r="D17" s="125"/>
      <c r="E17" s="125"/>
      <c r="F17" s="125"/>
      <c r="G17" s="125"/>
      <c r="H17" s="125"/>
      <c r="I17" s="125"/>
      <c r="J17" s="125">
        <f>(J16-I16)/I16</f>
        <v>-2.1881689791670289</v>
      </c>
      <c r="K17" s="125">
        <f>(K16-J16)/J16</f>
        <v>-1.0349763912278109</v>
      </c>
      <c r="L17" s="125">
        <f>(L16-K16)/K16</f>
        <v>-6.0016056453091471</v>
      </c>
      <c r="M17" s="125">
        <f>(M16-I16)/I16</f>
        <v>0.98288553616563179</v>
      </c>
      <c r="N17" s="125">
        <f>(N16-J16)/J16</f>
        <v>-2.8999938501067568</v>
      </c>
      <c r="O17" s="125">
        <f>(O16-K16)/K16</f>
        <v>64.533320704620309</v>
      </c>
      <c r="P17" s="125">
        <f>(P16-L16)/L16</f>
        <v>2.2326987797868161</v>
      </c>
      <c r="Q17" s="36">
        <f>[7]!s_qstm07_cs($A$5,"W16360213",Q7,1,1)/100000000</f>
        <v>0</v>
      </c>
    </row>
    <row r="18" spans="1:17">
      <c r="A18" s="8" t="s">
        <v>74</v>
      </c>
      <c r="B18" s="13">
        <f t="shared" ref="B18:H18" si="2">B16/B11*100</f>
        <v>-190.70163657660083</v>
      </c>
      <c r="C18" s="13">
        <f t="shared" si="2"/>
        <v>100.44181038583532</v>
      </c>
      <c r="D18" s="13">
        <f t="shared" si="2"/>
        <v>244.97856262391448</v>
      </c>
      <c r="E18" s="13">
        <f t="shared" si="2"/>
        <v>-417.65584008057249</v>
      </c>
      <c r="F18" s="13">
        <f t="shared" si="2"/>
        <v>-199.15362737304127</v>
      </c>
      <c r="G18" s="13">
        <f t="shared" si="2"/>
        <v>-60.975394191715473</v>
      </c>
      <c r="H18" s="13">
        <f t="shared" si="2"/>
        <v>17.465025642753275</v>
      </c>
      <c r="I18" s="13">
        <f t="shared" ref="I18:N18" si="3">I16/I11*100</f>
        <v>-701.59234899727312</v>
      </c>
      <c r="J18" s="13">
        <f t="shared" si="3"/>
        <v>1021.7913791111087</v>
      </c>
      <c r="K18" s="13">
        <f t="shared" si="3"/>
        <v>-97.359229958268799</v>
      </c>
      <c r="L18" s="13">
        <f t="shared" si="3"/>
        <v>291.38863608143583</v>
      </c>
      <c r="M18" s="13">
        <f t="shared" si="3"/>
        <v>224.37663715175171</v>
      </c>
      <c r="N18" s="13">
        <f t="shared" si="3"/>
        <v>158.10371266364859</v>
      </c>
      <c r="O18" s="13">
        <f>O16/O11*100</f>
        <v>2406.930094098635</v>
      </c>
      <c r="P18" s="13">
        <f>P16/P11*100</f>
        <v>285.67134127945991</v>
      </c>
      <c r="Q18" s="36"/>
    </row>
    <row r="19" spans="1:17">
      <c r="A19" s="8"/>
      <c r="B19" s="13"/>
      <c r="C19" s="13"/>
      <c r="D19" s="13"/>
      <c r="E19" s="13"/>
      <c r="F19" s="13"/>
      <c r="G19" s="13"/>
      <c r="H19" s="13"/>
      <c r="I19" s="13"/>
      <c r="J19" s="13"/>
      <c r="K19" s="13"/>
      <c r="L19" s="13"/>
      <c r="M19" s="13"/>
      <c r="N19" s="13"/>
      <c r="O19" s="13"/>
      <c r="P19" s="13"/>
      <c r="Q19" s="36"/>
    </row>
    <row r="20" spans="1:17">
      <c r="A20" s="10" t="s">
        <v>75</v>
      </c>
      <c r="B20" s="14"/>
      <c r="C20" s="14"/>
      <c r="D20" s="14"/>
      <c r="E20" s="14"/>
      <c r="F20" s="14"/>
      <c r="G20" s="14"/>
      <c r="H20" s="14"/>
      <c r="I20" s="14"/>
      <c r="J20" s="14"/>
      <c r="K20" s="14"/>
      <c r="L20" s="14"/>
      <c r="M20" s="14"/>
      <c r="N20" s="14"/>
      <c r="O20" s="14"/>
      <c r="P20" s="14"/>
      <c r="Q20" s="36"/>
    </row>
    <row r="21" spans="1:17">
      <c r="A21" s="8" t="s">
        <v>131</v>
      </c>
      <c r="B21" s="13">
        <f>[7]!s_qfa_roe($A$5,B6)</f>
        <v>-2.9123220000000001</v>
      </c>
      <c r="C21" s="13">
        <f>[7]!s_qfa_roe($A$5,C6)</f>
        <v>-1.5534460000000001</v>
      </c>
      <c r="D21" s="13">
        <f>[7]!s_qfa_roe($A$5,D6)</f>
        <v>-1.976815</v>
      </c>
      <c r="E21" s="13">
        <f>[7]!s_qfa_roe($A$5,E6)</f>
        <v>0.118863</v>
      </c>
      <c r="F21" s="13">
        <f>[7]!s_qfa_roe($A$5,F6)</f>
        <v>-1.2503919999999999</v>
      </c>
      <c r="G21" s="13">
        <f>[7]!s_qfa_roe($A$5,G6)</f>
        <v>-1.2007410000000001</v>
      </c>
      <c r="H21" s="13">
        <f>[7]!s_qfa_roe($A$5,H6)</f>
        <v>3.6730640000000001</v>
      </c>
      <c r="I21" s="13">
        <f>[7]!s_qfa_roe($A$5,I6)</f>
        <v>0.58785699999999996</v>
      </c>
      <c r="J21" s="13">
        <f>[7]!s_qfa_roe($A$5,J6)</f>
        <v>0.47526800000000002</v>
      </c>
      <c r="K21" s="13">
        <f>[7]!s_qfa_roe($A$5,K6)</f>
        <v>0.17338700000000001</v>
      </c>
      <c r="L21" s="13">
        <f>[7]!s_qfa_roe($A$5,L6)</f>
        <v>0.28882099999999999</v>
      </c>
      <c r="M21" s="13">
        <f>[7]!s_qfa_roe($A$5,M6)</f>
        <v>-2.9117799999999998</v>
      </c>
      <c r="N21" s="13">
        <f>[7]!s_qfa_roe($A$5,N6)</f>
        <v>-4.0641970000000001</v>
      </c>
      <c r="O21" s="13">
        <f>[7]!s_qfa_roe($A$5,O6)</f>
        <v>-0.330285</v>
      </c>
      <c r="P21" s="13">
        <f>[7]!s_qfa_roe($A$5,P6)</f>
        <v>0.68537999999999999</v>
      </c>
      <c r="Q21" s="36"/>
    </row>
    <row r="22" spans="1:17">
      <c r="A22" s="11" t="s">
        <v>132</v>
      </c>
      <c r="B22" s="13">
        <f xml:space="preserve"> [7]!s_qfa_roe_deducted($A5,B6)</f>
        <v>-6.8048000000000002</v>
      </c>
      <c r="C22" s="13">
        <f xml:space="preserve"> [7]!s_qfa_roe_deducted($A5,C6)</f>
        <v>-2.6685460000000001</v>
      </c>
      <c r="D22" s="13">
        <f xml:space="preserve"> [7]!s_qfa_roe_deducted($A5,D6)</f>
        <v>-2.4269159999999999</v>
      </c>
      <c r="E22" s="13">
        <f xml:space="preserve"> [7]!s_qfa_roe_deducted($A5,E6)</f>
        <v>-1.0050159999999999</v>
      </c>
      <c r="F22" s="13">
        <f xml:space="preserve"> [7]!s_qfa_roe_deducted($A5,F6)</f>
        <v>0.58114299999999997</v>
      </c>
      <c r="G22" s="13">
        <f xml:space="preserve"> [7]!s_qfa_roe_deducted($A5,G6)</f>
        <v>-2.5124780000000002</v>
      </c>
      <c r="H22" s="13">
        <f xml:space="preserve"> [7]!s_qfa_roe_deducted($A5,H6)</f>
        <v>-1.4381679999999999</v>
      </c>
      <c r="I22" s="13">
        <f xml:space="preserve"> [7]!s_qfa_roe_deducted($A5,I6)</f>
        <v>-0.13719200000000001</v>
      </c>
      <c r="J22" s="13">
        <f xml:space="preserve"> [7]!s_qfa_roe_deducted($A5,J6)</f>
        <v>-0.547319</v>
      </c>
      <c r="K22" s="13">
        <f xml:space="preserve"> [7]!s_qfa_roe_deducted($A5,K6)</f>
        <v>0.21343400000000001</v>
      </c>
      <c r="L22" s="13">
        <f xml:space="preserve"> [7]!s_qfa_roe_deducted($A5,L6)</f>
        <v>-1.006829</v>
      </c>
      <c r="M22" s="13">
        <f xml:space="preserve"> [7]!s_qfa_roe_deducted($A5,M6)</f>
        <v>-2.8420239999999999</v>
      </c>
      <c r="N22" s="13">
        <f xml:space="preserve"> [7]!s_qfa_roe_deducted($A5,N6)</f>
        <v>-4.9132429999999996</v>
      </c>
      <c r="O22" s="13">
        <f xml:space="preserve"> [7]!s_qfa_roe_deducted($A5,O6)</f>
        <v>-0.65683599999999998</v>
      </c>
      <c r="P22" s="13">
        <f xml:space="preserve"> [7]!s_qfa_roe_deducted($A5,P6)</f>
        <v>3.1530000000000002E-2</v>
      </c>
      <c r="Q22" s="36"/>
    </row>
    <row r="23" spans="1:17">
      <c r="A23" s="8" t="s">
        <v>78</v>
      </c>
      <c r="B23" s="13">
        <f>[7]!s_qfa_grossprofitmargin($A$5,B6)</f>
        <v>8.7276000000000007</v>
      </c>
      <c r="C23" s="13">
        <f>[7]!s_qfa_grossprofitmargin($A$5,C6)</f>
        <v>3.6556000000000002</v>
      </c>
      <c r="D23" s="13">
        <f>[7]!s_qfa_grossprofitmargin($A$5,D6)</f>
        <v>11.6517</v>
      </c>
      <c r="E23" s="13">
        <f>[7]!s_qfa_grossprofitmargin($A$5,E6)</f>
        <v>17.304500000000001</v>
      </c>
      <c r="F23" s="13">
        <f>[7]!s_qfa_grossprofitmargin($A$5,F6)</f>
        <v>16.037700000000001</v>
      </c>
      <c r="G23" s="13">
        <f>[7]!s_qfa_grossprofitmargin($A$5,G6)</f>
        <v>8.4137000000000004</v>
      </c>
      <c r="H23" s="13">
        <f>[7]!s_qfa_grossprofitmargin($A$5,H6)</f>
        <v>23.674099999999999</v>
      </c>
      <c r="I23" s="13">
        <f>[7]!s_qfa_grossprofitmargin($A$5,I6)</f>
        <v>15.7979</v>
      </c>
      <c r="J23" s="13">
        <f>[7]!s_qfa_grossprofitmargin($A$5,J6)</f>
        <v>18.6479</v>
      </c>
      <c r="K23" s="13">
        <f>[7]!s_qfa_grossprofitmargin($A$5,K6)</f>
        <v>15.481199999999999</v>
      </c>
      <c r="L23" s="13">
        <f>[7]!s_qfa_grossprofitmargin($A$5,L6)</f>
        <v>12.725199999999999</v>
      </c>
      <c r="M23" s="13">
        <f>[7]!s_qfa_grossprofitmargin($A$5,M6)</f>
        <v>9.9047999999999998</v>
      </c>
      <c r="N23" s="13">
        <f>[7]!s_qfa_grossprofitmargin($A$5,N6)</f>
        <v>12.2056</v>
      </c>
      <c r="O23" s="13">
        <f>[7]!s_qfa_grossprofitmargin($A$5,O6)</f>
        <v>10.7888</v>
      </c>
      <c r="P23" s="13">
        <f>[7]!s_qfa_grossprofitmargin($A$5,P6)</f>
        <v>9.7475000000000005</v>
      </c>
      <c r="Q23" s="36"/>
    </row>
    <row r="24" spans="1:17">
      <c r="A24" s="8" t="s">
        <v>79</v>
      </c>
      <c r="B24" s="13">
        <f>[7]!s_qfa_netprofitmargin($A$5,B6)</f>
        <v>-7.8357000000000001</v>
      </c>
      <c r="C24" s="13">
        <f>[7]!s_qfa_netprofitmargin($A$5,C6)</f>
        <v>-10.793799999999999</v>
      </c>
      <c r="D24" s="13">
        <f>[7]!s_qfa_netprofitmargin($A$5,D6)</f>
        <v>-8.2789000000000001</v>
      </c>
      <c r="E24" s="13">
        <f>[7]!s_qfa_netprofitmargin($A$5,E6)</f>
        <v>0.21060000000000001</v>
      </c>
      <c r="F24" s="13">
        <f>[7]!s_qfa_netprofitmargin($A$5,F6)</f>
        <v>-2.5293000000000001</v>
      </c>
      <c r="G24" s="13">
        <f>[7]!s_qfa_netprofitmargin($A$5,G6)</f>
        <v>-8.1622000000000003</v>
      </c>
      <c r="H24" s="13">
        <f>[7]!s_qfa_netprofitmargin($A$5,H6)</f>
        <v>11.747999999999999</v>
      </c>
      <c r="I24" s="13">
        <f>[7]!s_qfa_netprofitmargin($A$5,I6)</f>
        <v>1.8892</v>
      </c>
      <c r="J24" s="13">
        <f>[7]!s_qfa_netprofitmargin($A$5,J6)</f>
        <v>0.89549999999999996</v>
      </c>
      <c r="K24" s="13">
        <f>[7]!s_qfa_netprofitmargin($A$5,K6)</f>
        <v>0.44290000000000002</v>
      </c>
      <c r="L24" s="13">
        <f>[7]!s_qfa_netprofitmargin($A$5,L6)</f>
        <v>0.70750000000000002</v>
      </c>
      <c r="M24" s="13">
        <f>[7]!s_qfa_netprofitmargin($A$5,M6)</f>
        <v>-8.8670000000000009</v>
      </c>
      <c r="N24" s="13">
        <f>[7]!s_qfa_netprofitmargin($A$5,N6)</f>
        <v>-14.5379</v>
      </c>
      <c r="O24" s="13">
        <f>[7]!s_qfa_netprofitmargin($A$5,O6)</f>
        <v>-1.4012</v>
      </c>
      <c r="P24" s="13">
        <f>[7]!s_qfa_netprofitmargin($A$5,P6)</f>
        <v>1.9005000000000001</v>
      </c>
      <c r="Q24" s="36"/>
    </row>
    <row r="25" spans="1:17">
      <c r="A25" s="8" t="s">
        <v>80</v>
      </c>
      <c r="B25" s="13">
        <f>[7]!s_qfa_deductedprofit($A5,B6)/B9/100000000*100</f>
        <v>-20.400961489204121</v>
      </c>
      <c r="C25" s="13">
        <f>[7]!s_qfa_deductedprofit($A5,C6)/C9/100000000*100</f>
        <v>-17.926869942380666</v>
      </c>
      <c r="D25" s="13">
        <f>[7]!s_qfa_deductedprofit($A5,D6)/D9/100000000*100</f>
        <v>-9.8625614199559184</v>
      </c>
      <c r="E25" s="13">
        <f>[7]!s_qfa_deductedprofit($A5,E6)/E9/100000000*100</f>
        <v>-2.7629725475965707</v>
      </c>
      <c r="F25" s="13">
        <f>[7]!s_qfa_deductedprofit($A5,F6)/F9/100000000*100</f>
        <v>1.3160214867748099</v>
      </c>
      <c r="G25" s="13">
        <f>[7]!s_qfa_deductedprofit($A5,G6)/G9/100000000*100</f>
        <v>-17.036494973558185</v>
      </c>
      <c r="H25" s="13">
        <f>[7]!s_qfa_deductedprofit($A5,H6)/H9/100000000*100</f>
        <v>-4.612226573489667</v>
      </c>
      <c r="I25" s="13">
        <f>[7]!s_qfa_deductedprofit($A5,I6)/I9/100000000*100</f>
        <v>-0.45489672004563148</v>
      </c>
      <c r="J25" s="13">
        <f>[7]!s_qfa_deductedprofit($A5,J6)/J9/100000000*100</f>
        <v>-1.1164228237966636</v>
      </c>
      <c r="K25" s="13">
        <f>[7]!s_qfa_deductedprofit($A5,K6)/K9/100000000*100</f>
        <v>0.7047371054177356</v>
      </c>
      <c r="L25" s="13">
        <f>[7]!s_qfa_deductedprofit($A5,L6)/L9/100000000*100</f>
        <v>-2.911638467766859</v>
      </c>
      <c r="M25" s="13">
        <f>[7]!s_qfa_deductedprofit($A5,M6)/M9/100000000*100</f>
        <v>-8.6482551921475839</v>
      </c>
      <c r="N25" s="13">
        <f>[7]!s_qfa_deductedprofit($A5,N6)/N9/100000000*100</f>
        <v>-17.448174404870418</v>
      </c>
      <c r="O25" s="13">
        <f>[7]!s_qfa_deductedprofit($A5,O6)/O9/100000000*100</f>
        <v>-2.7863887229940794</v>
      </c>
      <c r="P25" s="13">
        <f>[7]!s_qfa_deductedprofit($A5,P6)/P9/100000000*100</f>
        <v>8.7431006256313837E-2</v>
      </c>
      <c r="Q25" s="36"/>
    </row>
    <row r="26" spans="1:17">
      <c r="A26" s="8" t="s">
        <v>82</v>
      </c>
      <c r="B26" s="13">
        <f>[7]!s_qfa_roa($A5,B6)</f>
        <v>-1.4638</v>
      </c>
      <c r="C26" s="13">
        <f>[7]!s_qfa_roa($A5,C6)</f>
        <v>-0.88819999999999999</v>
      </c>
      <c r="D26" s="13">
        <f>[7]!s_qfa_roa($A5,D6)</f>
        <v>-1.0576000000000001</v>
      </c>
      <c r="E26" s="13">
        <f>[7]!s_qfa_roa($A5,E6)</f>
        <v>3.8399999999999997E-2</v>
      </c>
      <c r="F26" s="13">
        <f>[7]!s_qfa_roa($A5,F6)</f>
        <v>-0.55940000000000001</v>
      </c>
      <c r="G26" s="13">
        <f>[7]!s_qfa_roa($A5,G6)</f>
        <v>-0.62170000000000003</v>
      </c>
      <c r="H26" s="13">
        <f>[7]!s_qfa_roa($A5,H6)</f>
        <v>1.98</v>
      </c>
      <c r="I26" s="13">
        <f>[7]!s_qfa_roa($A5,I6)</f>
        <v>0.29899999999999999</v>
      </c>
      <c r="J26" s="13">
        <f>[7]!s_qfa_roa($A5,J6)</f>
        <v>0.20860000000000001</v>
      </c>
      <c r="K26" s="13">
        <f>[7]!s_qfa_roa($A5,K6)</f>
        <v>5.8599999999999999E-2</v>
      </c>
      <c r="L26" s="13">
        <f>[7]!s_qfa_roa($A5,L6)</f>
        <v>0.1003</v>
      </c>
      <c r="M26" s="13">
        <f>[7]!s_qfa_roa($A5,M6)</f>
        <v>-1.3133999999999999</v>
      </c>
      <c r="N26" s="13">
        <f>[7]!s_qfa_roa($A5,N6)</f>
        <v>-2.0289999999999999</v>
      </c>
      <c r="O26" s="13">
        <f>[7]!s_qfa_roa($A5,O6)</f>
        <v>-0.15679999999999999</v>
      </c>
      <c r="P26" s="13">
        <f>[7]!s_qfa_roa($A5,P6)</f>
        <v>0.31850000000000001</v>
      </c>
      <c r="Q26" s="36"/>
    </row>
    <row r="27" spans="1:17">
      <c r="A27" s="8" t="s">
        <v>83</v>
      </c>
      <c r="B27" s="13">
        <f>IF(MONTH(B6)=3,[7]!s_fa_ebitda2_ttm($A5,B6),[7]!s_fa_ebitda2_ttm($A5,B6)-[7]!s_fa_ebitda2_ttm($A5,#REF!))/B9/100000000*100</f>
        <v>-0.67085350502481922</v>
      </c>
      <c r="C27" s="13">
        <f>IF(MONTH(C6)=3,[7]!s_fa_ebitda2_ttm($A5,C6),[7]!s_fa_ebitda2_ttm($A5,C6)-[7]!s_fa_ebitda2_ttm($A5,#REF!))/C9/100000000*100</f>
        <v>-1.5587893368674584</v>
      </c>
      <c r="D27" s="13">
        <f>IF(MONTH(D6)=3,[7]!s_fa_ebitda2_ttm($A5,D6),[7]!s_fa_ebitda2_ttm($A5,D6)-[7]!s_fa_ebitda2_ttm($A5,#REF!))/D9/100000000*100</f>
        <v>-14.548527436339443</v>
      </c>
      <c r="E27" s="13">
        <f>IF(MONTH(E6)=3,[7]!s_fa_ebitda2_ttm($A5,E6),[7]!s_fa_ebitda2_ttm($A5,E6)-[7]!s_fa_ebitda2_ttm($A5,#REF!))/E9/100000000*100</f>
        <v>-0.64899112893671695</v>
      </c>
      <c r="F27" s="13">
        <f>IF(MONTH(F6)=3,[7]!s_fa_ebitda2_ttm($A5,F6),[7]!s_fa_ebitda2_ttm($A5,F6)-[7]!s_fa_ebitda2_ttm($A5,#REF!))/F9/100000000*100</f>
        <v>5.3366290337724003</v>
      </c>
      <c r="G27" s="13">
        <f>IF(MONTH(G6)=3,[7]!s_fa_ebitda2_ttm($A5,G6),[7]!s_fa_ebitda2_ttm($A5,G6)-[7]!s_fa_ebitda2_ttm($A5,#REF!))/G9/100000000*100</f>
        <v>16.190522131638406</v>
      </c>
      <c r="H27" s="13">
        <f>IF(MONTH(H6)=3,[7]!s_fa_ebitda2_ttm($A5,H6),[7]!s_fa_ebitda2_ttm($A5,H6)-[7]!s_fa_ebitda2_ttm($A5,#REF!))/H9/100000000*100</f>
        <v>30.138887153606085</v>
      </c>
      <c r="I27" s="13">
        <f>IF(MONTH(I6)=3,[7]!s_fa_ebitda2_ttm($A5,I6),[7]!s_fa_ebitda2_ttm($A5,I6)-[7]!s_fa_ebitda2_ttm($A5,#REF!))/I9/100000000*100</f>
        <v>7.6380348030610943</v>
      </c>
      <c r="J27" s="13">
        <f>IF(MONTH(J6)=3,[7]!s_fa_ebitda2_ttm($A5,J6),[7]!s_fa_ebitda2_ttm($A5,J6)-[7]!s_fa_ebitda2_ttm($A5,I6))/J9/100000000*100</f>
        <v>11.489242062068712</v>
      </c>
      <c r="K27" s="13">
        <f>IF(MONTH(K6)=3,[7]!s_fa_ebitda2_ttm($A5,K6),[7]!s_fa_ebitda2_ttm($A5,K6)-[7]!s_fa_ebitda2_ttm($A5,J6))/K9/100000000*100</f>
        <v>25.974541298173559</v>
      </c>
      <c r="L27" s="13">
        <f>IF(MONTH(L6)=3,[7]!s_fa_ebitda2_ttm($A5,L6),[7]!s_fa_ebitda2_ttm($A5,L6)-[7]!s_fa_ebitda2_ttm($A5,K6))/L9/100000000*100</f>
        <v>-3.6739952572197421</v>
      </c>
      <c r="M27" s="13">
        <f>IF(MONTH(M6)=3,[7]!s_fa_ebitda2_ttm($A5,M6),[7]!s_fa_ebitda2_ttm($A5,M6)-[7]!s_fa_ebitda2_ttm($A5,L6))/M9/100000000*100</f>
        <v>3.1459959597521618</v>
      </c>
      <c r="N27" s="13">
        <f>IF(MONTH(N6)=3,[7]!s_fa_ebitda2_ttm($A5,N6),[7]!s_fa_ebitda2_ttm($A5,N6)-[7]!s_fa_ebitda2_ttm($A5,M6))/N9/100000000*100</f>
        <v>-11.495060104078712</v>
      </c>
      <c r="O27" s="13">
        <f>IF(MONTH(O6)=3,[7]!s_fa_ebitda2_ttm($A5,O6),[7]!s_fa_ebitda2_ttm($A5,O6)-[7]!s_fa_ebitda2_ttm($A5,N6))/O9/100000000*100</f>
        <v>9.8989256226106495</v>
      </c>
      <c r="P27" s="13">
        <f>IF(MONTH(P6)=3,[7]!s_fa_ebitda2_ttm($A5,P6),[7]!s_fa_ebitda2_ttm($A5,P6)-[7]!s_fa_ebitda2_ttm($A5,O6))/P9/100000000*100</f>
        <v>1.6616058256659294</v>
      </c>
      <c r="Q27" s="36"/>
    </row>
    <row r="28" spans="1:17">
      <c r="A28" s="10" t="s">
        <v>84</v>
      </c>
      <c r="B28" s="14"/>
      <c r="C28" s="14"/>
      <c r="D28" s="14"/>
      <c r="E28" s="14"/>
      <c r="F28" s="14"/>
      <c r="G28" s="14"/>
      <c r="H28" s="14"/>
      <c r="I28" s="14"/>
      <c r="J28" s="14"/>
      <c r="K28" s="14"/>
      <c r="L28" s="14"/>
      <c r="M28" s="14"/>
      <c r="N28" s="14"/>
      <c r="O28" s="14"/>
      <c r="P28" s="14"/>
      <c r="Q28" s="36"/>
    </row>
    <row r="29" spans="1:17">
      <c r="A29" s="8" t="s">
        <v>85</v>
      </c>
      <c r="B29" s="13">
        <f>[7]!s_qstm07_is($A5,"W17952062",B6,1)/100000000</f>
        <v>0.1097106024</v>
      </c>
      <c r="C29" s="13">
        <f>[7]!s_qstm07_is($A5,"W17952062",C6,1)/100000000</f>
        <v>6.2724368700000005E-2</v>
      </c>
      <c r="D29" s="13">
        <f>[7]!s_qstm07_is($A5,"W17952062",D6,1)/100000000</f>
        <v>9.4250674800000003E-2</v>
      </c>
      <c r="E29" s="13">
        <f>[7]!s_qstm07_is($A5,"W17952062",E6,1)/100000000</f>
        <v>9.5475898200000006E-2</v>
      </c>
      <c r="F29" s="13">
        <f>[7]!s_qstm07_is($A5,"W17952062",F6,1)/100000000</f>
        <v>0.1315942467</v>
      </c>
      <c r="G29" s="13">
        <f>[7]!s_qstm07_is($A5,"W17952062",G6,1)/100000000</f>
        <v>7.0924726399999999E-2</v>
      </c>
      <c r="H29" s="13">
        <f>[7]!s_qstm07_is($A5,"W17952062",H6,1)/100000000</f>
        <v>8.4086706899999988E-2</v>
      </c>
      <c r="I29" s="13">
        <f>[7]!s_qstm07_is($A5,"W17952062",I6,1)/100000000</f>
        <v>0.10562285880000001</v>
      </c>
      <c r="J29" s="13">
        <f>[7]!s_qstm07_is($A5,"W17952062",J6,1)/100000000</f>
        <v>8.5446510399999995E-2</v>
      </c>
      <c r="K29" s="13">
        <f>[7]!s_qstm07_is($A5,"W17952062",K6,1)/100000000</f>
        <v>0.1062682653</v>
      </c>
      <c r="L29" s="13">
        <f>[7]!s_qstm07_is($A5,"W17952062",L6,1)/100000000</f>
        <v>0.1215684928</v>
      </c>
      <c r="M29" s="13">
        <f>[7]!s_qstm07_is($A5,"W17952062",M6,1)/100000000</f>
        <v>0.1249240225</v>
      </c>
      <c r="N29" s="13">
        <f>[7]!s_qstm07_is($A5,"W17952062",N6,1)/100000000</f>
        <v>0.15290334460000002</v>
      </c>
      <c r="O29" s="13">
        <f>[7]!s_qstm07_is($A5,"W17952062",O6,1)/100000000</f>
        <v>6.8623663299999998E-2</v>
      </c>
      <c r="P29" s="13">
        <f>[7]!s_qstm07_is($A5,"W17952062",P6,1)/100000000</f>
        <v>8.6830632200000007E-2</v>
      </c>
      <c r="Q29" s="36"/>
    </row>
    <row r="30" spans="1:17">
      <c r="A30" s="8" t="s">
        <v>86</v>
      </c>
      <c r="B30" s="13">
        <f>[7]!s_qstm07_is($A$5,"W10628433",B6,1)/100000000</f>
        <v>0.40799178380000001</v>
      </c>
      <c r="C30" s="13">
        <f>[7]!s_qstm07_is($A$5,"W10628433",C6,1)/100000000</f>
        <v>0.24547237239999997</v>
      </c>
      <c r="D30" s="13">
        <f>[7]!s_qstm07_is($A$5,"W10628433",D6,1)/100000000</f>
        <v>0.2780032757</v>
      </c>
      <c r="E30" s="13">
        <f>[7]!s_qstm07_is($A$5,"W10628433",E6,1)/100000000</f>
        <v>0.33247396769999998</v>
      </c>
      <c r="F30" s="13">
        <f>[7]!s_qstm07_is($A$5,"W10628433",F6,1)/100000000</f>
        <v>0.44450583869999999</v>
      </c>
      <c r="G30" s="13">
        <f>[7]!s_qstm07_is($A$5,"W10628433",G6,1)/100000000</f>
        <v>0.24009664750000001</v>
      </c>
      <c r="H30" s="13">
        <f>[7]!s_qstm07_is($A$5,"W10628433",H6,1)/100000000</f>
        <v>0.2377869953</v>
      </c>
      <c r="I30" s="13">
        <f>[7]!s_qstm07_is($A$5,"W10628433",I6,1)/100000000</f>
        <v>0.23505026329999998</v>
      </c>
      <c r="J30" s="13">
        <f>[7]!s_qstm07_is($A$5,"W10628433",J6,1)/100000000</f>
        <v>0.2610116233</v>
      </c>
      <c r="K30" s="13">
        <f>[7]!s_qstm07_is($A$5,"W10628433",K6,1)/100000000</f>
        <v>0.27269142899999999</v>
      </c>
      <c r="L30" s="13">
        <f>[7]!s_qstm07_is($A$5,"W10628433",L6,1)/100000000</f>
        <v>0.27072850239999996</v>
      </c>
      <c r="M30" s="13">
        <f>[7]!s_qstm07_is($A$5,"W10628433",M6,1)/100000000</f>
        <v>0.33856390979999995</v>
      </c>
      <c r="N30" s="13">
        <f>[7]!s_qstm07_is($A$5,"W10628433",N6,1)/100000000</f>
        <v>0.4849745412</v>
      </c>
      <c r="O30" s="13">
        <f>[7]!s_qstm07_is($A$5,"W10628433",O6,1)/100000000</f>
        <v>0.19863691120000002</v>
      </c>
      <c r="P30" s="13">
        <f>[7]!s_qstm07_is($A$5,"W10628433",P6,1)/100000000</f>
        <v>0.2036380941</v>
      </c>
      <c r="Q30" s="36"/>
    </row>
    <row r="31" spans="1:17">
      <c r="A31" s="12" t="s">
        <v>87</v>
      </c>
      <c r="B31" s="125">
        <f>[7]!s_qstm07_is_103($A$5,B6,1)/100000000</f>
        <v>0.17255885800000001</v>
      </c>
      <c r="C31" s="125">
        <f>[7]!s_qstm07_is_103($A$5,C6,1)/100000000</f>
        <v>0.14957482729999999</v>
      </c>
      <c r="D31" s="125">
        <f>[7]!s_qstm07_is_103($A$5,D6,1)/100000000</f>
        <v>0.17084515379999998</v>
      </c>
      <c r="E31" s="125">
        <f>[7]!s_qstm07_is_103($A$5,E6,1)/100000000</f>
        <v>0.20489370199999998</v>
      </c>
      <c r="F31" s="125">
        <f>[7]!s_qstm07_is_103($A$5,F6,1)/100000000</f>
        <v>0.16002228909999999</v>
      </c>
      <c r="G31" s="125">
        <f>[7]!s_qstm07_is_103($A$5,G6,1)/100000000</f>
        <v>0.17829533399999997</v>
      </c>
      <c r="H31" s="125">
        <f>[7]!s_qstm07_is_103($A$5,H6,1)/100000000</f>
        <v>0.22593237050000001</v>
      </c>
      <c r="I31" s="125">
        <f>[7]!s_qstm07_is_103($A$5,I6,1)/100000000</f>
        <v>0.23258013250000001</v>
      </c>
      <c r="J31" s="125">
        <f>[7]!s_qstm07_is_103($A$5,J6,1)/100000000</f>
        <v>0.20849950910000001</v>
      </c>
      <c r="K31" s="125">
        <f>[7]!s_qstm07_is_103($A$5,K6,1)/100000000</f>
        <v>0.2529418222</v>
      </c>
      <c r="L31" s="125">
        <f>[7]!s_qstm07_is_103($A$5,L6,1)/100000000</f>
        <v>0.27893220790000001</v>
      </c>
      <c r="M31" s="125">
        <f>[7]!s_qstm07_is_103($A$5,M6,1)/100000000</f>
        <v>0.29609984140000001</v>
      </c>
      <c r="N31" s="125">
        <f>[7]!s_qstm07_is_103($A$5,N6,1)/100000000</f>
        <v>0.18672919930000001</v>
      </c>
      <c r="O31" s="125">
        <f>[7]!s_qstm07_is_103($A$5,O6,1)/100000000</f>
        <v>0.16853317039999999</v>
      </c>
      <c r="P31" s="125">
        <f>[7]!s_qstm07_is_103($A$5,P6,1)/100000000</f>
        <v>0.1985107304</v>
      </c>
      <c r="Q31" s="36"/>
    </row>
    <row r="32" spans="1:17">
      <c r="A32" s="8" t="s">
        <v>88</v>
      </c>
      <c r="B32" s="13">
        <f>[7]!s_qstm07_is($A$5,"W13069920",B6,1)/100000000</f>
        <v>-5.7045137999999999E-3</v>
      </c>
      <c r="C32" s="13">
        <f>[7]!s_qstm07_is($A$5,"W13069920",C6,1)/100000000</f>
        <v>2.7669688900000003E-2</v>
      </c>
      <c r="D32" s="13">
        <f>[7]!s_qstm07_is($A$5,"W13069920",D6,1)/100000000</f>
        <v>1.1599199899999999E-2</v>
      </c>
      <c r="E32" s="13">
        <f>[7]!s_qstm07_is($A$5,"W13069920",E6,1)/100000000</f>
        <v>2.1866824999999999E-3</v>
      </c>
      <c r="F32" s="13">
        <f>[7]!s_qstm07_is($A$5,"W13069920",F6,1)/100000000</f>
        <v>7.9295181300000003E-2</v>
      </c>
      <c r="G32" s="13">
        <f>[7]!s_qstm07_is($A$5,"W13069920",G6,1)/100000000</f>
        <v>2.2595246800000003E-2</v>
      </c>
      <c r="H32" s="13">
        <f>[7]!s_qstm07_is($A$5,"W13069920",H6,1)/100000000</f>
        <v>1.0713079299999999E-2</v>
      </c>
      <c r="I32" s="13">
        <f>[7]!s_qstm07_is($A$5,"W13069920",I6,1)/100000000</f>
        <v>4.6467279600000001E-2</v>
      </c>
      <c r="J32" s="13">
        <f>[7]!s_qstm07_is($A$5,"W13069920",J6,1)/100000000</f>
        <v>5.09066413E-2</v>
      </c>
      <c r="K32" s="13">
        <f>[7]!s_qstm07_is($A$5,"W13069920",K6,1)/100000000</f>
        <v>2.86272864E-2</v>
      </c>
      <c r="L32" s="13">
        <f>[7]!s_qstm07_is($A$5,"W13069920",L6,1)/100000000</f>
        <v>6.6307121299999994E-2</v>
      </c>
      <c r="M32" s="13">
        <f>[7]!s_qstm07_is($A$5,"W13069920",M6,1)/100000000</f>
        <v>3.4594509199999998E-2</v>
      </c>
      <c r="N32" s="13">
        <f>[7]!s_qstm07_is($A$5,"W13069920",N6,1)/100000000</f>
        <v>0.10511788029999999</v>
      </c>
      <c r="O32" s="13">
        <f>[7]!s_qstm07_is($A$5,"W13069920",O6,1)/100000000</f>
        <v>4.6101217999999999E-2</v>
      </c>
      <c r="P32" s="13">
        <f>[7]!s_qstm07_is($A$5,"W13069920",P6,1)/100000000</f>
        <v>-2.1582926299999999E-2</v>
      </c>
      <c r="Q32" s="36"/>
    </row>
    <row r="33" spans="1:17">
      <c r="A33" s="12" t="s">
        <v>84</v>
      </c>
      <c r="B33" s="125">
        <f t="shared" ref="B33:H33" si="4">SUM(B29:B32)</f>
        <v>0.68455673039999998</v>
      </c>
      <c r="C33" s="125">
        <f t="shared" si="4"/>
        <v>0.48544125729999993</v>
      </c>
      <c r="D33" s="125">
        <f t="shared" si="4"/>
        <v>0.55469830419999999</v>
      </c>
      <c r="E33" s="125">
        <f t="shared" si="4"/>
        <v>0.63503025039999994</v>
      </c>
      <c r="F33" s="125">
        <f t="shared" si="4"/>
        <v>0.81541755580000008</v>
      </c>
      <c r="G33" s="125">
        <f t="shared" si="4"/>
        <v>0.51191195469999995</v>
      </c>
      <c r="H33" s="125">
        <f t="shared" si="4"/>
        <v>0.55851915200000002</v>
      </c>
      <c r="I33" s="125">
        <f t="shared" ref="I33:N33" si="5">SUM(I29:I32)</f>
        <v>0.61972053419999995</v>
      </c>
      <c r="J33" s="125">
        <f t="shared" si="5"/>
        <v>0.60586428410000004</v>
      </c>
      <c r="K33" s="125">
        <f t="shared" si="5"/>
        <v>0.66052880289999993</v>
      </c>
      <c r="L33" s="125">
        <f t="shared" si="5"/>
        <v>0.73753632439999994</v>
      </c>
      <c r="M33" s="125">
        <f t="shared" si="5"/>
        <v>0.79418228289999993</v>
      </c>
      <c r="N33" s="125">
        <f t="shared" si="5"/>
        <v>0.92972496540000005</v>
      </c>
      <c r="O33" s="125">
        <f>SUM(O29:O32)</f>
        <v>0.4818949629</v>
      </c>
      <c r="P33" s="125">
        <f>SUM(P29:P32)</f>
        <v>0.46739653039999995</v>
      </c>
      <c r="Q33" s="36"/>
    </row>
    <row r="34" spans="1:17">
      <c r="A34" s="8" t="s">
        <v>89</v>
      </c>
      <c r="B34" s="13">
        <f t="shared" ref="B34:H34" si="6">B29/B$9</f>
        <v>2.2828312365974296E-2</v>
      </c>
      <c r="C34" s="13">
        <f t="shared" si="6"/>
        <v>3.0326426529194508E-2</v>
      </c>
      <c r="D34" s="13">
        <f t="shared" si="6"/>
        <v>2.8074070024427158E-2</v>
      </c>
      <c r="E34" s="13">
        <f t="shared" si="6"/>
        <v>1.921896636899996E-2</v>
      </c>
      <c r="F34" s="13">
        <f t="shared" si="6"/>
        <v>2.1727076195305853E-2</v>
      </c>
      <c r="G34" s="13">
        <f t="shared" si="6"/>
        <v>3.5526783890583703E-2</v>
      </c>
      <c r="H34" s="13">
        <f t="shared" si="6"/>
        <v>1.9645425646970638E-2</v>
      </c>
      <c r="I34" s="13">
        <f t="shared" ref="I34:N38" si="7">I29/I$9</f>
        <v>2.4959559781792123E-2</v>
      </c>
      <c r="J34" s="13">
        <f t="shared" si="7"/>
        <v>1.2309616089907676E-2</v>
      </c>
      <c r="K34" s="13">
        <f t="shared" si="7"/>
        <v>2.4628933531660679E-2</v>
      </c>
      <c r="L34" s="13">
        <f t="shared" si="7"/>
        <v>2.4596860590417647E-2</v>
      </c>
      <c r="M34" s="13">
        <f t="shared" si="7"/>
        <v>2.1643334739579606E-2</v>
      </c>
      <c r="N34" s="13">
        <f t="shared" si="7"/>
        <v>2.670693628851626E-2</v>
      </c>
      <c r="O34" s="13">
        <f t="shared" ref="O34:P38" si="8">O29/O$9</f>
        <v>1.4683642931306579E-2</v>
      </c>
      <c r="P34" s="13">
        <f t="shared" si="8"/>
        <v>1.2123325817721005E-2</v>
      </c>
      <c r="Q34" s="36"/>
    </row>
    <row r="35" spans="1:17">
      <c r="A35" s="8" t="s">
        <v>90</v>
      </c>
      <c r="B35" s="13">
        <f t="shared" ref="B35:H35" si="9">B30/B$9</f>
        <v>8.4893927109978673E-2</v>
      </c>
      <c r="C35" s="13">
        <f t="shared" si="9"/>
        <v>0.11868273879551493</v>
      </c>
      <c r="D35" s="13">
        <f t="shared" si="9"/>
        <v>8.280771936735172E-2</v>
      </c>
      <c r="E35" s="13">
        <f t="shared" si="9"/>
        <v>6.6925853794107357E-2</v>
      </c>
      <c r="F35" s="13">
        <f t="shared" si="9"/>
        <v>7.3390839408887562E-2</v>
      </c>
      <c r="G35" s="13">
        <f t="shared" si="9"/>
        <v>0.12026640272786664</v>
      </c>
      <c r="H35" s="13">
        <f t="shared" si="9"/>
        <v>5.5554877913558863E-2</v>
      </c>
      <c r="I35" s="13">
        <f t="shared" si="7"/>
        <v>5.5544331645777496E-2</v>
      </c>
      <c r="J35" s="13">
        <f t="shared" si="7"/>
        <v>3.7601920345088795E-2</v>
      </c>
      <c r="K35" s="13">
        <f t="shared" si="7"/>
        <v>6.319947973682194E-2</v>
      </c>
      <c r="L35" s="13">
        <f t="shared" si="7"/>
        <v>5.4776291767807031E-2</v>
      </c>
      <c r="M35" s="13">
        <f t="shared" si="7"/>
        <v>5.8656869062491443E-2</v>
      </c>
      <c r="N35" s="13">
        <f t="shared" si="7"/>
        <v>8.4708311693665869E-2</v>
      </c>
      <c r="O35" s="13">
        <f t="shared" si="8"/>
        <v>4.2503027917462591E-2</v>
      </c>
      <c r="P35" s="13">
        <f t="shared" si="8"/>
        <v>2.843202797357992E-2</v>
      </c>
      <c r="Q35" s="36"/>
    </row>
    <row r="36" spans="1:17">
      <c r="A36" s="12" t="s">
        <v>91</v>
      </c>
      <c r="B36" s="125">
        <f t="shared" ref="B36:H36" si="10">B31/B$9</f>
        <v>3.590562284561663E-2</v>
      </c>
      <c r="C36" s="125">
        <f t="shared" si="10"/>
        <v>7.2317507608975054E-2</v>
      </c>
      <c r="D36" s="125">
        <f t="shared" si="10"/>
        <v>5.0888959907109614E-2</v>
      </c>
      <c r="E36" s="125">
        <f t="shared" si="10"/>
        <v>4.1244389863806477E-2</v>
      </c>
      <c r="F36" s="125">
        <f t="shared" si="10"/>
        <v>2.6420733089868139E-2</v>
      </c>
      <c r="G36" s="125">
        <f t="shared" si="10"/>
        <v>8.9309612052552667E-2</v>
      </c>
      <c r="H36" s="125">
        <f t="shared" si="10"/>
        <v>5.278524691399912E-2</v>
      </c>
      <c r="I36" s="125">
        <f t="shared" si="7"/>
        <v>5.4960619198757027E-2</v>
      </c>
      <c r="J36" s="125">
        <f t="shared" si="7"/>
        <v>3.0036907299554411E-2</v>
      </c>
      <c r="K36" s="125">
        <f t="shared" si="7"/>
        <v>5.8622273627543013E-2</v>
      </c>
      <c r="L36" s="125">
        <f t="shared" si="7"/>
        <v>5.6436141255620569E-2</v>
      </c>
      <c r="M36" s="125">
        <f t="shared" si="7"/>
        <v>5.129988496613317E-2</v>
      </c>
      <c r="N36" s="125">
        <f t="shared" si="7"/>
        <v>3.2615145482636845E-2</v>
      </c>
      <c r="O36" s="125">
        <f t="shared" si="8"/>
        <v>3.6061626226745712E-2</v>
      </c>
      <c r="P36" s="125">
        <f t="shared" si="8"/>
        <v>2.7716143508085316E-2</v>
      </c>
      <c r="Q36" s="36"/>
    </row>
    <row r="37" spans="1:17">
      <c r="A37" s="8" t="s">
        <v>92</v>
      </c>
      <c r="B37" s="13">
        <f t="shared" ref="B37:H37" si="11">B32/B$9</f>
        <v>-1.186981203946165E-3</v>
      </c>
      <c r="C37" s="13">
        <f t="shared" si="11"/>
        <v>1.3377939147142326E-2</v>
      </c>
      <c r="D37" s="13">
        <f t="shared" si="11"/>
        <v>3.4550070958211158E-3</v>
      </c>
      <c r="E37" s="13">
        <f t="shared" si="11"/>
        <v>4.4017158486581013E-4</v>
      </c>
      <c r="F37" s="13">
        <f t="shared" si="11"/>
        <v>1.3092156300368805E-2</v>
      </c>
      <c r="G37" s="13">
        <f t="shared" si="11"/>
        <v>1.1318146586717086E-2</v>
      </c>
      <c r="H37" s="13">
        <f t="shared" si="11"/>
        <v>2.5029283533310812E-3</v>
      </c>
      <c r="I37" s="13">
        <f t="shared" si="7"/>
        <v>1.0980604541954033E-2</v>
      </c>
      <c r="J37" s="13">
        <f t="shared" si="7"/>
        <v>7.3337250157572099E-3</v>
      </c>
      <c r="K37" s="13">
        <f t="shared" si="7"/>
        <v>6.6347138719823799E-3</v>
      </c>
      <c r="L37" s="13">
        <f t="shared" si="7"/>
        <v>1.3415869368810767E-2</v>
      </c>
      <c r="M37" s="13">
        <f t="shared" si="7"/>
        <v>5.9935673522445712E-3</v>
      </c>
      <c r="N37" s="13">
        <f t="shared" si="7"/>
        <v>1.8360465163794578E-2</v>
      </c>
      <c r="O37" s="13">
        <f t="shared" si="8"/>
        <v>9.8644372984139951E-3</v>
      </c>
      <c r="P37" s="13">
        <f t="shared" si="8"/>
        <v>-3.0134163601628098E-3</v>
      </c>
      <c r="Q37" s="36"/>
    </row>
    <row r="38" spans="1:17">
      <c r="A38" s="12" t="s">
        <v>93</v>
      </c>
      <c r="B38" s="125">
        <f t="shared" ref="B38:H38" si="12">B33/B$9</f>
        <v>0.14244088111762343</v>
      </c>
      <c r="C38" s="125">
        <f t="shared" si="12"/>
        <v>0.2347046120808268</v>
      </c>
      <c r="D38" s="125">
        <f t="shared" si="12"/>
        <v>0.1652257563947096</v>
      </c>
      <c r="E38" s="125">
        <f t="shared" si="12"/>
        <v>0.12782938161177959</v>
      </c>
      <c r="F38" s="125">
        <f t="shared" si="12"/>
        <v>0.13463080499443036</v>
      </c>
      <c r="G38" s="125">
        <f t="shared" si="12"/>
        <v>0.25642094525772008</v>
      </c>
      <c r="H38" s="125">
        <f t="shared" si="12"/>
        <v>0.13048847882785972</v>
      </c>
      <c r="I38" s="125">
        <f t="shared" si="7"/>
        <v>0.14644511516828068</v>
      </c>
      <c r="J38" s="125">
        <f t="shared" si="7"/>
        <v>8.7282168750308101E-2</v>
      </c>
      <c r="K38" s="125">
        <f t="shared" si="7"/>
        <v>0.153085400768008</v>
      </c>
      <c r="L38" s="125">
        <f t="shared" si="7"/>
        <v>0.14922516298265601</v>
      </c>
      <c r="M38" s="125">
        <f t="shared" si="7"/>
        <v>0.1375936561204488</v>
      </c>
      <c r="N38" s="125">
        <f t="shared" si="7"/>
        <v>0.16239085862861355</v>
      </c>
      <c r="O38" s="125">
        <f t="shared" si="8"/>
        <v>0.10311273437392887</v>
      </c>
      <c r="P38" s="125">
        <f t="shared" si="8"/>
        <v>6.5258080939223417E-2</v>
      </c>
      <c r="Q38" s="36"/>
    </row>
    <row r="39" spans="1:17">
      <c r="A39" s="10" t="s">
        <v>106</v>
      </c>
      <c r="B39" s="14"/>
      <c r="C39" s="14"/>
      <c r="D39" s="14"/>
      <c r="E39" s="14"/>
      <c r="F39" s="14"/>
      <c r="G39" s="14"/>
      <c r="H39" s="14"/>
      <c r="I39" s="14"/>
      <c r="J39" s="14"/>
      <c r="K39" s="14"/>
      <c r="L39" s="14"/>
      <c r="M39" s="14"/>
      <c r="N39" s="14"/>
      <c r="O39" s="14"/>
      <c r="P39" s="14"/>
      <c r="Q39" s="36"/>
    </row>
    <row r="40" spans="1:17">
      <c r="A40" s="8" t="s">
        <v>107</v>
      </c>
      <c r="B40" s="13">
        <f t="shared" ref="B40:H40" si="13">B41+B42</f>
        <v>0.29477719990000001</v>
      </c>
      <c r="C40" s="13">
        <f t="shared" si="13"/>
        <v>1.3699969000000017E-3</v>
      </c>
      <c r="D40" s="13">
        <f t="shared" si="13"/>
        <v>-9.4225531599999995E-2</v>
      </c>
      <c r="E40" s="13">
        <f t="shared" si="13"/>
        <v>-0.20229164230000002</v>
      </c>
      <c r="F40" s="13">
        <f t="shared" si="13"/>
        <v>-0.2482645882</v>
      </c>
      <c r="G40" s="13">
        <f t="shared" si="13"/>
        <v>4.9892538000000002E-3</v>
      </c>
      <c r="H40" s="13">
        <f t="shared" si="13"/>
        <v>-2.6445878000000006E-3</v>
      </c>
      <c r="I40" s="13">
        <f t="shared" ref="I40:N40" si="14">I41+I42</f>
        <v>-6.2073319199999998E-2</v>
      </c>
      <c r="J40" s="13">
        <f t="shared" si="14"/>
        <v>-0.65879562459999996</v>
      </c>
      <c r="K40" s="13">
        <f t="shared" si="14"/>
        <v>5.21055141E-2</v>
      </c>
      <c r="L40" s="13">
        <f t="shared" si="14"/>
        <v>-3.8442017E-3</v>
      </c>
      <c r="M40" s="13">
        <f t="shared" si="14"/>
        <v>-0.24375291669999999</v>
      </c>
      <c r="N40" s="13">
        <f t="shared" si="14"/>
        <v>-0.36674573090000001</v>
      </c>
      <c r="O40" s="13">
        <f>O41+O42</f>
        <v>-3.8976170399999996E-2</v>
      </c>
      <c r="P40" s="13">
        <f>P41+P42</f>
        <v>-0.12766731139999998</v>
      </c>
      <c r="Q40" s="36"/>
    </row>
    <row r="41" spans="1:17">
      <c r="A41" s="8" t="s">
        <v>108</v>
      </c>
      <c r="B41" s="13">
        <f>IF(ISTEXT([7]!s_qstm07_is($A$5,"W17476836",B6,1)),0,[7]!s_qstm07_is($A$5,"W17476836",B6,1))/100000000</f>
        <v>0.29477719990000001</v>
      </c>
      <c r="C41" s="13">
        <f>IF(ISTEXT([7]!s_qstm07_is($A$5,"W17476836",C6,1)),0,[7]!s_qstm07_is($A$5,"W17476836",C6,1))/100000000</f>
        <v>8.9585929000000012E-3</v>
      </c>
      <c r="D41" s="13">
        <f>IF(ISTEXT([7]!s_qstm07_is($A$5,"W17476836",D6,1)),0,[7]!s_qstm07_is($A$5,"W17476836",D6,1))/100000000</f>
        <v>-3.2804286600000003E-2</v>
      </c>
      <c r="E41" s="13">
        <f>IF(ISTEXT([7]!s_qstm07_is($A$5,"W17476836",E6,1)),0,[7]!s_qstm07_is($A$5,"W17476836",E6,1))/100000000</f>
        <v>-0.14825942640000001</v>
      </c>
      <c r="F41" s="13">
        <f>IF(ISTEXT([7]!s_qstm07_is($A$5,"W17476836",F6,1)),0,[7]!s_qstm07_is($A$5,"W17476836",F6,1))/100000000</f>
        <v>-0.13046309589999999</v>
      </c>
      <c r="G41" s="13">
        <f>IF(ISTEXT([7]!s_qstm07_is($A$5,"W17476836",G6,1)),0,[7]!s_qstm07_is($A$5,"W17476836",G6,1))/100000000</f>
        <v>-2.1797698000000001E-3</v>
      </c>
      <c r="H41" s="13">
        <f>IF(ISTEXT([7]!s_qstm07_is($A$5,"W17476836",H6,1)),0,[7]!s_qstm07_is($A$5,"W17476836",H6,1))/100000000</f>
        <v>-9.2240572E-3</v>
      </c>
      <c r="I41" s="13">
        <f>IF(ISTEXT([7]!s_qstm07_is($A$5,"W17476836",I6,1)),0,[7]!s_qstm07_is($A$5,"W17476836",I6,1))/100000000</f>
        <v>4.89559E-3</v>
      </c>
      <c r="J41" s="13">
        <f>IF(ISTEXT([7]!s_qstm07_is($A$5,"W17476836",J6,1)),0,[7]!s_qstm07_is($A$5,"W17476836",J6,1))/100000000</f>
        <v>-7.4707306100000009E-2</v>
      </c>
      <c r="K41" s="13">
        <f>IF(ISTEXT([7]!s_qstm07_is($A$5,"W17476836",K6,1)),0,[7]!s_qstm07_is($A$5,"W17476836",K6,1))/100000000</f>
        <v>-4.6104073999999997E-3</v>
      </c>
      <c r="L41" s="13">
        <f>IF(ISTEXT([7]!s_qstm07_is($A$5,"W17476836",L6,1)),0,[7]!s_qstm07_is($A$5,"W17476836",L6,1))/100000000</f>
        <v>-1.08573679E-2</v>
      </c>
      <c r="M41" s="13">
        <f>IF(ISTEXT([7]!s_qstm07_is($A$5,"W17476836",M6,1)),0,[7]!s_qstm07_is($A$5,"W17476836",M6,1))/100000000</f>
        <v>-1.6831966899999998E-2</v>
      </c>
      <c r="N41" s="13">
        <f>IF(ISTEXT([7]!s_qstm07_is($A$5,"W17476836",N6,1)),0,[7]!s_qstm07_is($A$5,"W17476836",N6,1))/100000000</f>
        <v>-0.27148040010000002</v>
      </c>
      <c r="O41" s="13">
        <f>IF(ISTEXT([7]!s_qstm07_is($A$5,"W17476836",O6,1)),0,[7]!s_qstm07_is($A$5,"W17476836",O6,1))/100000000</f>
        <v>-4.40299132E-2</v>
      </c>
      <c r="P41" s="13">
        <f>IF(ISTEXT([7]!s_qstm07_is($A$5,"W17476836",P6,1)),0,[7]!s_qstm07_is($A$5,"W17476836",P6,1))/100000000</f>
        <v>-0.1096750584</v>
      </c>
      <c r="Q41" s="36"/>
    </row>
    <row r="42" spans="1:17">
      <c r="A42" s="8" t="s">
        <v>109</v>
      </c>
      <c r="B42" s="13">
        <f>[7]!s_qstm07_is_101($A$5,B6,1)/100000000</f>
        <v>0</v>
      </c>
      <c r="C42" s="13">
        <f>[7]!s_qstm07_is_101($A$5,C6,1)/100000000</f>
        <v>-7.5885959999999995E-3</v>
      </c>
      <c r="D42" s="13">
        <f>[7]!s_qstm07_is_101($A$5,D6,1)/100000000</f>
        <v>-6.1421244999999999E-2</v>
      </c>
      <c r="E42" s="13">
        <f>[7]!s_qstm07_is_101($A$5,E6,1)/100000000</f>
        <v>-5.40322159E-2</v>
      </c>
      <c r="F42" s="13">
        <f>[7]!s_qstm07_is_101($A$5,F6,1)/100000000</f>
        <v>-0.1178014923</v>
      </c>
      <c r="G42" s="13">
        <f>[7]!s_qstm07_is_101($A$5,G6,1)/100000000</f>
        <v>7.1690236000000003E-3</v>
      </c>
      <c r="H42" s="13">
        <f>[7]!s_qstm07_is_101($A$5,H6,1)/100000000</f>
        <v>6.5794693999999994E-3</v>
      </c>
      <c r="I42" s="13">
        <f>[7]!s_qstm07_is_101($A$5,I6,1)/100000000</f>
        <v>-6.6968909199999996E-2</v>
      </c>
      <c r="J42" s="13">
        <f>[7]!s_qstm07_is_101($A$5,J6,1)/100000000</f>
        <v>-0.58408831849999998</v>
      </c>
      <c r="K42" s="13">
        <f>[7]!s_qstm07_is_101($A$5,K6,1)/100000000</f>
        <v>5.6715921500000002E-2</v>
      </c>
      <c r="L42" s="13">
        <f>[7]!s_qstm07_is_101($A$5,L6,1)/100000000</f>
        <v>7.0131661999999996E-3</v>
      </c>
      <c r="M42" s="13">
        <f>[7]!s_qstm07_is_101($A$5,M6,1)/100000000</f>
        <v>-0.22692094979999999</v>
      </c>
      <c r="N42" s="13">
        <f>[7]!s_qstm07_is_101($A$5,N6,1)/100000000</f>
        <v>-9.5265330800000006E-2</v>
      </c>
      <c r="O42" s="13">
        <f>[7]!s_qstm07_is_101($A$5,O6,1)/100000000</f>
        <v>5.0537428000000002E-3</v>
      </c>
      <c r="P42" s="13">
        <f>[7]!s_qstm07_is_101($A$5,P6,1)/100000000</f>
        <v>-1.7992253E-2</v>
      </c>
      <c r="Q42" s="36"/>
    </row>
    <row r="43" spans="1:17">
      <c r="A43" s="10" t="s">
        <v>110</v>
      </c>
      <c r="B43" s="14"/>
      <c r="C43" s="14"/>
      <c r="D43" s="14"/>
      <c r="E43" s="14"/>
      <c r="F43" s="14"/>
      <c r="G43" s="14"/>
      <c r="H43" s="14"/>
      <c r="I43" s="14"/>
      <c r="J43" s="14"/>
      <c r="K43" s="14"/>
      <c r="L43" s="14"/>
      <c r="M43" s="14"/>
      <c r="N43" s="14"/>
      <c r="O43" s="14"/>
      <c r="P43" s="14"/>
      <c r="Q43" s="36"/>
    </row>
    <row r="44" spans="1:17">
      <c r="A44" s="8" t="s">
        <v>111</v>
      </c>
      <c r="B44" s="13">
        <f>[7]!s_stm07_bs($A$5,"W15273164",B6,1,1)/100000000</f>
        <v>24.712578346799997</v>
      </c>
      <c r="C44" s="13">
        <f>[7]!s_stm07_bs($A$5,"W15273164",C6,1,1)/100000000</f>
        <v>25.5594118066</v>
      </c>
      <c r="D44" s="13">
        <f>[7]!s_stm07_bs($A$5,"W15273164",D6,1,1)/100000000</f>
        <v>27.003283477199997</v>
      </c>
      <c r="E44" s="13">
        <f>[7]!s_stm07_bs($A$5,"W15273164",E6,1,1)/100000000</f>
        <v>27.559242634499999</v>
      </c>
      <c r="F44" s="13">
        <f>[7]!s_stm07_bs($A$5,"W15273164",F6,1,1)/100000000</f>
        <v>27.209423533600003</v>
      </c>
      <c r="G44" s="13">
        <f>[7]!s_stm07_bs($A$5,"W15273164",G6,1,1)/100000000</f>
        <v>25.210233317199997</v>
      </c>
      <c r="H44" s="13">
        <f>[7]!s_stm07_bs($A$5,"W15273164",H6,1,1)/100000000</f>
        <v>25.581862287699998</v>
      </c>
      <c r="I44" s="13">
        <f>[7]!s_stm07_bs($A$5,"W15273164",I6,1,1)/100000000</f>
        <v>27.886119422100002</v>
      </c>
      <c r="J44" s="13">
        <f>[7]!s_stm07_bs($A$5,"W15273164",J6,1,1)/100000000</f>
        <v>31.713138664599999</v>
      </c>
      <c r="K44" s="13">
        <f>[7]!s_stm07_bs($A$5,"W15273164",K6,1,1)/100000000</f>
        <v>33.510767129899996</v>
      </c>
      <c r="L44" s="13">
        <f>[7]!s_stm07_bs($A$5,"W15273164",L6,1,1)/100000000</f>
        <v>36.219881950900003</v>
      </c>
      <c r="M44" s="13">
        <f>[7]!s_stm07_bs($A$5,"W15273164",M6,1,1)/100000000</f>
        <v>41.7124584799</v>
      </c>
      <c r="N44" s="13">
        <f>[7]!s_stm07_bs($A$5,"W15273164",N6,1,1)/100000000</f>
        <v>40.332540163499999</v>
      </c>
      <c r="O44" s="13">
        <f>[7]!s_stm07_bs($A$5,"W15273164",O6,1,1)/100000000</f>
        <v>43.1708316199</v>
      </c>
      <c r="P44" s="13">
        <f>[7]!s_stm07_bs($A$5,"W15273164",P6,1,1)/100000000</f>
        <v>42.303539295699998</v>
      </c>
      <c r="Q44" s="36"/>
    </row>
    <row r="45" spans="1:17">
      <c r="A45" s="8" t="s">
        <v>112</v>
      </c>
      <c r="B45" s="13">
        <f>[7]!s_stm07_bs($A5,"W13782202",B6,1)/100000000</f>
        <v>2.1491319658000001</v>
      </c>
      <c r="C45" s="13">
        <f>[7]!s_stm07_bs($A5,"W13782202",C6,1)/100000000</f>
        <v>2.522927175</v>
      </c>
      <c r="D45" s="13">
        <f>[7]!s_stm07_bs($A5,"W13782202",D6,1)/100000000</f>
        <v>3.1102677750000001</v>
      </c>
      <c r="E45" s="13">
        <f>[7]!s_stm07_bs($A5,"W13782202",E6,1)/100000000</f>
        <v>2.6504367347</v>
      </c>
      <c r="F45" s="13">
        <f>[7]!s_stm07_bs($A5,"W13782202",F6,1)/100000000</f>
        <v>2.3406416065000002</v>
      </c>
      <c r="G45" s="13">
        <f>[7]!s_stm07_bs($A5,"W13782202",G6,1)/100000000</f>
        <v>2.9792610208999997</v>
      </c>
      <c r="H45" s="13">
        <f>[7]!s_stm07_bs($A5,"W13782202",H6,1)/100000000</f>
        <v>3.1006341875999999</v>
      </c>
      <c r="I45" s="13">
        <f>[7]!s_stm07_bs($A5,"W13782202",I6,1)/100000000</f>
        <v>3.2428272589999998</v>
      </c>
      <c r="J45" s="13">
        <f>[7]!s_stm07_bs($A5,"W13782202",J6,1)/100000000</f>
        <v>4.7301511185000003</v>
      </c>
      <c r="K45" s="13">
        <f>[7]!s_stm07_bs($A5,"W13782202",K6,1)/100000000</f>
        <v>4.6786693125000003</v>
      </c>
      <c r="L45" s="13">
        <f>[7]!s_stm07_bs($A5,"W13782202",L6,1)/100000000</f>
        <v>5.2084037091000006</v>
      </c>
      <c r="M45" s="13">
        <f>[7]!s_stm07_bs($A5,"W13782202",M6,1)/100000000</f>
        <v>6.0642350677999994</v>
      </c>
      <c r="N45" s="13">
        <f>[7]!s_stm07_bs($A5,"W13782202",N6,1)/100000000</f>
        <v>5.9296547084000002</v>
      </c>
      <c r="O45" s="13">
        <f>[7]!s_stm07_bs($A5,"W13782202",O6,1)/100000000</f>
        <v>6.5722206867999997</v>
      </c>
      <c r="P45" s="13">
        <f>[7]!s_stm07_bs($A5,"W13782202",P6,1)/100000000</f>
        <v>6.5077684786000001</v>
      </c>
      <c r="Q45" s="36"/>
    </row>
    <row r="46" spans="1:17">
      <c r="A46" s="8" t="s">
        <v>113</v>
      </c>
      <c r="B46" s="13">
        <f>[7]!s_stm07_bs($A$5,"W16511628",B6,1,1)/100000000</f>
        <v>2.7893464144000002</v>
      </c>
      <c r="C46" s="13">
        <f>[7]!s_stm07_bs($A$5,"W16511628",C6,1,1)/100000000</f>
        <v>3.2062173320999996</v>
      </c>
      <c r="D46" s="13">
        <f>[7]!s_stm07_bs($A$5,"W16511628",D6,1,1)/100000000</f>
        <v>3.7989156431</v>
      </c>
      <c r="E46" s="13">
        <f>[7]!s_stm07_bs($A$5,"W16511628",E6,1,1)/100000000</f>
        <v>3.8998567476999999</v>
      </c>
      <c r="F46" s="13">
        <f>[7]!s_stm07_bs($A$5,"W16511628",F6,1,1)/100000000</f>
        <v>3.0727834600999997</v>
      </c>
      <c r="G46" s="13">
        <f>[7]!s_stm07_bs($A$5,"W16511628",G6,1,1)/100000000</f>
        <v>3.6671094642000002</v>
      </c>
      <c r="H46" s="13">
        <f>[7]!s_stm07_bs($A$5,"W16511628",H6,1,1)/100000000</f>
        <v>4.0703049152999995</v>
      </c>
      <c r="I46" s="13">
        <f>[7]!s_stm07_bs($A$5,"W16511628",I6,1,1)/100000000</f>
        <v>4.8026803054</v>
      </c>
      <c r="J46" s="13">
        <f>[7]!s_stm07_bs($A$5,"W16511628",J6,1,1)/100000000</f>
        <v>3.8689713442000002</v>
      </c>
      <c r="K46" s="13">
        <f>[7]!s_stm07_bs($A$5,"W16511628",K6,1,1)/100000000</f>
        <v>5.1003498914999996</v>
      </c>
      <c r="L46" s="13">
        <f>[7]!s_stm07_bs($A$5,"W16511628",L6,1,1)/100000000</f>
        <v>6.3823217820000009</v>
      </c>
      <c r="M46" s="13">
        <f>[7]!s_stm07_bs($A$5,"W16511628",M6,1,1)/100000000</f>
        <v>6.7444592359</v>
      </c>
      <c r="N46" s="13">
        <f>[7]!s_stm07_bs($A$5,"W16511628",N6,1,1)/100000000</f>
        <v>5.8426806426999995</v>
      </c>
      <c r="O46" s="13">
        <f>[7]!s_stm07_bs($A$5,"W16511628",O6,1,1)/100000000</f>
        <v>7.3127253057000008</v>
      </c>
      <c r="P46" s="13">
        <f>[7]!s_stm07_bs($A$5,"W16511628",P6,1,1)/100000000</f>
        <v>7.7595710740000001</v>
      </c>
      <c r="Q46" s="36"/>
    </row>
    <row r="47" spans="1:17">
      <c r="A47" s="8" t="s">
        <v>114</v>
      </c>
      <c r="B47" s="13">
        <f>[7]!s_stm07_bs($A$5,"W10470384",B6,1,1)/100000000</f>
        <v>4.3408558132000001</v>
      </c>
      <c r="C47" s="13">
        <f>[7]!s_stm07_bs($A$5,"W10470384",C6,1,1)/100000000</f>
        <v>4.0610221173000003</v>
      </c>
      <c r="D47" s="13">
        <f>[7]!s_stm07_bs($A$5,"W10470384",D6,1,1)/100000000</f>
        <v>5.2817291061000002</v>
      </c>
      <c r="E47" s="13">
        <f>[7]!s_stm07_bs($A$5,"W10470384",E6,1,1)/100000000</f>
        <v>6.1995990982000002</v>
      </c>
      <c r="F47" s="13">
        <f>[7]!s_stm07_bs($A$5,"W10470384",F6,1,1)/100000000</f>
        <v>4.4305571108999997</v>
      </c>
      <c r="G47" s="13">
        <f>[7]!s_stm07_bs($A$5,"W10470384",G6,1,1)/100000000</f>
        <v>4.1723800757999996</v>
      </c>
      <c r="H47" s="13">
        <f>[7]!s_stm07_bs($A$5,"W10470384",H6,1,1)/100000000</f>
        <v>4.0100619037000005</v>
      </c>
      <c r="I47" s="13">
        <f>[7]!s_stm07_bs($A$5,"W10470384",I6,1,1)/100000000</f>
        <v>5.0023111717999997</v>
      </c>
      <c r="J47" s="13">
        <f>[7]!s_stm07_bs($A$5,"W10470384",J6,1,1)/100000000</f>
        <v>6.0079592264999997</v>
      </c>
      <c r="K47" s="13">
        <f>[7]!s_stm07_bs($A$5,"W10470384",K6,1,1)/100000000</f>
        <v>5.3240953112999998</v>
      </c>
      <c r="L47" s="13">
        <f>[7]!s_stm07_bs($A$5,"W10470384",L6,1,1)/100000000</f>
        <v>5.5015130217999992</v>
      </c>
      <c r="M47" s="13">
        <f>[7]!s_stm07_bs($A$5,"W10470384",M6,1,1)/100000000</f>
        <v>5.0866594786999997</v>
      </c>
      <c r="N47" s="13">
        <f>[7]!s_stm07_bs($A$5,"W10470384",N6,1,1)/100000000</f>
        <v>5.4158876054</v>
      </c>
      <c r="O47" s="13">
        <f>[7]!s_stm07_bs($A$5,"W10470384",O6,1,1)/100000000</f>
        <v>5.2929772423000001</v>
      </c>
      <c r="P47" s="13">
        <f>[7]!s_stm07_bs($A$5,"W10470384",P6,1,1)/100000000</f>
        <v>6.4609959669000006</v>
      </c>
      <c r="Q47" s="36"/>
    </row>
    <row r="48" spans="1:17">
      <c r="A48" s="8" t="s">
        <v>115</v>
      </c>
      <c r="B48" s="13">
        <f>[7]!s_fa_debttoassets($A$5,B6)/100</f>
        <v>0.44376800000000005</v>
      </c>
      <c r="C48" s="13">
        <f>[7]!s_fa_debttoassets($A$5,C6)/100</f>
        <v>0.46933999999999998</v>
      </c>
      <c r="D48" s="13">
        <f>[7]!s_fa_debttoassets($A$5,D6)/100</f>
        <v>0.50959399999999999</v>
      </c>
      <c r="E48" s="13">
        <f>[7]!s_fa_debttoassets($A$5,E6)/100</f>
        <v>0.506772</v>
      </c>
      <c r="F48" s="13">
        <f>[7]!s_fa_debttoassets($A$5,F6)/100</f>
        <v>0.50999000000000005</v>
      </c>
      <c r="G48" s="13">
        <f>[7]!s_fa_debttoassets($A$5,G6)/100</f>
        <v>0.47581899999999999</v>
      </c>
      <c r="H48" s="13">
        <f>[7]!s_fa_debttoassets($A$5,H6)/100</f>
        <v>0.46404499999999999</v>
      </c>
      <c r="I48" s="13">
        <f>[7]!s_fa_debttoassets($A$5,I6)/100</f>
        <v>0.50270599999999999</v>
      </c>
      <c r="J48" s="13">
        <f>[7]!s_fa_debttoassets($A$5,J6)/100</f>
        <v>0.55017400000000005</v>
      </c>
      <c r="K48" s="13">
        <f>[7]!s_fa_debttoassets($A$5,K6)/100</f>
        <v>0.57350699999999999</v>
      </c>
      <c r="L48" s="13">
        <f>[7]!s_fa_debttoassets($A$5,L6)/100</f>
        <v>0.60392899999999994</v>
      </c>
      <c r="M48" s="13">
        <f>[7]!s_fa_debttoassets($A$5,M6)/100</f>
        <v>0.50069200000000003</v>
      </c>
      <c r="N48" s="13">
        <f>[7]!s_fa_debttoassets($A$5,N6)/100</f>
        <v>0.50782400000000005</v>
      </c>
      <c r="O48" s="13">
        <f>[7]!s_fa_debttoassets($A$5,O6)/100</f>
        <v>0.541709</v>
      </c>
      <c r="P48" s="13">
        <f>[7]!s_fa_debttoassets($A$5,P6)/100</f>
        <v>0.52910000000000001</v>
      </c>
      <c r="Q48" s="36"/>
    </row>
    <row r="49" spans="1:17">
      <c r="A49" s="8" t="s">
        <v>116</v>
      </c>
      <c r="B49" s="13">
        <f>(IF(ISTEXT([7]!s_stm07_bs($A$5,"W16717512",B6,1)),0,[7]!s_stm07_bs($A$5,"W16717512",B6,1))+IF(ISTEXT([7]!s_stm07_bs($A$5,"W14758798",B6,1)),0,[7]!s_stm07_bs($A$5,"W14758798",B6,1))+IF(ISTEXT([7]!s_stm07_bs($A$5,"W12336122",B6,1)),0,[7]!s_stm07_bs($A$5,"W12336122",B6,1)))/100000000/B44</f>
        <v>9.2665361253028836E-2</v>
      </c>
      <c r="C49" s="13">
        <f>(IF(ISTEXT([7]!s_stm07_bs($A$5,"W16717512",C6,1)),0,[7]!s_stm07_bs($A$5,"W16717512",C6,1))+IF(ISTEXT([7]!s_stm07_bs($A$5,"W14758798",C6,1)),0,[7]!s_stm07_bs($A$5,"W14758798",C6,1))+IF(ISTEXT([7]!s_stm07_bs($A$5,"W12336122",C6,1)),0,[7]!s_stm07_bs($A$5,"W12336122",C6,1)))/100000000/C44</f>
        <v>0.13263216014715284</v>
      </c>
      <c r="D49" s="13">
        <f>(IF(ISTEXT([7]!s_stm07_bs($A$5,"W16717512",D6,1)),0,[7]!s_stm07_bs($A$5,"W16717512",D6,1))+IF(ISTEXT([7]!s_stm07_bs($A$5,"W14758798",D6,1)),0,[7]!s_stm07_bs($A$5,"W14758798",D6,1))+IF(ISTEXT([7]!s_stm07_bs($A$5,"W12336122",D6,1)),0,[7]!s_stm07_bs($A$5,"W12336122",D6,1)))/100000000/D44</f>
        <v>0.15886956871827188</v>
      </c>
      <c r="E49" s="13">
        <f>(IF(ISTEXT([7]!s_stm07_bs($A$5,"W16717512",E6,1)),0,[7]!s_stm07_bs($A$5,"W16717512",E6,1))+IF(ISTEXT([7]!s_stm07_bs($A$5,"W14758798",E6,1)),0,[7]!s_stm07_bs($A$5,"W14758798",E6,1))+IF(ISTEXT([7]!s_stm07_bs($A$5,"W12336122",E6,1)),0,[7]!s_stm07_bs($A$5,"W12336122",E6,1)))/100000000/E44</f>
        <v>0.1269991358767795</v>
      </c>
      <c r="F49" s="13">
        <f>(IF(ISTEXT([7]!s_stm07_bs($A$5,"W16717512",F6,1)),0,[7]!s_stm07_bs($A$5,"W16717512",F6,1))+IF(ISTEXT([7]!s_stm07_bs($A$5,"W14758798",F6,1)),0,[7]!s_stm07_bs($A$5,"W14758798",F6,1))+IF(ISTEXT([7]!s_stm07_bs($A$5,"W12336122",F6,1)),0,[7]!s_stm07_bs($A$5,"W12336122",F6,1)))/100000000/F44</f>
        <v>0.11776427726383545</v>
      </c>
      <c r="G49" s="13">
        <f>(IF(ISTEXT([7]!s_stm07_bs($A$5,"W16717512",G6,1)),0,[7]!s_stm07_bs($A$5,"W16717512",G6,1))+IF(ISTEXT([7]!s_stm07_bs($A$5,"W14758798",G6,1)),0,[7]!s_stm07_bs($A$5,"W14758798",G6,1))+IF(ISTEXT([7]!s_stm07_bs($A$5,"W12336122",G6,1)),0,[7]!s_stm07_bs($A$5,"W12336122",G6,1)))/100000000/G44</f>
        <v>9.5332301187402532E-2</v>
      </c>
      <c r="H49" s="13">
        <f>(IF(ISTEXT([7]!s_stm07_bs($A$5,"W16717512",H6,1)),0,[7]!s_stm07_bs($A$5,"W16717512",H6,1))+IF(ISTEXT([7]!s_stm07_bs($A$5,"W14758798",H6,1)),0,[7]!s_stm07_bs($A$5,"W14758798",H6,1))+IF(ISTEXT([7]!s_stm07_bs($A$5,"W12336122",H6,1)),0,[7]!s_stm07_bs($A$5,"W12336122",H6,1)))/100000000/H44</f>
        <v>5.4786081804289476E-2</v>
      </c>
      <c r="I49" s="13">
        <f>(IF(ISTEXT([7]!s_stm07_bs($A$5,"W16717512",I6,1)),0,[7]!s_stm07_bs($A$5,"W16717512",I6,1))+IF(ISTEXT([7]!s_stm07_bs($A$5,"W14758798",I6,1)),0,[7]!s_stm07_bs($A$5,"W14758798",I6,1))+IF(ISTEXT([7]!s_stm07_bs($A$5,"W12336122",I6,1)),0,[7]!s_stm07_bs($A$5,"W12336122",I6,1)))/100000000/I44</f>
        <v>9.5118857993481631E-2</v>
      </c>
      <c r="J49" s="13">
        <f>(IF(ISTEXT([7]!s_stm07_bs($A$5,"W16717512",J6,1)),0,[7]!s_stm07_bs($A$5,"W16717512",J6,1))+IF(ISTEXT([7]!s_stm07_bs($A$5,"W14758798",J6,1)),0,[7]!s_stm07_bs($A$5,"W14758798",J6,1))+IF(ISTEXT([7]!s_stm07_bs($A$5,"W12336122",J6,1)),0,[7]!s_stm07_bs($A$5,"W12336122",J6,1)))/100000000/J44</f>
        <v>0.16700725161625385</v>
      </c>
      <c r="K49" s="13">
        <f>(IF(ISTEXT([7]!s_stm07_bs($A$5,"W16717512",K6,1)),0,[7]!s_stm07_bs($A$5,"W16717512",K6,1))+IF(ISTEXT([7]!s_stm07_bs($A$5,"W14758798",K6,1)),0,[7]!s_stm07_bs($A$5,"W14758798",K6,1))+IF(ISTEXT([7]!s_stm07_bs($A$5,"W12336122",K6,1)),0,[7]!s_stm07_bs($A$5,"W12336122",K6,1)))/100000000/K44</f>
        <v>0.15208090456254525</v>
      </c>
      <c r="L49" s="13">
        <f>(IF(ISTEXT([7]!s_stm07_bs($A$5,"W16717512",L6,1)),0,[7]!s_stm07_bs($A$5,"W16717512",L6,1))+IF(ISTEXT([7]!s_stm07_bs($A$5,"W14758798",L6,1)),0,[7]!s_stm07_bs($A$5,"W14758798",L6,1))+IF(ISTEXT([7]!s_stm07_bs($A$5,"W12336122",L6,1)),0,[7]!s_stm07_bs($A$5,"W12336122",L6,1)))/100000000/L44</f>
        <v>0.17130002452826407</v>
      </c>
      <c r="M49" s="13">
        <f>(IF(ISTEXT([7]!s_stm07_bs($A$5,"W16717512",M6,1)),0,[7]!s_stm07_bs($A$5,"W16717512",M6,1))+IF(ISTEXT([7]!s_stm07_bs($A$5,"W14758798",M6,1)),0,[7]!s_stm07_bs($A$5,"W14758798",M6,1))+IF(ISTEXT([7]!s_stm07_bs($A$5,"W12336122",M6,1)),0,[7]!s_stm07_bs($A$5,"W12336122",M6,1)))/100000000/M44</f>
        <v>0.12596790915912939</v>
      </c>
      <c r="N49" s="13">
        <f>(IF(ISTEXT([7]!s_stm07_bs($A$5,"W16717512",N6,1)),0,[7]!s_stm07_bs($A$5,"W16717512",N6,1))+IF(ISTEXT([7]!s_stm07_bs($A$5,"W14758798",N6,1)),0,[7]!s_stm07_bs($A$5,"W14758798",N6,1))+IF(ISTEXT([7]!s_stm07_bs($A$5,"W12336122",N6,1)),0,[7]!s_stm07_bs($A$5,"W12336122",N6,1)))/100000000/N44</f>
        <v>0.11366956945967266</v>
      </c>
      <c r="O49" s="13">
        <f>(IF(ISTEXT([7]!s_stm07_bs($A$5,"W16717512",O6,1)),0,[7]!s_stm07_bs($A$5,"W16717512",O6,1))+IF(ISTEXT([7]!s_stm07_bs($A$5,"W14758798",O6,1)),0,[7]!s_stm07_bs($A$5,"W14758798",O6,1))+IF(ISTEXT([7]!s_stm07_bs($A$5,"W12336122",O6,1)),0,[7]!s_stm07_bs($A$5,"W12336122",O6,1)))/100000000/O44</f>
        <v>0.12705768552235977</v>
      </c>
      <c r="P49" s="13">
        <f>(IF(ISTEXT([7]!s_stm07_bs($A$5,"W16717512",P6,1)),0,[7]!s_stm07_bs($A$5,"W16717512",P6,1))+IF(ISTEXT([7]!s_stm07_bs($A$5,"W14758798",P6,1)),0,[7]!s_stm07_bs($A$5,"W14758798",P6,1))+IF(ISTEXT([7]!s_stm07_bs($A$5,"W12336122",P6,1)),0,[7]!s_stm07_bs($A$5,"W12336122",P6,1)))/100000000/P44</f>
        <v>0.13222789481986866</v>
      </c>
      <c r="Q49" s="36"/>
    </row>
    <row r="50" spans="1:17">
      <c r="H50" s="13"/>
    </row>
  </sheetData>
  <mergeCells count="1">
    <mergeCell ref="A1:XFD3"/>
  </mergeCells>
  <phoneticPr fontId="11" type="noConversion"/>
  <pageMargins left="0.7" right="0.7" top="0.75" bottom="0.75" header="0.3" footer="0.3"/>
  <pageSetup paperSize="9"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sheetPr>
  <dimension ref="A1:O50"/>
  <sheetViews>
    <sheetView showGridLines="0" zoomScale="85" zoomScaleNormal="85" workbookViewId="0">
      <selection activeCell="F52" sqref="F52"/>
    </sheetView>
  </sheetViews>
  <sheetFormatPr defaultColWidth="9" defaultRowHeight="15"/>
  <cols>
    <col min="1" max="1" width="14.81640625" style="74" customWidth="1"/>
    <col min="2" max="3" width="10.26953125" style="74" customWidth="1"/>
    <col min="4" max="4" width="11.7265625" style="74" customWidth="1"/>
    <col min="5" max="7" width="9" style="74" customWidth="1"/>
    <col min="8" max="8" width="9" style="74"/>
    <col min="9" max="9" width="14.453125" style="74" customWidth="1"/>
    <col min="10" max="15" width="9" style="74" customWidth="1"/>
    <col min="16" max="16" width="16" style="74" customWidth="1"/>
    <col min="17" max="17" width="15.453125" style="74" customWidth="1"/>
    <col min="18" max="16384" width="9" style="74"/>
  </cols>
  <sheetData>
    <row r="1" spans="1:15" s="416" customFormat="1" ht="13.75" customHeight="1">
      <c r="A1" s="416" t="s">
        <v>133</v>
      </c>
    </row>
    <row r="2" spans="1:15" s="416" customFormat="1" ht="13.75" customHeight="1"/>
    <row r="3" spans="1:15" s="416" customFormat="1" ht="13.75" customHeight="1"/>
    <row r="4" spans="1:15" s="5" customFormat="1" ht="14.25" customHeight="1">
      <c r="A4" s="77" t="s">
        <v>232</v>
      </c>
      <c r="B4" s="77"/>
      <c r="C4" s="77"/>
      <c r="D4" s="77"/>
      <c r="E4" s="77"/>
      <c r="F4" s="77"/>
      <c r="G4" s="77"/>
      <c r="H4" s="77"/>
      <c r="I4" s="77"/>
      <c r="J4" s="77"/>
      <c r="K4" s="77"/>
      <c r="L4" s="77"/>
      <c r="M4" s="77"/>
      <c r="N4" s="77"/>
      <c r="O4" s="77"/>
    </row>
    <row r="5" spans="1:15" s="5" customFormat="1" ht="14.25" customHeight="1">
      <c r="A5" s="93" t="s">
        <v>224</v>
      </c>
      <c r="B5" s="69"/>
      <c r="C5" s="69"/>
      <c r="D5" s="69"/>
      <c r="E5" s="69"/>
      <c r="F5" s="69"/>
      <c r="G5" s="69"/>
      <c r="H5" s="77"/>
      <c r="I5" s="93" t="s">
        <v>224</v>
      </c>
      <c r="J5" s="69"/>
      <c r="K5" s="69"/>
      <c r="L5" s="69"/>
      <c r="M5" s="69"/>
      <c r="N5" s="69"/>
      <c r="O5" s="69"/>
    </row>
    <row r="6" spans="1:15" s="5" customFormat="1" ht="14.25" customHeight="1">
      <c r="A6" s="69"/>
      <c r="B6" s="94">
        <v>2019</v>
      </c>
      <c r="C6" s="94">
        <v>2020</v>
      </c>
      <c r="D6" s="94">
        <v>2021</v>
      </c>
      <c r="E6" s="94" t="s">
        <v>233</v>
      </c>
      <c r="F6" s="94" t="s">
        <v>36</v>
      </c>
      <c r="G6" s="94" t="s">
        <v>37</v>
      </c>
      <c r="H6" s="77"/>
      <c r="I6" s="69"/>
      <c r="J6" s="94">
        <v>2019</v>
      </c>
      <c r="K6" s="94">
        <v>2020</v>
      </c>
      <c r="L6" s="94">
        <v>2021</v>
      </c>
      <c r="M6" s="94" t="s">
        <v>233</v>
      </c>
      <c r="N6" s="94" t="s">
        <v>36</v>
      </c>
      <c r="O6" s="94" t="s">
        <v>37</v>
      </c>
    </row>
    <row r="7" spans="1:15" s="5" customFormat="1" ht="14.25" customHeight="1">
      <c r="A7" s="69" t="s">
        <v>222</v>
      </c>
      <c r="B7" s="174">
        <v>1547.2901999999999</v>
      </c>
      <c r="C7" s="177">
        <v>2045.7487229999999</v>
      </c>
      <c r="D7" s="177">
        <v>1083.73</v>
      </c>
      <c r="E7" s="95"/>
      <c r="F7" s="95"/>
      <c r="G7" s="95"/>
      <c r="H7" s="77"/>
      <c r="I7" s="69" t="s">
        <v>222</v>
      </c>
      <c r="J7" s="175">
        <f>B7/'1.1业绩汇总'!D$42/100</f>
        <v>9.4060194528875381E-3</v>
      </c>
      <c r="K7" s="175">
        <f>C7/'1.1业绩汇总'!E$42/100</f>
        <v>1.1723622752123233E-2</v>
      </c>
      <c r="L7" s="175">
        <f>D7/'1.1业绩汇总'!F$42/100</f>
        <v>5.2216879312338592E-3</v>
      </c>
      <c r="M7" s="97"/>
      <c r="N7" s="97"/>
      <c r="O7" s="97"/>
    </row>
    <row r="8" spans="1:15" s="5" customFormat="1" ht="14" customHeight="1">
      <c r="A8" s="69" t="s">
        <v>374</v>
      </c>
      <c r="B8" s="95">
        <v>1111.5293999999999</v>
      </c>
      <c r="C8" s="95"/>
      <c r="D8" s="95"/>
      <c r="E8" s="98"/>
      <c r="F8" s="98"/>
      <c r="G8" s="98"/>
      <c r="H8" s="98"/>
      <c r="I8" s="69" t="s">
        <v>374</v>
      </c>
      <c r="J8" s="175">
        <f>B8/'1.1业绩汇总'!D$42/100</f>
        <v>6.7570176291793307E-3</v>
      </c>
      <c r="K8" s="175">
        <f>C8/'1.1业绩汇总'!E$42/100</f>
        <v>0</v>
      </c>
      <c r="L8" s="175">
        <f>D8/'1.1业绩汇总'!F$42/100</f>
        <v>0</v>
      </c>
      <c r="M8" s="98"/>
      <c r="N8" s="98"/>
      <c r="O8" s="98"/>
    </row>
    <row r="9" spans="1:15" s="5" customFormat="1" ht="14.25" customHeight="1">
      <c r="A9" s="69" t="s">
        <v>375</v>
      </c>
      <c r="B9" s="177">
        <v>495.72149999999999</v>
      </c>
      <c r="C9" s="95">
        <v>568.74607800000001</v>
      </c>
      <c r="D9" s="95">
        <v>741.10678199999995</v>
      </c>
      <c r="E9" s="95"/>
      <c r="F9" s="95"/>
      <c r="G9" s="95"/>
      <c r="H9" s="77"/>
      <c r="I9" s="69" t="s">
        <v>375</v>
      </c>
      <c r="J9" s="175">
        <f>B9/'1.1业绩汇总'!D$42/100</f>
        <v>3.0135045592705168E-3</v>
      </c>
      <c r="K9" s="175">
        <f>C9/'1.1业绩汇总'!E$42/100</f>
        <v>3.2593272014578966E-3</v>
      </c>
      <c r="L9" s="175">
        <f>D9/'1.1业绩汇总'!F$42/100</f>
        <v>3.5708417588559533E-3</v>
      </c>
      <c r="M9" s="69"/>
      <c r="N9" s="69"/>
      <c r="O9" s="69"/>
    </row>
    <row r="10" spans="1:15" s="5" customFormat="1" ht="14.25" customHeight="1">
      <c r="A10" s="69" t="s">
        <v>380</v>
      </c>
      <c r="B10" s="177">
        <v>164.2775</v>
      </c>
      <c r="C10" s="95">
        <v>75.526419000000004</v>
      </c>
      <c r="D10" s="95">
        <v>370.829095</v>
      </c>
      <c r="E10" s="95"/>
      <c r="F10" s="95"/>
      <c r="G10" s="95"/>
      <c r="H10" s="77"/>
      <c r="I10" s="69" t="s">
        <v>380</v>
      </c>
      <c r="J10" s="175">
        <f>B10/'1.1业绩汇总'!D$42/100</f>
        <v>9.9864741641337391E-4</v>
      </c>
      <c r="K10" s="175">
        <f>C10/'1.1业绩汇总'!E$42/100</f>
        <v>4.3282111542825708E-4</v>
      </c>
      <c r="L10" s="175">
        <f>D10/'1.1业绩汇总'!F$42/100</f>
        <v>1.786749291716455E-3</v>
      </c>
      <c r="M10" s="69"/>
      <c r="N10" s="69"/>
      <c r="O10" s="69"/>
    </row>
    <row r="11" spans="1:15" s="5" customFormat="1" ht="14.25" customHeight="1">
      <c r="A11" s="69" t="s">
        <v>376</v>
      </c>
      <c r="B11" s="177">
        <v>3.1002000000000001</v>
      </c>
      <c r="C11" s="95"/>
      <c r="D11" s="95"/>
      <c r="E11" s="95"/>
      <c r="F11" s="95"/>
      <c r="G11" s="95"/>
      <c r="H11" s="77"/>
      <c r="I11" s="69" t="s">
        <v>376</v>
      </c>
      <c r="J11" s="175">
        <f>B11/'1.1业绩汇总'!D$42/100</f>
        <v>1.8846200607902738E-5</v>
      </c>
      <c r="K11" s="175">
        <f>C11/'1.1业绩汇总'!E$42/100</f>
        <v>0</v>
      </c>
      <c r="L11" s="175">
        <f>D11/'1.1业绩汇总'!F$42/100</f>
        <v>0</v>
      </c>
      <c r="M11" s="69"/>
      <c r="N11" s="69"/>
      <c r="O11" s="69"/>
    </row>
    <row r="12" spans="1:15" s="5" customFormat="1" ht="14.25" customHeight="1">
      <c r="A12" s="69" t="s">
        <v>377</v>
      </c>
      <c r="B12" s="177">
        <v>9.0253999999999994</v>
      </c>
      <c r="C12" s="95"/>
      <c r="D12" s="95"/>
      <c r="E12" s="95"/>
      <c r="F12" s="95"/>
      <c r="G12" s="95"/>
      <c r="H12" s="77"/>
      <c r="I12" s="69" t="s">
        <v>377</v>
      </c>
      <c r="J12" s="175">
        <f>B12/'1.1业绩汇总'!D$42/100</f>
        <v>5.4865653495440722E-5</v>
      </c>
      <c r="K12" s="175">
        <f>C12/'1.1业绩汇总'!E$42/100</f>
        <v>0</v>
      </c>
      <c r="L12" s="175">
        <f>D12/'1.1业绩汇总'!F$42/100</f>
        <v>0</v>
      </c>
      <c r="M12" s="69"/>
      <c r="N12" s="69"/>
      <c r="O12" s="69"/>
    </row>
    <row r="13" spans="1:15" s="5" customFormat="1" ht="14.25" customHeight="1">
      <c r="A13" s="69" t="s">
        <v>378</v>
      </c>
      <c r="B13" s="177">
        <v>41.876899999999999</v>
      </c>
      <c r="C13" s="95">
        <v>56.756034</v>
      </c>
      <c r="D13" s="95">
        <v>52.420588000000002</v>
      </c>
      <c r="E13" s="95"/>
      <c r="F13" s="95"/>
      <c r="G13" s="95"/>
      <c r="H13" s="77"/>
      <c r="I13" s="69" t="s">
        <v>378</v>
      </c>
      <c r="J13" s="175">
        <f>B13/'1.1业绩汇总'!D$42/100</f>
        <v>2.5457082066869302E-4</v>
      </c>
      <c r="K13" s="175">
        <f>C13/'1.1业绩汇总'!E$42/100</f>
        <v>3.252532063404738E-4</v>
      </c>
      <c r="L13" s="175">
        <f>D13/'1.1业绩汇总'!F$42/100</f>
        <v>2.5257578152102688E-4</v>
      </c>
      <c r="M13" s="69"/>
      <c r="N13" s="69"/>
      <c r="O13" s="69"/>
    </row>
    <row r="14" spans="1:15" s="5" customFormat="1" ht="14.25" customHeight="1">
      <c r="A14" s="69" t="s">
        <v>379</v>
      </c>
      <c r="B14" s="177">
        <v>233.2022</v>
      </c>
      <c r="C14" s="95">
        <v>82.634100000000004</v>
      </c>
      <c r="D14" s="95">
        <v>244.79256899999999</v>
      </c>
      <c r="E14" s="95"/>
      <c r="F14" s="95"/>
      <c r="G14" s="95"/>
      <c r="H14" s="77"/>
      <c r="I14" s="69" t="s">
        <v>379</v>
      </c>
      <c r="J14" s="175">
        <f>B14/'1.1业绩汇总'!D$42/100</f>
        <v>1.4176425531914894E-3</v>
      </c>
      <c r="K14" s="175">
        <f>C14/'1.1业绩汇总'!E$42/100</f>
        <v>4.7355327854760516E-4</v>
      </c>
      <c r="L14" s="175">
        <f>D14/'1.1业绩汇总'!F$42/100</f>
        <v>1.1794731189530895E-3</v>
      </c>
      <c r="M14" s="69"/>
      <c r="N14" s="69"/>
      <c r="O14" s="69"/>
    </row>
    <row r="15" spans="1:15" s="5" customFormat="1" ht="14.25" customHeight="1">
      <c r="A15" s="69" t="s">
        <v>395</v>
      </c>
      <c r="B15" s="177">
        <v>10.998312</v>
      </c>
      <c r="C15" s="95">
        <v>33.300569000000003</v>
      </c>
      <c r="D15" s="95">
        <v>55.433841000000001</v>
      </c>
      <c r="E15" s="95"/>
      <c r="F15" s="95"/>
      <c r="G15" s="95"/>
      <c r="H15" s="77"/>
      <c r="I15" s="69" t="s">
        <v>395</v>
      </c>
      <c r="J15" s="175">
        <f>B15/'1.1业绩汇总'!D$42/100</f>
        <v>6.6859039513677816E-5</v>
      </c>
      <c r="K15" s="175">
        <f>C15/'1.1业绩汇总'!E$42/100</f>
        <v>1.9083639354032712E-4</v>
      </c>
      <c r="L15" s="175">
        <f>D15/'1.1业绩汇总'!F$42/100</f>
        <v>2.6709440407817137E-4</v>
      </c>
      <c r="M15" s="69"/>
      <c r="N15" s="69"/>
      <c r="O15" s="69"/>
    </row>
    <row r="16" spans="1:15" s="5" customFormat="1" ht="14.25" customHeight="1">
      <c r="A16" s="69" t="s">
        <v>396</v>
      </c>
      <c r="B16" s="177">
        <v>17.783018999999999</v>
      </c>
      <c r="C16" s="95">
        <v>133.74081899999999</v>
      </c>
      <c r="D16" s="95">
        <v>160.565552</v>
      </c>
      <c r="E16" s="95"/>
      <c r="F16" s="95"/>
      <c r="G16" s="95"/>
      <c r="H16" s="77"/>
      <c r="I16" s="69"/>
      <c r="J16" s="175">
        <f>B16/'1.1业绩汇总'!D$42/100</f>
        <v>1.0810345896656535E-4</v>
      </c>
      <c r="K16" s="175">
        <f>C16/'1.1业绩汇总'!E$42/100</f>
        <v>7.6643181583743074E-4</v>
      </c>
      <c r="L16" s="175">
        <f>D16/'1.1业绩汇总'!F$42/100</f>
        <v>7.7364583895463124E-4</v>
      </c>
      <c r="M16" s="69"/>
      <c r="N16" s="69"/>
      <c r="O16" s="69"/>
    </row>
    <row r="17" spans="1:15" s="5" customFormat="1" ht="14.25" customHeight="1">
      <c r="A17" s="69" t="s">
        <v>388</v>
      </c>
      <c r="B17" s="177">
        <v>81.440074999999993</v>
      </c>
      <c r="C17" s="95">
        <v>371.76652000000001</v>
      </c>
      <c r="D17" s="95">
        <v>489.43217800000002</v>
      </c>
      <c r="E17" s="95"/>
      <c r="F17" s="95"/>
      <c r="G17" s="95"/>
      <c r="H17" s="77"/>
      <c r="I17" s="69"/>
      <c r="J17" s="175">
        <f>B17/'1.1业绩汇总'!D$42/100</f>
        <v>4.9507644376899692E-4</v>
      </c>
      <c r="K17" s="175">
        <f>C17/'1.1业绩汇总'!E$42/100</f>
        <v>2.1304915815654048E-3</v>
      </c>
      <c r="L17" s="175">
        <f>D17/'1.1业绩汇总'!F$42/100</f>
        <v>2.3582092375592644E-3</v>
      </c>
      <c r="M17" s="69"/>
      <c r="N17" s="69"/>
      <c r="O17" s="69"/>
    </row>
    <row r="18" spans="1:15" s="5" customFormat="1" ht="14.25" customHeight="1">
      <c r="A18" s="99" t="s">
        <v>136</v>
      </c>
      <c r="B18" s="100">
        <v>124.206676</v>
      </c>
      <c r="C18" s="100">
        <v>92.588707999999997</v>
      </c>
      <c r="D18" s="100">
        <v>236.14998299999999</v>
      </c>
      <c r="E18" s="100"/>
      <c r="F18" s="100"/>
      <c r="G18" s="100"/>
      <c r="H18" s="77"/>
      <c r="I18" s="99" t="s">
        <v>136</v>
      </c>
      <c r="J18" s="176">
        <f>B18/'1.1业绩汇总'!D$42/100</f>
        <v>7.5505578115501516E-4</v>
      </c>
      <c r="K18" s="176">
        <f>C18/'1.1业绩汇总'!E42/100</f>
        <v>5.3060039656614971E-4</v>
      </c>
      <c r="L18" s="176">
        <f>D18/'1.1业绩汇总'!F42/100</f>
        <v>1.137830932236056E-3</v>
      </c>
      <c r="M18" s="101"/>
      <c r="N18" s="101"/>
      <c r="O18" s="101"/>
    </row>
    <row r="19" spans="1:15" s="5" customFormat="1" ht="14.25" customHeight="1">
      <c r="A19" s="93" t="s">
        <v>225</v>
      </c>
      <c r="B19" s="177">
        <f>SUM(B7:B18)</f>
        <v>3840.4513820000002</v>
      </c>
      <c r="C19" s="178">
        <f>SUM(C7:C18)</f>
        <v>3460.8079699999998</v>
      </c>
      <c r="D19" s="178">
        <f>SUM(D7:D18)</f>
        <v>3434.4605879999999</v>
      </c>
      <c r="E19" s="95"/>
      <c r="F19" s="95"/>
      <c r="G19" s="95"/>
      <c r="H19" s="77"/>
      <c r="I19" s="93" t="s">
        <v>225</v>
      </c>
      <c r="J19" s="175">
        <f>SUM(J7:J18)</f>
        <v>2.3346209009118539E-2</v>
      </c>
      <c r="K19" s="175">
        <f>SUM(K7:K18)</f>
        <v>1.9832937741406782E-2</v>
      </c>
      <c r="L19" s="175">
        <f>SUM(L7:L18)</f>
        <v>1.6548108295108506E-2</v>
      </c>
      <c r="M19" s="96"/>
      <c r="N19" s="96"/>
      <c r="O19" s="96"/>
    </row>
    <row r="20" spans="1:15" s="5" customFormat="1" ht="14.25" customHeight="1">
      <c r="A20" s="77"/>
      <c r="B20" s="77"/>
      <c r="C20" s="178"/>
      <c r="E20" s="77"/>
      <c r="F20" s="77"/>
      <c r="G20" s="77"/>
      <c r="H20" s="77"/>
      <c r="I20" s="77"/>
      <c r="K20" s="77"/>
      <c r="L20" s="77"/>
      <c r="M20" s="77"/>
      <c r="N20" s="77"/>
      <c r="O20" s="77"/>
    </row>
    <row r="21" spans="1:15" s="5" customFormat="1" ht="14.25" customHeight="1">
      <c r="A21" s="93" t="s">
        <v>226</v>
      </c>
      <c r="B21" s="69"/>
      <c r="C21" s="69"/>
      <c r="D21" s="69"/>
      <c r="E21" s="69"/>
      <c r="F21" s="69"/>
      <c r="G21" s="69"/>
      <c r="H21" s="77"/>
      <c r="I21" s="93" t="s">
        <v>226</v>
      </c>
      <c r="J21" s="69"/>
      <c r="K21" s="69"/>
      <c r="L21" s="69"/>
      <c r="M21" s="69"/>
      <c r="N21" s="69"/>
      <c r="O21" s="69"/>
    </row>
    <row r="22" spans="1:15" s="5" customFormat="1" ht="14.25" customHeight="1">
      <c r="A22" s="69"/>
      <c r="B22" s="94">
        <v>2019</v>
      </c>
      <c r="C22" s="94">
        <v>2020</v>
      </c>
      <c r="D22" s="94">
        <v>2021</v>
      </c>
      <c r="E22" s="94" t="s">
        <v>233</v>
      </c>
      <c r="F22" s="94" t="s">
        <v>36</v>
      </c>
      <c r="G22" s="94" t="s">
        <v>37</v>
      </c>
      <c r="H22" s="77"/>
      <c r="I22" s="69"/>
      <c r="J22" s="94">
        <v>2019</v>
      </c>
      <c r="K22" s="94">
        <v>2020</v>
      </c>
      <c r="L22" s="94">
        <v>2021</v>
      </c>
      <c r="M22" s="94" t="s">
        <v>233</v>
      </c>
      <c r="N22" s="94" t="s">
        <v>36</v>
      </c>
      <c r="O22" s="94" t="s">
        <v>37</v>
      </c>
    </row>
    <row r="23" spans="1:15" s="5" customFormat="1" ht="14.25" customHeight="1">
      <c r="A23" s="69"/>
      <c r="B23" s="94"/>
      <c r="C23" s="94"/>
      <c r="D23" s="94"/>
      <c r="E23" s="94"/>
      <c r="F23" s="94"/>
      <c r="G23" s="94"/>
      <c r="H23" s="77"/>
      <c r="I23" s="69"/>
      <c r="J23" s="94"/>
      <c r="K23" s="94"/>
      <c r="L23" s="94"/>
      <c r="M23" s="94"/>
      <c r="N23" s="94"/>
      <c r="O23" s="94"/>
    </row>
    <row r="24" spans="1:15" s="5" customFormat="1" ht="14.25" customHeight="1">
      <c r="A24" s="69"/>
      <c r="B24" s="94"/>
      <c r="C24" s="94"/>
      <c r="D24" s="94"/>
      <c r="E24" s="94"/>
      <c r="F24" s="94"/>
      <c r="G24" s="94"/>
      <c r="H24" s="77"/>
      <c r="I24" s="69"/>
      <c r="J24" s="94"/>
      <c r="K24" s="94"/>
      <c r="L24" s="94"/>
      <c r="M24" s="94"/>
      <c r="N24" s="94"/>
      <c r="O24" s="94"/>
    </row>
    <row r="25" spans="1:15" s="5" customFormat="1" ht="14.25" customHeight="1">
      <c r="A25" s="69" t="s">
        <v>222</v>
      </c>
      <c r="B25" s="102">
        <v>7164.8885</v>
      </c>
      <c r="C25" s="103">
        <v>5722.7579740000001</v>
      </c>
      <c r="D25" s="85">
        <v>8068.8538740000004</v>
      </c>
      <c r="E25" s="85"/>
      <c r="F25" s="85"/>
      <c r="G25" s="85"/>
      <c r="H25" s="77"/>
      <c r="I25" s="69" t="s">
        <v>222</v>
      </c>
      <c r="J25" s="175">
        <f>B25/'1.1业绩汇总'!D42/100</f>
        <v>4.3555553191489363E-2</v>
      </c>
      <c r="K25" s="175">
        <f>C25/'1.1业绩汇总'!E42/100</f>
        <v>3.2795550516338291E-2</v>
      </c>
      <c r="L25" s="175">
        <f>D25/'1.1业绩汇总'!F42/100</f>
        <v>3.8877798799290757E-2</v>
      </c>
      <c r="M25" s="97"/>
      <c r="N25" s="97"/>
      <c r="O25" s="97"/>
    </row>
    <row r="26" spans="1:15" s="5" customFormat="1" ht="14.25" customHeight="1">
      <c r="A26" s="69" t="s">
        <v>381</v>
      </c>
      <c r="B26" s="102">
        <v>772.02769999999998</v>
      </c>
      <c r="C26" s="103">
        <v>601.86451999999997</v>
      </c>
      <c r="D26" s="85">
        <v>737.82938100000001</v>
      </c>
      <c r="E26" s="85"/>
      <c r="F26" s="85"/>
      <c r="G26" s="85"/>
      <c r="H26" s="77"/>
      <c r="I26" s="69" t="s">
        <v>381</v>
      </c>
      <c r="J26" s="175">
        <f>B26/'1.1业绩汇总'!D42/100</f>
        <v>4.693177507598784E-3</v>
      </c>
      <c r="K26" s="175">
        <f>C26/'1.1业绩汇总'!E42/100</f>
        <v>3.4491198752994302E-3</v>
      </c>
      <c r="L26" s="175">
        <f>D26/'1.1业绩汇总'!F42/100</f>
        <v>3.5550504037698029E-3</v>
      </c>
      <c r="M26" s="97"/>
      <c r="N26" s="97"/>
      <c r="O26" s="97"/>
    </row>
    <row r="27" spans="1:15" s="5" customFormat="1" ht="14.25" customHeight="1">
      <c r="A27" s="69" t="s">
        <v>397</v>
      </c>
      <c r="B27" s="102">
        <v>165.68940000000001</v>
      </c>
      <c r="C27" s="103">
        <v>81.486430999999996</v>
      </c>
      <c r="D27" s="85">
        <v>320.39662499999997</v>
      </c>
      <c r="E27" s="85"/>
      <c r="F27" s="85"/>
      <c r="G27" s="85"/>
      <c r="H27" s="77"/>
      <c r="I27" s="69" t="s">
        <v>382</v>
      </c>
      <c r="J27" s="175">
        <f>B27/'1.1业绩汇总'!D42/100</f>
        <v>1.0072303951367781E-3</v>
      </c>
      <c r="K27" s="175">
        <f>C27/'1.1业绩汇总'!E42/100</f>
        <v>4.6697630345333469E-4</v>
      </c>
      <c r="L27" s="175">
        <f>D27/'1.1业绩汇总'!F42/100</f>
        <v>1.5437527704968584E-3</v>
      </c>
      <c r="M27" s="97"/>
      <c r="N27" s="97"/>
      <c r="O27" s="97"/>
    </row>
    <row r="28" spans="1:15" s="5" customFormat="1" ht="14.25" customHeight="1">
      <c r="A28" s="69" t="s">
        <v>383</v>
      </c>
      <c r="B28" s="102">
        <v>11.8758</v>
      </c>
      <c r="C28" s="103">
        <v>68.407920000000004</v>
      </c>
      <c r="D28" s="85">
        <v>16.780878999999999</v>
      </c>
      <c r="E28" s="85"/>
      <c r="F28" s="85"/>
      <c r="G28" s="85"/>
      <c r="H28" s="77"/>
      <c r="I28" s="69" t="s">
        <v>383</v>
      </c>
      <c r="J28" s="175">
        <f>B28/'1.1业绩汇总'!D42/100</f>
        <v>7.2193313069908815E-5</v>
      </c>
      <c r="K28" s="175">
        <f>C28/'1.1业绩汇总'!E42/100</f>
        <v>3.9202695732902385E-4</v>
      </c>
      <c r="L28" s="175">
        <f>D28/'1.1业绩汇总'!F42/100</f>
        <v>8.0854560960567381E-5</v>
      </c>
      <c r="M28" s="97"/>
      <c r="N28" s="97"/>
      <c r="O28" s="97"/>
    </row>
    <row r="29" spans="1:15" s="5" customFormat="1" ht="14.25" customHeight="1">
      <c r="A29" s="69" t="s">
        <v>384</v>
      </c>
      <c r="B29" s="102">
        <v>459.69139999999999</v>
      </c>
      <c r="C29" s="103">
        <v>423.48763200000002</v>
      </c>
      <c r="D29" s="85">
        <v>471.94819100000001</v>
      </c>
      <c r="E29" s="85"/>
      <c r="F29" s="85"/>
      <c r="G29" s="85"/>
      <c r="H29" s="77"/>
      <c r="I29" s="69" t="s">
        <v>384</v>
      </c>
      <c r="J29" s="175">
        <f>B29/'1.1业绩汇总'!D42/100</f>
        <v>2.7944765957446812E-3</v>
      </c>
      <c r="K29" s="175">
        <f>C29/'1.1业绩汇总'!E42/100</f>
        <v>2.4268910360004128E-3</v>
      </c>
      <c r="L29" s="175">
        <f>D29/'1.1业绩汇总'!F42/100</f>
        <v>2.2739669226766374E-3</v>
      </c>
      <c r="M29" s="97"/>
      <c r="N29" s="97"/>
      <c r="O29" s="97"/>
    </row>
    <row r="30" spans="1:15" s="5" customFormat="1" ht="14.25" customHeight="1">
      <c r="A30" s="69" t="s">
        <v>385</v>
      </c>
      <c r="B30" s="102">
        <v>498.94959999999998</v>
      </c>
      <c r="C30" s="103">
        <v>404.10046399999999</v>
      </c>
      <c r="D30" s="85">
        <v>406.37237800000003</v>
      </c>
      <c r="E30" s="85"/>
      <c r="F30" s="85"/>
      <c r="G30" s="85"/>
      <c r="H30" s="77"/>
      <c r="I30" s="69" t="s">
        <v>385</v>
      </c>
      <c r="J30" s="175">
        <f>B30/'1.1业绩汇总'!D42/100</f>
        <v>3.0331282674772035E-3</v>
      </c>
      <c r="K30" s="175">
        <f>C30/'1.1业绩汇总'!E42/100</f>
        <v>2.3157885133353964E-3</v>
      </c>
      <c r="L30" s="175">
        <f>D30/'1.1业绩汇总'!F42/100</f>
        <v>1.958005907181128E-3</v>
      </c>
      <c r="M30" s="97"/>
      <c r="N30" s="97"/>
      <c r="O30" s="97"/>
    </row>
    <row r="31" spans="1:15" s="5" customFormat="1" ht="14.25" customHeight="1">
      <c r="A31" s="69" t="s">
        <v>223</v>
      </c>
      <c r="B31" s="179">
        <v>1419.7497000000001</v>
      </c>
      <c r="C31" s="179">
        <v>1223.275613</v>
      </c>
      <c r="D31" s="179">
        <v>2009.3624339999999</v>
      </c>
      <c r="E31" s="180"/>
      <c r="F31" s="180"/>
      <c r="G31" s="180"/>
      <c r="H31" s="77"/>
      <c r="I31" s="69" t="s">
        <v>223</v>
      </c>
      <c r="J31" s="175">
        <f>B31/'1.1业绩汇总'!D42/100</f>
        <v>8.6306972644376902E-3</v>
      </c>
      <c r="K31" s="175">
        <f>C31/'1.1业绩汇总'!E42/100</f>
        <v>7.0102557794358674E-3</v>
      </c>
      <c r="L31" s="175">
        <f>D31/'1.1业绩汇总'!F42/100</f>
        <v>9.6816214103997225E-3</v>
      </c>
      <c r="M31" s="98"/>
      <c r="N31" s="98"/>
      <c r="O31" s="98"/>
    </row>
    <row r="32" spans="1:15" s="5" customFormat="1" ht="14.25" customHeight="1">
      <c r="A32" s="69" t="s">
        <v>387</v>
      </c>
      <c r="B32" s="179">
        <v>57.441600000000001</v>
      </c>
      <c r="C32" s="179">
        <v>37.156364000000004</v>
      </c>
      <c r="D32" s="179">
        <v>137.268912</v>
      </c>
      <c r="E32" s="180"/>
      <c r="F32" s="180"/>
      <c r="G32" s="180"/>
      <c r="H32" s="77"/>
      <c r="I32" s="69" t="s">
        <v>387</v>
      </c>
      <c r="J32" s="175">
        <f>B32/'1.1业绩汇总'!D42/100</f>
        <v>3.4918905775075987E-4</v>
      </c>
      <c r="K32" s="175">
        <f>C32/'1.1业绩汇总'!E42/100</f>
        <v>2.1293289321367581E-4</v>
      </c>
      <c r="L32" s="175">
        <f>D32/'1.1业绩汇总'!F42/100</f>
        <v>6.6139667733107195E-4</v>
      </c>
      <c r="M32" s="98"/>
      <c r="N32" s="98"/>
      <c r="O32" s="98"/>
    </row>
    <row r="33" spans="1:15" s="5" customFormat="1" ht="14.25" customHeight="1">
      <c r="A33" s="69" t="s">
        <v>388</v>
      </c>
      <c r="B33" s="179">
        <v>1096.7127</v>
      </c>
      <c r="C33" s="179">
        <v>350.00573000000003</v>
      </c>
      <c r="D33" s="179">
        <v>607.50426500000003</v>
      </c>
      <c r="E33" s="180"/>
      <c r="F33" s="180"/>
      <c r="G33" s="180"/>
      <c r="H33" s="77"/>
      <c r="I33" s="69" t="s">
        <v>388</v>
      </c>
      <c r="J33" s="175">
        <f>B33/'1.1业绩汇总'!D42/100</f>
        <v>6.6669465045592711E-3</v>
      </c>
      <c r="K33" s="175">
        <f>C33/'1.1业绩汇总'!E42/100</f>
        <v>2.0057864846588502E-3</v>
      </c>
      <c r="L33" s="175">
        <f>D33/'1.1业绩汇总'!F42/100</f>
        <v>2.9271107090544659E-3</v>
      </c>
      <c r="M33" s="98"/>
      <c r="N33" s="98"/>
      <c r="O33" s="98"/>
    </row>
    <row r="34" spans="1:15" s="5" customFormat="1" ht="14.25" customHeight="1">
      <c r="A34" s="69" t="s">
        <v>389</v>
      </c>
      <c r="B34" s="179">
        <v>117.81310000000001</v>
      </c>
      <c r="C34" s="179">
        <v>81.772694999999999</v>
      </c>
      <c r="D34" s="179">
        <v>96.314109000000002</v>
      </c>
      <c r="E34" s="180"/>
      <c r="F34" s="180"/>
      <c r="G34" s="180"/>
      <c r="H34" s="77"/>
      <c r="I34" s="69" t="s">
        <v>389</v>
      </c>
      <c r="J34" s="175">
        <f>B34/'1.1业绩汇总'!D42/100</f>
        <v>7.161890577507599E-4</v>
      </c>
      <c r="K34" s="175">
        <f>C34/'1.1业绩汇总'!E42/100</f>
        <v>4.6861680363098716E-4</v>
      </c>
      <c r="L34" s="175">
        <f>D34/'1.1业绩汇总'!F42/100</f>
        <v>4.6406597637127544E-4</v>
      </c>
      <c r="M34" s="98"/>
      <c r="N34" s="98"/>
      <c r="O34" s="98"/>
    </row>
    <row r="35" spans="1:15" s="5" customFormat="1" ht="14.25" customHeight="1">
      <c r="A35" s="69" t="s">
        <v>386</v>
      </c>
      <c r="B35" s="85">
        <v>45.7348</v>
      </c>
      <c r="C35" s="85">
        <v>30.410737000000001</v>
      </c>
      <c r="D35" s="85">
        <v>39.864435999999998</v>
      </c>
      <c r="E35" s="85"/>
      <c r="F35" s="85"/>
      <c r="G35" s="85"/>
      <c r="H35" s="77"/>
      <c r="I35" s="69" t="s">
        <v>386</v>
      </c>
      <c r="J35" s="175">
        <f>B35/'1.1业绩汇总'!D42/100</f>
        <v>2.7802310030395136E-4</v>
      </c>
      <c r="K35" s="175">
        <f>C35/'1.1业绩汇总'!E42/100</f>
        <v>1.7427556189755756E-4</v>
      </c>
      <c r="L35" s="175">
        <f>D35/'1.1业绩汇总'!F42/100</f>
        <v>1.9207703426743245E-4</v>
      </c>
      <c r="M35" s="69"/>
      <c r="N35" s="69"/>
      <c r="O35" s="69"/>
    </row>
    <row r="36" spans="1:15" s="5" customFormat="1" ht="14.25" customHeight="1">
      <c r="A36" s="99" t="s">
        <v>136</v>
      </c>
      <c r="B36" s="181">
        <v>1193.9795999999999</v>
      </c>
      <c r="C36" s="181">
        <v>776.29634199999998</v>
      </c>
      <c r="D36" s="181">
        <v>757.08834000000002</v>
      </c>
      <c r="E36" s="181"/>
      <c r="F36" s="181"/>
      <c r="G36" s="181"/>
      <c r="H36" s="77"/>
      <c r="I36" s="99" t="s">
        <v>136</v>
      </c>
      <c r="J36" s="176">
        <f>B36/'1.1业绩汇总'!D42/100</f>
        <v>7.2582346504559258E-3</v>
      </c>
      <c r="K36" s="176">
        <f>C36/'1.1业绩汇总'!E42/100</f>
        <v>4.4487406273997412E-3</v>
      </c>
      <c r="L36" s="176">
        <f>D36/'1.1业绩汇总'!F42/100</f>
        <v>3.6478449870870756E-3</v>
      </c>
      <c r="M36" s="101"/>
      <c r="N36" s="101"/>
      <c r="O36" s="101"/>
    </row>
    <row r="37" spans="1:15" s="5" customFormat="1" ht="14.25" customHeight="1">
      <c r="A37" s="93" t="s">
        <v>225</v>
      </c>
      <c r="B37" s="182">
        <f>SUM(B25:B36)</f>
        <v>13004.553900000001</v>
      </c>
      <c r="C37" s="182">
        <f>SUM(C25:C36)</f>
        <v>9801.0224220000018</v>
      </c>
      <c r="D37" s="95">
        <f>SUM(D25:D36)</f>
        <v>13669.583823999999</v>
      </c>
      <c r="E37" s="95"/>
      <c r="F37" s="95"/>
      <c r="G37" s="95"/>
      <c r="H37" s="77"/>
      <c r="I37" s="93" t="s">
        <v>225</v>
      </c>
      <c r="J37" s="175">
        <f>SUM(J25:J36)</f>
        <v>7.9055038905775074E-2</v>
      </c>
      <c r="K37" s="175">
        <f>SUM(K25:K36)</f>
        <v>5.6166961351992568E-2</v>
      </c>
      <c r="L37" s="175">
        <f>SUM(L25:L36)</f>
        <v>6.5863546158886802E-2</v>
      </c>
      <c r="M37" s="96"/>
      <c r="N37" s="96"/>
      <c r="O37" s="96"/>
    </row>
    <row r="38" spans="1:15" s="5" customFormat="1" ht="14.25" customHeight="1">
      <c r="A38" s="77"/>
      <c r="C38" s="77"/>
      <c r="D38" s="77"/>
      <c r="E38" s="77"/>
      <c r="F38" s="77"/>
      <c r="G38" s="77"/>
      <c r="H38" s="77"/>
      <c r="I38" s="77"/>
      <c r="K38" s="77"/>
      <c r="L38" s="77"/>
      <c r="M38" s="77"/>
      <c r="N38" s="77"/>
      <c r="O38" s="77"/>
    </row>
    <row r="39" spans="1:15" s="5" customFormat="1" ht="14.25" customHeight="1">
      <c r="A39" s="93" t="s">
        <v>227</v>
      </c>
      <c r="B39" s="69"/>
      <c r="C39" s="69"/>
      <c r="D39" s="69"/>
      <c r="E39" s="69"/>
      <c r="F39" s="69"/>
      <c r="G39" s="69"/>
      <c r="H39" s="77"/>
      <c r="I39" s="93" t="s">
        <v>227</v>
      </c>
      <c r="J39" s="69"/>
      <c r="K39" s="69"/>
      <c r="L39" s="69"/>
      <c r="M39" s="69"/>
      <c r="N39" s="69"/>
      <c r="O39" s="69"/>
    </row>
    <row r="40" spans="1:15" s="5" customFormat="1" ht="14.25" customHeight="1">
      <c r="A40" s="69"/>
      <c r="B40" s="94">
        <v>2019</v>
      </c>
      <c r="C40" s="94">
        <v>2020</v>
      </c>
      <c r="D40" s="94">
        <v>2021</v>
      </c>
      <c r="E40" s="94" t="s">
        <v>233</v>
      </c>
      <c r="F40" s="94" t="s">
        <v>36</v>
      </c>
      <c r="G40" s="94" t="s">
        <v>37</v>
      </c>
      <c r="H40" s="77"/>
      <c r="I40" s="69"/>
      <c r="J40" s="94">
        <v>2019</v>
      </c>
      <c r="K40" s="94">
        <v>2020</v>
      </c>
      <c r="L40" s="94">
        <v>2021</v>
      </c>
      <c r="M40" s="94" t="s">
        <v>233</v>
      </c>
      <c r="N40" s="94" t="s">
        <v>36</v>
      </c>
      <c r="O40" s="94" t="s">
        <v>37</v>
      </c>
    </row>
    <row r="41" spans="1:15" s="5" customFormat="1" ht="14.25" customHeight="1">
      <c r="A41" s="69" t="s">
        <v>390</v>
      </c>
      <c r="B41" s="174">
        <v>4290.1495000000004</v>
      </c>
      <c r="C41" s="177">
        <v>5000.183532</v>
      </c>
      <c r="D41" s="174">
        <v>6021.9936189999999</v>
      </c>
      <c r="E41" s="95"/>
      <c r="F41" s="95"/>
      <c r="G41" s="95"/>
      <c r="H41" s="77"/>
      <c r="I41" s="69" t="s">
        <v>390</v>
      </c>
      <c r="J41" s="175">
        <f>B41/'1.1业绩汇总'!D42/100</f>
        <v>2.6079936170212769E-2</v>
      </c>
      <c r="K41" s="175">
        <f>C41/'1.1业绩汇总'!E42/100</f>
        <v>2.8654675308599525E-2</v>
      </c>
      <c r="L41" s="175">
        <f>D41/'1.1业绩汇总'!F42/100</f>
        <v>2.9015503310141463E-2</v>
      </c>
      <c r="M41" s="97"/>
      <c r="N41" s="97"/>
      <c r="O41" s="97"/>
    </row>
    <row r="42" spans="1:15" s="5" customFormat="1" ht="14.25" customHeight="1">
      <c r="A42" s="69" t="s">
        <v>391</v>
      </c>
      <c r="B42" s="177">
        <v>1273.0345</v>
      </c>
      <c r="C42" s="174">
        <v>1922.224526</v>
      </c>
      <c r="D42" s="174">
        <v>2794.2854809999999</v>
      </c>
      <c r="E42" s="98"/>
      <c r="F42" s="98"/>
      <c r="G42" s="98"/>
      <c r="H42" s="77"/>
      <c r="I42" s="69" t="s">
        <v>391</v>
      </c>
      <c r="J42" s="175">
        <f>B42/'1.1业绩汇总'!D42/100</f>
        <v>7.738811550151976E-3</v>
      </c>
      <c r="K42" s="175">
        <f>C42/'1.1业绩汇总'!E42/100</f>
        <v>1.1015739584407845E-2</v>
      </c>
      <c r="L42" s="175">
        <f>D42/'1.1业绩汇总'!F42/100</f>
        <v>1.346358112496627E-2</v>
      </c>
      <c r="M42" s="98"/>
      <c r="N42" s="98"/>
      <c r="O42" s="98"/>
    </row>
    <row r="43" spans="1:15" s="5" customFormat="1" ht="14.25" customHeight="1">
      <c r="A43" s="69" t="s">
        <v>393</v>
      </c>
      <c r="B43" s="177">
        <v>23.910399999999999</v>
      </c>
      <c r="C43" s="174">
        <v>7.7130780000000003</v>
      </c>
      <c r="D43" s="174">
        <v>7.9562710000000001</v>
      </c>
      <c r="E43" s="98"/>
      <c r="F43" s="98"/>
      <c r="G43" s="98"/>
      <c r="H43" s="77"/>
      <c r="I43" s="69" t="s">
        <v>393</v>
      </c>
      <c r="J43" s="175">
        <f>B43/'1.1业绩汇总'!D42/100</f>
        <v>1.4535197568389059E-4</v>
      </c>
      <c r="K43" s="175">
        <f>C43/'1.1业绩汇总'!E42/100</f>
        <v>4.4201526665062065E-5</v>
      </c>
      <c r="L43" s="175">
        <f>D43/'1.1业绩汇总'!F42/100</f>
        <v>3.8335345758007943E-5</v>
      </c>
      <c r="M43" s="98"/>
      <c r="N43" s="98"/>
      <c r="O43" s="98"/>
    </row>
    <row r="44" spans="1:15" s="5" customFormat="1" ht="14" customHeight="1">
      <c r="A44" s="69" t="s">
        <v>392</v>
      </c>
      <c r="B44" s="177">
        <v>754.22569999999996</v>
      </c>
      <c r="C44" s="177">
        <v>772.18001400000003</v>
      </c>
      <c r="D44" s="177">
        <v>762.14946299999997</v>
      </c>
      <c r="E44" s="98"/>
      <c r="F44" s="98"/>
      <c r="G44" s="98"/>
      <c r="H44" s="77"/>
      <c r="I44" s="69" t="s">
        <v>392</v>
      </c>
      <c r="J44" s="175">
        <f>B44/'1.1业绩汇总'!D42/100</f>
        <v>4.5849586626139811E-3</v>
      </c>
      <c r="K44" s="175">
        <f>C44/'1.1业绩汇总'!E42/100</f>
        <v>4.4251510848261873E-3</v>
      </c>
      <c r="L44" s="175">
        <f>D44/'1.1业绩汇总'!F42/100</f>
        <v>3.6722307703426745E-3</v>
      </c>
      <c r="M44" s="98"/>
      <c r="N44" s="98"/>
      <c r="O44" s="98"/>
    </row>
    <row r="45" spans="1:15" s="5" customFormat="1" ht="14" customHeight="1">
      <c r="A45" s="69" t="s">
        <v>394</v>
      </c>
      <c r="B45" s="177">
        <v>27.885200000000001</v>
      </c>
      <c r="C45" s="177">
        <v>4.8584800000000001</v>
      </c>
      <c r="D45" s="177">
        <v>0.94339600000000001</v>
      </c>
      <c r="E45" s="98"/>
      <c r="F45" s="98"/>
      <c r="G45" s="98"/>
      <c r="H45" s="77"/>
      <c r="I45" s="69" t="s">
        <v>394</v>
      </c>
      <c r="J45" s="175">
        <f>B45/'1.1业绩汇总'!D42/100</f>
        <v>1.6951489361702126E-4</v>
      </c>
      <c r="K45" s="175">
        <f>C45/'1.1业绩汇总'!E42/100</f>
        <v>2.7842611376634688E-5</v>
      </c>
      <c r="L45" s="175">
        <f>D45/'1.1业绩汇总'!F42/100</f>
        <v>4.5455228770766681E-6</v>
      </c>
      <c r="M45" s="98"/>
      <c r="N45" s="98"/>
      <c r="O45" s="98"/>
    </row>
    <row r="46" spans="1:15" s="5" customFormat="1" ht="14" customHeight="1">
      <c r="A46" s="99" t="s">
        <v>136</v>
      </c>
      <c r="B46" s="100">
        <v>484.16419999999999</v>
      </c>
      <c r="C46" s="100">
        <v>745.91383099999996</v>
      </c>
      <c r="D46" s="100">
        <v>559.70247800000004</v>
      </c>
      <c r="E46" s="100"/>
      <c r="F46" s="100"/>
      <c r="G46" s="100"/>
      <c r="H46" s="77"/>
      <c r="I46" s="99" t="s">
        <v>136</v>
      </c>
      <c r="J46" s="176">
        <f>B46/'1.1业绩汇总'!D42/100</f>
        <v>2.9432474164133738E-3</v>
      </c>
      <c r="K46" s="176">
        <f>C46/'1.1业绩汇总'!E42/100</f>
        <v>4.2746268209377753E-3</v>
      </c>
      <c r="L46" s="176">
        <f>D46/'1.1业绩汇总'!F42/100</f>
        <v>2.6967894904213084E-3</v>
      </c>
      <c r="M46" s="101"/>
      <c r="N46" s="101"/>
      <c r="O46" s="101"/>
    </row>
    <row r="47" spans="1:15" s="5" customFormat="1" ht="14.25" customHeight="1">
      <c r="A47" s="93" t="s">
        <v>225</v>
      </c>
      <c r="B47" s="103">
        <f>SUM(B41:B46)</f>
        <v>6853.3694999999998</v>
      </c>
      <c r="C47" s="103">
        <f>SUM(C41:C46)</f>
        <v>8453.073461</v>
      </c>
      <c r="D47" s="103">
        <f>SUM(D41:D46)</f>
        <v>10147.030707999998</v>
      </c>
      <c r="E47" s="95"/>
      <c r="F47" s="95"/>
      <c r="G47" s="95"/>
      <c r="H47" s="77"/>
      <c r="I47" s="93" t="s">
        <v>225</v>
      </c>
      <c r="J47" s="175">
        <f>SUM(J41:J46)</f>
        <v>4.1661820668693006E-2</v>
      </c>
      <c r="K47" s="175">
        <f>C47/'1.1业绩汇总'!E42/100</f>
        <v>4.844223693681303E-2</v>
      </c>
      <c r="L47" s="175">
        <f>D47/'1.1业绩汇总'!F42/100</f>
        <v>4.8890985564506793E-2</v>
      </c>
      <c r="M47" s="96"/>
      <c r="N47" s="96"/>
      <c r="O47" s="96"/>
    </row>
    <row r="48" spans="1:15" s="5" customFormat="1" ht="14.25" customHeight="1">
      <c r="A48" s="69"/>
      <c r="B48" s="69"/>
      <c r="C48" s="69"/>
      <c r="D48" s="69"/>
      <c r="E48" s="69"/>
      <c r="F48" s="69"/>
      <c r="G48" s="69"/>
      <c r="H48" s="69"/>
      <c r="I48" s="69"/>
      <c r="J48" s="69"/>
      <c r="K48" s="69"/>
      <c r="L48" s="69"/>
      <c r="M48" s="69"/>
      <c r="N48" s="69"/>
      <c r="O48" s="69"/>
    </row>
    <row r="49" spans="1:15" s="5" customFormat="1" ht="14.25" customHeight="1">
      <c r="A49" s="74"/>
      <c r="B49" s="74"/>
      <c r="C49" s="74"/>
      <c r="D49" s="74"/>
      <c r="E49" s="74"/>
      <c r="F49" s="74"/>
      <c r="G49" s="74"/>
      <c r="H49" s="74"/>
      <c r="I49" s="74"/>
      <c r="J49" s="74"/>
      <c r="K49" s="74"/>
      <c r="L49" s="74"/>
      <c r="M49" s="74"/>
      <c r="N49" s="74"/>
      <c r="O49" s="74"/>
    </row>
    <row r="50" spans="1:15" s="5" customFormat="1" ht="14.25" customHeight="1">
      <c r="A50" s="74"/>
      <c r="B50" s="74"/>
      <c r="C50" s="74"/>
      <c r="D50" s="74"/>
      <c r="E50" s="74"/>
      <c r="F50" s="74"/>
      <c r="G50" s="74"/>
      <c r="H50" s="74"/>
      <c r="I50" s="74"/>
      <c r="J50" s="74"/>
      <c r="K50" s="74"/>
      <c r="L50" s="74"/>
      <c r="M50" s="74"/>
      <c r="N50" s="74"/>
      <c r="O50" s="74"/>
    </row>
  </sheetData>
  <mergeCells count="1">
    <mergeCell ref="A1:XFD3"/>
  </mergeCells>
  <phoneticPr fontId="1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sheetPr>
  <dimension ref="A1:N53"/>
  <sheetViews>
    <sheetView showGridLines="0" zoomScale="85" zoomScaleNormal="85" workbookViewId="0">
      <selection activeCell="C8" sqref="C8:E8"/>
    </sheetView>
  </sheetViews>
  <sheetFormatPr defaultColWidth="8.81640625" defaultRowHeight="13"/>
  <cols>
    <col min="1" max="1" width="41.36328125" style="112" customWidth="1"/>
    <col min="2" max="2" width="37" style="37" bestFit="1" customWidth="1"/>
    <col min="3" max="3" width="23.08984375" style="37" bestFit="1" customWidth="1"/>
    <col min="4" max="4" width="19.81640625" style="37" customWidth="1"/>
    <col min="5" max="5" width="22" style="37" bestFit="1" customWidth="1"/>
    <col min="6" max="6" width="12" style="37" customWidth="1"/>
    <col min="7" max="7" width="11.453125" style="37" customWidth="1"/>
    <col min="8" max="8" width="12.36328125" style="37" customWidth="1"/>
    <col min="9" max="16384" width="8.81640625" style="37"/>
  </cols>
  <sheetData>
    <row r="1" spans="1:12" s="417" customFormat="1" ht="13.75" customHeight="1">
      <c r="A1" s="417" t="s">
        <v>180</v>
      </c>
    </row>
    <row r="2" spans="1:12" s="417" customFormat="1" ht="13.75" customHeight="1"/>
    <row r="3" spans="1:12" s="417" customFormat="1" ht="13.75" customHeight="1"/>
    <row r="4" spans="1:12" s="88" customFormat="1" ht="14">
      <c r="A4" s="110"/>
    </row>
    <row r="5" spans="1:12" s="88" customFormat="1" ht="14">
      <c r="A5" s="110"/>
    </row>
    <row r="6" spans="1:12" s="87" customFormat="1" ht="14">
      <c r="A6" s="86" t="s">
        <v>398</v>
      </c>
    </row>
    <row r="7" spans="1:12" s="88" customFormat="1" ht="14">
      <c r="A7" s="187" t="s">
        <v>481</v>
      </c>
      <c r="B7" s="187" t="s">
        <v>482</v>
      </c>
      <c r="C7" s="459" t="s">
        <v>485</v>
      </c>
      <c r="D7" s="460"/>
      <c r="E7" s="461"/>
      <c r="F7" s="189"/>
    </row>
    <row r="8" spans="1:12" s="88" customFormat="1" ht="42.5" customHeight="1">
      <c r="A8" s="198" t="s">
        <v>484</v>
      </c>
      <c r="B8" s="198" t="s">
        <v>483</v>
      </c>
      <c r="C8" s="462" t="s">
        <v>486</v>
      </c>
      <c r="D8" s="463"/>
      <c r="E8" s="464"/>
      <c r="F8" s="189"/>
    </row>
    <row r="9" spans="1:12" s="88" customFormat="1" ht="14">
      <c r="A9" s="193"/>
      <c r="B9" s="193"/>
      <c r="C9" s="193"/>
      <c r="D9" s="193"/>
      <c r="E9" s="193"/>
      <c r="F9" s="193"/>
      <c r="G9" s="193"/>
      <c r="H9" s="193"/>
      <c r="I9" s="193"/>
      <c r="J9" s="193"/>
      <c r="K9" s="193"/>
      <c r="L9" s="189"/>
    </row>
    <row r="10" spans="1:12" s="88" customFormat="1" ht="14">
      <c r="A10" s="454" t="s">
        <v>243</v>
      </c>
      <c r="B10" s="454" t="s">
        <v>244</v>
      </c>
      <c r="C10" s="454" t="s">
        <v>245</v>
      </c>
      <c r="D10" s="454" t="s">
        <v>246</v>
      </c>
      <c r="E10" s="454"/>
    </row>
    <row r="11" spans="1:12" s="88" customFormat="1" ht="14">
      <c r="A11" s="454"/>
      <c r="B11" s="454"/>
      <c r="C11" s="454"/>
      <c r="D11" s="89" t="s">
        <v>402</v>
      </c>
      <c r="E11" s="89" t="s">
        <v>403</v>
      </c>
      <c r="F11" s="88" t="s">
        <v>251</v>
      </c>
    </row>
    <row r="12" spans="1:12" s="124" customFormat="1" ht="28">
      <c r="A12" s="128" t="s">
        <v>400</v>
      </c>
      <c r="B12" s="129">
        <v>53000</v>
      </c>
      <c r="C12" s="129">
        <v>30289.63</v>
      </c>
      <c r="D12" s="129">
        <v>20706.23</v>
      </c>
      <c r="E12" s="129">
        <v>9583.4</v>
      </c>
    </row>
    <row r="13" spans="1:12" s="124" customFormat="1" ht="14">
      <c r="A13" s="128" t="s">
        <v>401</v>
      </c>
      <c r="B13" s="129">
        <v>17000</v>
      </c>
      <c r="C13" s="129">
        <v>17008.341388000001</v>
      </c>
      <c r="D13" s="129">
        <v>17008.341388000001</v>
      </c>
      <c r="E13" s="129" t="s">
        <v>48</v>
      </c>
    </row>
    <row r="14" spans="1:12" s="124" customFormat="1" ht="14">
      <c r="A14" s="128" t="s">
        <v>247</v>
      </c>
      <c r="B14" s="129">
        <v>70000</v>
      </c>
      <c r="C14" s="129">
        <v>57210.16</v>
      </c>
      <c r="D14" s="129">
        <v>33785.599999999999</v>
      </c>
      <c r="E14" s="129">
        <v>23424.560000000001</v>
      </c>
    </row>
    <row r="15" spans="1:12" s="124" customFormat="1" ht="14">
      <c r="A15" s="127"/>
      <c r="G15" s="130"/>
    </row>
    <row r="16" spans="1:12" s="132" customFormat="1" ht="14">
      <c r="A16" s="131" t="s">
        <v>399</v>
      </c>
    </row>
    <row r="17" spans="1:14" s="124" customFormat="1" ht="49.75" customHeight="1">
      <c r="A17" s="456" t="s">
        <v>487</v>
      </c>
      <c r="B17" s="456"/>
      <c r="C17" s="456"/>
      <c r="D17" s="456"/>
      <c r="E17" s="456"/>
      <c r="F17" s="188"/>
      <c r="G17" s="188"/>
      <c r="H17" s="188"/>
      <c r="I17" s="188"/>
      <c r="J17" s="188"/>
      <c r="K17" s="188"/>
      <c r="L17" s="188"/>
      <c r="M17" s="188"/>
      <c r="N17" s="188"/>
    </row>
    <row r="18" spans="1:14" s="124" customFormat="1" ht="14">
      <c r="A18" s="127" t="s">
        <v>407</v>
      </c>
    </row>
    <row r="19" spans="1:14" s="124" customFormat="1" ht="14">
      <c r="A19" s="133" t="s">
        <v>248</v>
      </c>
      <c r="B19" s="133" t="s">
        <v>249</v>
      </c>
      <c r="C19" s="133" t="s">
        <v>250</v>
      </c>
      <c r="D19" s="133" t="s">
        <v>408</v>
      </c>
      <c r="E19" s="133" t="s">
        <v>252</v>
      </c>
    </row>
    <row r="20" spans="1:14" s="124" customFormat="1" ht="14">
      <c r="A20" s="185">
        <v>1</v>
      </c>
      <c r="B20" s="111" t="s">
        <v>404</v>
      </c>
      <c r="C20" s="135">
        <v>9925</v>
      </c>
      <c r="D20" s="135">
        <v>8921</v>
      </c>
      <c r="E20" s="121">
        <v>39.96</v>
      </c>
    </row>
    <row r="21" spans="1:14" s="124" customFormat="1" ht="14">
      <c r="A21" s="185">
        <v>2</v>
      </c>
      <c r="B21" s="111" t="s">
        <v>405</v>
      </c>
      <c r="C21" s="135">
        <v>44079</v>
      </c>
      <c r="D21" s="135">
        <v>44079</v>
      </c>
      <c r="E21" s="121">
        <v>18.25</v>
      </c>
    </row>
    <row r="22" spans="1:14" s="124" customFormat="1" ht="14">
      <c r="A22" s="185">
        <v>3</v>
      </c>
      <c r="B22" s="111" t="s">
        <v>192</v>
      </c>
      <c r="C22" s="135">
        <v>15000</v>
      </c>
      <c r="D22" s="121" t="s">
        <v>409</v>
      </c>
      <c r="E22" s="121">
        <v>7.96</v>
      </c>
    </row>
    <row r="23" spans="1:14" s="124" customFormat="1" ht="14">
      <c r="A23" s="453" t="s">
        <v>247</v>
      </c>
      <c r="B23" s="453"/>
      <c r="C23" s="136" t="s">
        <v>406</v>
      </c>
      <c r="D23" s="135">
        <v>53000</v>
      </c>
      <c r="E23" s="121">
        <v>100</v>
      </c>
    </row>
    <row r="24" spans="1:14" s="124" customFormat="1" ht="14">
      <c r="A24" s="127"/>
    </row>
    <row r="25" spans="1:14" s="124" customFormat="1" ht="14">
      <c r="A25" s="127"/>
    </row>
    <row r="26" spans="1:14" s="184" customFormat="1" ht="14">
      <c r="A26" s="183" t="s">
        <v>410</v>
      </c>
    </row>
    <row r="27" spans="1:14" ht="21" customHeight="1">
      <c r="A27" s="187" t="s">
        <v>481</v>
      </c>
      <c r="B27" s="187" t="s">
        <v>482</v>
      </c>
      <c r="C27" s="459" t="s">
        <v>485</v>
      </c>
      <c r="D27" s="460"/>
      <c r="E27" s="461"/>
    </row>
    <row r="28" spans="1:14" ht="36" customHeight="1">
      <c r="A28" s="332" t="s">
        <v>488</v>
      </c>
      <c r="B28" s="198" t="s">
        <v>490</v>
      </c>
      <c r="C28" s="462" t="s">
        <v>489</v>
      </c>
      <c r="D28" s="463"/>
      <c r="E28" s="464"/>
    </row>
    <row r="29" spans="1:14" ht="14">
      <c r="A29" s="127" t="s">
        <v>422</v>
      </c>
    </row>
    <row r="30" spans="1:14" ht="14">
      <c r="A30" s="454" t="s">
        <v>243</v>
      </c>
      <c r="B30" s="454" t="s">
        <v>414</v>
      </c>
      <c r="C30" s="454" t="s">
        <v>250</v>
      </c>
      <c r="D30" s="465" t="s">
        <v>491</v>
      </c>
      <c r="E30" s="466"/>
      <c r="F30" s="466"/>
      <c r="G30" s="466"/>
      <c r="H30" s="467"/>
    </row>
    <row r="31" spans="1:14" ht="14">
      <c r="A31" s="454"/>
      <c r="B31" s="454"/>
      <c r="C31" s="454"/>
      <c r="D31" s="89" t="s">
        <v>271</v>
      </c>
      <c r="E31" s="89" t="s">
        <v>272</v>
      </c>
      <c r="F31" s="89" t="s">
        <v>420</v>
      </c>
      <c r="G31" s="89" t="s">
        <v>3</v>
      </c>
      <c r="H31" s="89" t="s">
        <v>402</v>
      </c>
    </row>
    <row r="32" spans="1:14" ht="14">
      <c r="A32" s="134" t="s">
        <v>411</v>
      </c>
      <c r="B32" s="111" t="s">
        <v>415</v>
      </c>
      <c r="C32" s="135">
        <v>22200</v>
      </c>
      <c r="D32" s="129" t="s">
        <v>48</v>
      </c>
      <c r="E32" s="129" t="s">
        <v>421</v>
      </c>
      <c r="F32" s="129">
        <v>3219.62</v>
      </c>
      <c r="G32" s="129">
        <v>7226.9646249999996</v>
      </c>
      <c r="H32" s="129">
        <v>27.06</v>
      </c>
    </row>
    <row r="33" spans="1:13" ht="14">
      <c r="A33" s="134" t="s">
        <v>412</v>
      </c>
      <c r="B33" s="111" t="s">
        <v>416</v>
      </c>
      <c r="C33" s="135">
        <v>10000</v>
      </c>
      <c r="D33" s="129">
        <v>1035.6972000000001</v>
      </c>
      <c r="E33" s="129">
        <v>6841.0222910000002</v>
      </c>
      <c r="F33" s="129">
        <v>1706.68</v>
      </c>
      <c r="G33" s="129">
        <v>628.10015399999997</v>
      </c>
      <c r="H33" s="129" t="s">
        <v>48</v>
      </c>
    </row>
    <row r="34" spans="1:13" ht="14">
      <c r="A34" s="134" t="s">
        <v>413</v>
      </c>
      <c r="B34" s="111" t="s">
        <v>417</v>
      </c>
      <c r="C34" s="186">
        <v>2800</v>
      </c>
      <c r="D34" s="37" t="s">
        <v>48</v>
      </c>
      <c r="E34" s="129">
        <v>95.37</v>
      </c>
      <c r="F34" s="129">
        <v>1315.85</v>
      </c>
      <c r="G34" s="129">
        <v>1617.2406089999999</v>
      </c>
      <c r="H34" s="129" t="s">
        <v>48</v>
      </c>
    </row>
    <row r="35" spans="1:13" ht="14">
      <c r="A35" s="134" t="s">
        <v>418</v>
      </c>
      <c r="B35" s="111" t="s">
        <v>419</v>
      </c>
      <c r="C35" s="135">
        <v>14961.485000000001</v>
      </c>
      <c r="D35" s="129" t="s">
        <v>48</v>
      </c>
      <c r="E35" s="129" t="s">
        <v>48</v>
      </c>
      <c r="F35" s="129">
        <v>14961.485000000001</v>
      </c>
      <c r="G35" s="129" t="s">
        <v>48</v>
      </c>
      <c r="H35" s="129" t="s">
        <v>48</v>
      </c>
    </row>
    <row r="36" spans="1:13" s="201" customFormat="1" ht="14">
      <c r="A36" s="455" t="s">
        <v>247</v>
      </c>
      <c r="B36" s="455"/>
      <c r="C36" s="199">
        <v>49961.485000000001</v>
      </c>
      <c r="D36" s="199">
        <v>1035.6972000000001</v>
      </c>
      <c r="E36" s="199">
        <v>19554.39</v>
      </c>
      <c r="F36" s="199">
        <v>21203.64</v>
      </c>
      <c r="G36" s="199">
        <v>9472.2999999999993</v>
      </c>
      <c r="H36" s="200">
        <v>27.06</v>
      </c>
    </row>
    <row r="37" spans="1:13" ht="14">
      <c r="L37" s="188"/>
      <c r="M37" s="188"/>
    </row>
    <row r="38" spans="1:13" s="184" customFormat="1" ht="14">
      <c r="A38" s="131" t="s">
        <v>411</v>
      </c>
      <c r="B38" s="126"/>
      <c r="C38" s="126"/>
      <c r="D38" s="126"/>
      <c r="E38" s="126"/>
      <c r="F38" s="126"/>
      <c r="G38" s="126"/>
      <c r="H38" s="126"/>
      <c r="I38" s="126"/>
      <c r="J38" s="126"/>
      <c r="K38" s="126"/>
    </row>
    <row r="39" spans="1:13" ht="30" customHeight="1">
      <c r="A39" s="456" t="s">
        <v>807</v>
      </c>
      <c r="B39" s="456"/>
      <c r="C39" s="456"/>
      <c r="D39" s="456"/>
      <c r="E39" s="456"/>
      <c r="F39" s="188"/>
      <c r="G39" s="188"/>
      <c r="H39" s="188"/>
      <c r="I39" s="188"/>
      <c r="J39" s="188"/>
      <c r="K39" s="188"/>
    </row>
    <row r="40" spans="1:13" ht="14">
      <c r="A40" s="192"/>
      <c r="B40" s="192"/>
      <c r="C40" s="192"/>
      <c r="D40" s="192"/>
      <c r="E40" s="192"/>
      <c r="F40" s="192"/>
      <c r="G40" s="192"/>
      <c r="H40" s="192"/>
      <c r="I40" s="192"/>
      <c r="J40" s="192"/>
      <c r="K40" s="188"/>
    </row>
    <row r="41" spans="1:13" ht="14">
      <c r="A41" s="192"/>
      <c r="B41" s="192"/>
      <c r="C41" s="192"/>
      <c r="D41" s="192"/>
      <c r="E41" s="192"/>
      <c r="F41" s="192"/>
      <c r="G41" s="192"/>
      <c r="H41" s="192"/>
      <c r="I41" s="192"/>
      <c r="J41" s="192"/>
      <c r="K41" s="188"/>
    </row>
    <row r="42" spans="1:13" ht="14">
      <c r="A42" s="183" t="s">
        <v>494</v>
      </c>
      <c r="B42" s="184"/>
      <c r="C42" s="184"/>
      <c r="D42" s="184"/>
      <c r="E42" s="184"/>
      <c r="F42" s="184"/>
      <c r="G42" s="184"/>
      <c r="H42" s="184"/>
      <c r="I42" s="184"/>
      <c r="J42" s="184"/>
      <c r="K42" s="184"/>
    </row>
    <row r="43" spans="1:13" ht="39.25" customHeight="1">
      <c r="A43" s="187" t="s">
        <v>481</v>
      </c>
      <c r="B43" s="187" t="s">
        <v>482</v>
      </c>
      <c r="C43" s="457" t="s">
        <v>485</v>
      </c>
      <c r="D43" s="457"/>
      <c r="E43" s="457"/>
    </row>
    <row r="44" spans="1:13" ht="44" customHeight="1">
      <c r="A44" s="91" t="s">
        <v>496</v>
      </c>
      <c r="B44" s="198" t="s">
        <v>493</v>
      </c>
      <c r="C44" s="458" t="s">
        <v>495</v>
      </c>
      <c r="D44" s="458"/>
      <c r="E44" s="458"/>
    </row>
    <row r="45" spans="1:13" ht="14">
      <c r="A45" s="193"/>
      <c r="B45" s="193"/>
      <c r="C45" s="193"/>
      <c r="D45" s="193"/>
      <c r="E45" s="193"/>
      <c r="F45" s="193"/>
      <c r="G45" s="193"/>
      <c r="H45" s="193"/>
      <c r="I45" s="193"/>
      <c r="J45" s="193"/>
      <c r="K45" s="193"/>
    </row>
    <row r="46" spans="1:13" ht="14">
      <c r="A46" s="133" t="s">
        <v>427</v>
      </c>
      <c r="B46" s="133" t="s">
        <v>428</v>
      </c>
      <c r="C46" s="133" t="s">
        <v>492</v>
      </c>
      <c r="D46" s="133" t="s">
        <v>423</v>
      </c>
      <c r="E46" s="133" t="s">
        <v>429</v>
      </c>
    </row>
    <row r="47" spans="1:13" ht="14">
      <c r="A47" s="453" t="s">
        <v>424</v>
      </c>
      <c r="B47" s="187" t="s">
        <v>425</v>
      </c>
      <c r="C47" s="167">
        <v>0.24049999999999999</v>
      </c>
      <c r="D47" s="170">
        <v>21885.5</v>
      </c>
      <c r="E47" s="91">
        <v>21414383</v>
      </c>
    </row>
    <row r="48" spans="1:13" ht="14">
      <c r="A48" s="453"/>
      <c r="B48" s="187" t="s">
        <v>298</v>
      </c>
      <c r="C48" s="167">
        <v>0.33700000000000002</v>
      </c>
      <c r="D48" s="170">
        <v>30667</v>
      </c>
      <c r="E48" s="91">
        <v>30006849</v>
      </c>
    </row>
    <row r="49" spans="1:5" ht="14">
      <c r="A49" s="453"/>
      <c r="B49" s="187" t="s">
        <v>426</v>
      </c>
      <c r="C49" s="167">
        <v>0.13650000000000001</v>
      </c>
      <c r="D49" s="166">
        <v>12421.5</v>
      </c>
      <c r="E49" s="91">
        <v>12154109</v>
      </c>
    </row>
    <row r="50" spans="1:5" ht="14">
      <c r="A50" s="185" t="s">
        <v>430</v>
      </c>
      <c r="B50" s="185" t="s">
        <v>425</v>
      </c>
      <c r="C50" s="202">
        <v>0.6</v>
      </c>
      <c r="D50" s="170">
        <v>15870</v>
      </c>
      <c r="E50" s="91">
        <v>15528375</v>
      </c>
    </row>
    <row r="51" spans="1:5" ht="14">
      <c r="A51" s="453" t="s">
        <v>431</v>
      </c>
      <c r="B51" s="185" t="s">
        <v>432</v>
      </c>
      <c r="C51" s="167">
        <v>0.60980000000000001</v>
      </c>
      <c r="D51" s="185">
        <v>5835.79</v>
      </c>
      <c r="E51" s="185">
        <v>5710162</v>
      </c>
    </row>
    <row r="52" spans="1:5" ht="14">
      <c r="A52" s="453"/>
      <c r="B52" s="187" t="s">
        <v>298</v>
      </c>
      <c r="C52" s="167">
        <v>0.39019999999999999</v>
      </c>
      <c r="D52" s="170">
        <v>3734.21</v>
      </c>
      <c r="E52" s="91">
        <v>3653829</v>
      </c>
    </row>
    <row r="53" spans="1:5" ht="14">
      <c r="A53" s="453" t="s">
        <v>38</v>
      </c>
      <c r="B53" s="453"/>
      <c r="C53" s="453"/>
      <c r="D53" s="170">
        <v>90414</v>
      </c>
      <c r="E53" s="91">
        <v>88467707</v>
      </c>
    </row>
  </sheetData>
  <mergeCells count="22">
    <mergeCell ref="A17:E17"/>
    <mergeCell ref="C27:E27"/>
    <mergeCell ref="C28:E28"/>
    <mergeCell ref="D30:H30"/>
    <mergeCell ref="A1:XFD3"/>
    <mergeCell ref="C10:C11"/>
    <mergeCell ref="B10:B11"/>
    <mergeCell ref="A10:A11"/>
    <mergeCell ref="D10:E10"/>
    <mergeCell ref="C7:E7"/>
    <mergeCell ref="C8:E8"/>
    <mergeCell ref="A53:C53"/>
    <mergeCell ref="A47:A49"/>
    <mergeCell ref="A23:B23"/>
    <mergeCell ref="A30:A31"/>
    <mergeCell ref="B30:B31"/>
    <mergeCell ref="C30:C31"/>
    <mergeCell ref="A36:B36"/>
    <mergeCell ref="A39:E39"/>
    <mergeCell ref="A51:A52"/>
    <mergeCell ref="C43:E43"/>
    <mergeCell ref="C44:E44"/>
  </mergeCells>
  <phoneticPr fontId="11" type="noConversion"/>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sheetPr>
  <dimension ref="A1:G74"/>
  <sheetViews>
    <sheetView showGridLines="0" topLeftCell="A28" zoomScale="85" zoomScaleNormal="85" workbookViewId="0">
      <selection activeCell="D9" sqref="D9"/>
    </sheetView>
  </sheetViews>
  <sheetFormatPr defaultRowHeight="14"/>
  <cols>
    <col min="1" max="1" width="16.81640625" customWidth="1"/>
    <col min="2" max="2" width="24.08984375" customWidth="1"/>
    <col min="3" max="3" width="32.36328125" customWidth="1"/>
    <col min="4" max="4" width="28" customWidth="1"/>
    <col min="5" max="5" width="26.453125" customWidth="1"/>
    <col min="6" max="6" width="17.7265625" customWidth="1"/>
    <col min="7" max="7" width="14.26953125" customWidth="1"/>
  </cols>
  <sheetData>
    <row r="1" spans="1:7" s="416" customFormat="1">
      <c r="A1" s="416" t="s">
        <v>268</v>
      </c>
    </row>
    <row r="2" spans="1:7" s="416" customFormat="1"/>
    <row r="3" spans="1:7" s="416" customFormat="1"/>
    <row r="4" spans="1:7" s="69" customFormat="1"/>
    <row r="5" spans="1:7" s="76" customFormat="1">
      <c r="A5" s="75" t="s">
        <v>433</v>
      </c>
    </row>
    <row r="6" spans="1:7" s="69" customFormat="1">
      <c r="A6" s="150" t="s">
        <v>497</v>
      </c>
      <c r="B6" s="203">
        <v>44754</v>
      </c>
      <c r="C6" s="150"/>
      <c r="D6" s="150"/>
    </row>
    <row r="7" spans="1:7">
      <c r="A7" s="150" t="s">
        <v>498</v>
      </c>
      <c r="B7" s="203">
        <v>44753</v>
      </c>
      <c r="C7" s="150"/>
      <c r="D7" s="150"/>
    </row>
    <row r="8" spans="1:7">
      <c r="A8" s="150" t="s">
        <v>499</v>
      </c>
      <c r="B8" s="204" t="s">
        <v>550</v>
      </c>
      <c r="C8" s="150"/>
      <c r="D8" s="150"/>
    </row>
    <row r="9" spans="1:7">
      <c r="A9" s="150" t="s">
        <v>500</v>
      </c>
      <c r="B9" s="204" t="s">
        <v>501</v>
      </c>
      <c r="C9" s="150"/>
      <c r="D9" s="150"/>
    </row>
    <row r="10" spans="1:7">
      <c r="A10" s="150" t="s">
        <v>502</v>
      </c>
      <c r="B10" s="205" t="s">
        <v>551</v>
      </c>
    </row>
    <row r="12" spans="1:7" ht="28">
      <c r="A12" s="210" t="s">
        <v>503</v>
      </c>
      <c r="B12" s="211" t="s">
        <v>504</v>
      </c>
      <c r="C12" s="211" t="s">
        <v>182</v>
      </c>
      <c r="D12" s="211" t="s">
        <v>183</v>
      </c>
      <c r="E12" s="211" t="s">
        <v>552</v>
      </c>
      <c r="F12" s="211" t="s">
        <v>509</v>
      </c>
      <c r="G12" s="211" t="s">
        <v>510</v>
      </c>
    </row>
    <row r="13" spans="1:7">
      <c r="B13" s="190">
        <v>1</v>
      </c>
      <c r="C13" s="211" t="s">
        <v>284</v>
      </c>
      <c r="D13" s="211" t="s">
        <v>505</v>
      </c>
      <c r="E13" s="213">
        <v>200</v>
      </c>
      <c r="F13" s="214">
        <v>3.85E-2</v>
      </c>
      <c r="G13" s="214">
        <v>3.8E-3</v>
      </c>
    </row>
    <row r="14" spans="1:7">
      <c r="B14" s="190">
        <v>2</v>
      </c>
      <c r="C14" s="211" t="s">
        <v>285</v>
      </c>
      <c r="D14" s="211" t="s">
        <v>506</v>
      </c>
      <c r="E14" s="213">
        <v>200</v>
      </c>
      <c r="F14" s="214">
        <v>3.85E-2</v>
      </c>
      <c r="G14" s="214">
        <v>3.8E-3</v>
      </c>
    </row>
    <row r="15" spans="1:7">
      <c r="B15" s="470" t="s">
        <v>507</v>
      </c>
      <c r="C15" s="473"/>
      <c r="D15" s="471"/>
      <c r="E15" s="213">
        <v>400</v>
      </c>
      <c r="F15" s="214">
        <v>7.6999999999999999E-2</v>
      </c>
      <c r="G15" s="214">
        <v>7.6E-3</v>
      </c>
    </row>
    <row r="16" spans="1:7" ht="28" customHeight="1">
      <c r="B16" s="470" t="s">
        <v>508</v>
      </c>
      <c r="C16" s="473"/>
      <c r="D16" s="471"/>
      <c r="E16" s="213">
        <v>4176</v>
      </c>
      <c r="F16" s="214">
        <v>0.80300000000000005</v>
      </c>
      <c r="G16" s="214">
        <v>7.9600000000000004E-2</v>
      </c>
    </row>
    <row r="17" spans="1:7">
      <c r="B17" s="470" t="s">
        <v>511</v>
      </c>
      <c r="C17" s="473"/>
      <c r="D17" s="471"/>
      <c r="E17" s="213">
        <v>624</v>
      </c>
      <c r="F17" s="214">
        <v>0.12</v>
      </c>
      <c r="G17" s="214">
        <v>1.1900000000000001E-2</v>
      </c>
    </row>
    <row r="18" spans="1:7">
      <c r="B18" s="472" t="s">
        <v>247</v>
      </c>
      <c r="C18" s="472"/>
      <c r="D18" s="472"/>
      <c r="E18" s="213">
        <v>5200</v>
      </c>
      <c r="F18" s="214">
        <v>1</v>
      </c>
      <c r="G18" s="214">
        <v>9.9099999999999994E-2</v>
      </c>
    </row>
    <row r="19" spans="1:7">
      <c r="B19" s="203"/>
      <c r="C19" s="203"/>
      <c r="D19" s="203"/>
      <c r="E19" s="203"/>
      <c r="F19" s="203"/>
      <c r="G19" s="203"/>
    </row>
    <row r="20" spans="1:7">
      <c r="A20" s="210" t="s">
        <v>512</v>
      </c>
      <c r="B20" s="217" t="s">
        <v>523</v>
      </c>
      <c r="C20" s="203"/>
      <c r="D20" s="203"/>
      <c r="F20" s="203"/>
      <c r="G20" s="203"/>
    </row>
    <row r="21" spans="1:7">
      <c r="B21" s="472" t="s">
        <v>513</v>
      </c>
      <c r="C21" s="472" t="s">
        <v>520</v>
      </c>
      <c r="D21" s="472" t="s">
        <v>522</v>
      </c>
      <c r="E21" s="203"/>
      <c r="F21" s="203"/>
      <c r="G21" s="203"/>
    </row>
    <row r="22" spans="1:7">
      <c r="B22" s="472"/>
      <c r="C22" s="472"/>
      <c r="D22" s="472"/>
      <c r="E22" s="203"/>
      <c r="F22" s="203"/>
      <c r="G22" s="203"/>
    </row>
    <row r="23" spans="1:7" ht="43.5" customHeight="1">
      <c r="B23" s="212" t="s">
        <v>517</v>
      </c>
      <c r="C23" s="211" t="s">
        <v>514</v>
      </c>
      <c r="D23" s="214">
        <v>0.3</v>
      </c>
      <c r="E23" s="203"/>
      <c r="F23" s="203"/>
      <c r="G23" s="203"/>
    </row>
    <row r="24" spans="1:7" ht="42">
      <c r="B24" s="212" t="s">
        <v>518</v>
      </c>
      <c r="C24" s="211" t="s">
        <v>515</v>
      </c>
      <c r="D24" s="214">
        <v>0.3</v>
      </c>
      <c r="E24" s="203"/>
      <c r="F24" s="203"/>
      <c r="G24" s="203"/>
    </row>
    <row r="25" spans="1:7" ht="42">
      <c r="B25" s="212" t="s">
        <v>519</v>
      </c>
      <c r="C25" s="211" t="s">
        <v>516</v>
      </c>
      <c r="D25" s="214">
        <v>0.4</v>
      </c>
      <c r="E25" s="203"/>
      <c r="F25" s="203"/>
      <c r="G25" s="203"/>
    </row>
    <row r="26" spans="1:7" ht="43" customHeight="1">
      <c r="B26" s="217" t="s">
        <v>524</v>
      </c>
      <c r="C26" s="207"/>
      <c r="D26" s="207"/>
      <c r="E26" s="206"/>
      <c r="F26" s="208"/>
      <c r="G26" s="209"/>
    </row>
    <row r="27" spans="1:7">
      <c r="B27" s="212" t="s">
        <v>525</v>
      </c>
      <c r="C27" s="212" t="s">
        <v>520</v>
      </c>
      <c r="D27" s="212" t="s">
        <v>522</v>
      </c>
      <c r="E27" s="206"/>
      <c r="F27" s="208"/>
      <c r="G27" s="209"/>
    </row>
    <row r="28" spans="1:7" ht="59" customHeight="1">
      <c r="B28" s="212" t="s">
        <v>517</v>
      </c>
      <c r="C28" s="212" t="s">
        <v>526</v>
      </c>
      <c r="D28" s="214">
        <v>0.3</v>
      </c>
      <c r="E28" s="206"/>
      <c r="F28" s="208"/>
      <c r="G28" s="209"/>
    </row>
    <row r="29" spans="1:7" ht="56">
      <c r="B29" s="212" t="s">
        <v>518</v>
      </c>
      <c r="C29" s="212" t="s">
        <v>527</v>
      </c>
      <c r="D29" s="214">
        <v>0.3</v>
      </c>
      <c r="E29" s="206"/>
      <c r="F29" s="208"/>
      <c r="G29" s="209"/>
    </row>
    <row r="30" spans="1:7" ht="56">
      <c r="B30" s="212" t="s">
        <v>519</v>
      </c>
      <c r="C30" s="212" t="s">
        <v>528</v>
      </c>
      <c r="D30" s="214">
        <v>0.4</v>
      </c>
      <c r="E30" s="206"/>
      <c r="F30" s="208"/>
      <c r="G30" s="209"/>
    </row>
    <row r="31" spans="1:7" ht="28">
      <c r="B31" s="217" t="s">
        <v>529</v>
      </c>
      <c r="C31" s="215"/>
      <c r="D31" s="216"/>
      <c r="E31" s="206"/>
      <c r="F31" s="208"/>
      <c r="G31" s="209"/>
    </row>
    <row r="32" spans="1:7">
      <c r="B32" s="212" t="s">
        <v>525</v>
      </c>
      <c r="C32" s="212" t="s">
        <v>520</v>
      </c>
      <c r="D32" s="214" t="s">
        <v>521</v>
      </c>
      <c r="E32" s="206"/>
      <c r="F32" s="208"/>
      <c r="G32" s="209"/>
    </row>
    <row r="33" spans="1:7" ht="56">
      <c r="B33" s="212" t="s">
        <v>517</v>
      </c>
      <c r="C33" s="212" t="s">
        <v>526</v>
      </c>
      <c r="D33" s="214">
        <v>0.5</v>
      </c>
      <c r="E33" s="206"/>
      <c r="F33" s="208"/>
      <c r="G33" s="209"/>
    </row>
    <row r="34" spans="1:7" ht="56">
      <c r="B34" s="212" t="s">
        <v>518</v>
      </c>
      <c r="C34" s="212" t="s">
        <v>527</v>
      </c>
      <c r="D34" s="214">
        <v>0.5</v>
      </c>
      <c r="E34" s="206"/>
      <c r="F34" s="208"/>
      <c r="G34" s="209"/>
    </row>
    <row r="35" spans="1:7">
      <c r="B35" s="215"/>
      <c r="C35" s="215"/>
      <c r="D35" s="216"/>
      <c r="E35" s="206"/>
      <c r="F35" s="208"/>
      <c r="G35" s="209"/>
    </row>
    <row r="36" spans="1:7" ht="28">
      <c r="A36" s="210" t="s">
        <v>530</v>
      </c>
      <c r="B36" s="217" t="s">
        <v>531</v>
      </c>
      <c r="C36" s="215"/>
      <c r="D36" s="216"/>
      <c r="E36" s="206"/>
      <c r="F36" s="208"/>
      <c r="G36" s="209"/>
    </row>
    <row r="37" spans="1:7">
      <c r="B37" s="212" t="s">
        <v>532</v>
      </c>
      <c r="C37" s="212" t="s">
        <v>533</v>
      </c>
      <c r="D37" s="212" t="s">
        <v>538</v>
      </c>
      <c r="E37" s="212" t="s">
        <v>217</v>
      </c>
      <c r="F37" s="208"/>
      <c r="G37" s="209"/>
    </row>
    <row r="38" spans="1:7">
      <c r="B38" s="212" t="s">
        <v>517</v>
      </c>
      <c r="C38" s="212" t="s">
        <v>534</v>
      </c>
      <c r="D38" s="212" t="s">
        <v>539</v>
      </c>
      <c r="E38" s="212" t="s">
        <v>540</v>
      </c>
      <c r="F38" s="208"/>
      <c r="G38" s="209"/>
    </row>
    <row r="39" spans="1:7">
      <c r="B39" s="212" t="s">
        <v>518</v>
      </c>
      <c r="C39" s="212" t="s">
        <v>535</v>
      </c>
      <c r="D39" s="212" t="s">
        <v>541</v>
      </c>
      <c r="E39" s="212" t="s">
        <v>542</v>
      </c>
      <c r="F39" s="208"/>
      <c r="G39" s="209"/>
    </row>
    <row r="40" spans="1:7">
      <c r="B40" s="212" t="s">
        <v>519</v>
      </c>
      <c r="C40" s="212" t="s">
        <v>536</v>
      </c>
      <c r="D40" s="212" t="s">
        <v>543</v>
      </c>
      <c r="E40" s="212" t="s">
        <v>544</v>
      </c>
      <c r="F40" s="208"/>
      <c r="G40" s="209"/>
    </row>
    <row r="41" spans="1:7" ht="28">
      <c r="B41" s="217" t="s">
        <v>537</v>
      </c>
      <c r="C41" s="215"/>
      <c r="D41" s="216"/>
      <c r="E41" s="206"/>
      <c r="F41" s="208"/>
      <c r="G41" s="209"/>
    </row>
    <row r="42" spans="1:7">
      <c r="B42" s="212" t="s">
        <v>532</v>
      </c>
      <c r="C42" s="212" t="s">
        <v>533</v>
      </c>
      <c r="D42" s="212" t="s">
        <v>538</v>
      </c>
      <c r="E42" s="212" t="s">
        <v>217</v>
      </c>
      <c r="F42" s="208"/>
      <c r="G42" s="209"/>
    </row>
    <row r="43" spans="1:7">
      <c r="B43" s="212" t="s">
        <v>517</v>
      </c>
      <c r="C43" s="212" t="s">
        <v>535</v>
      </c>
      <c r="D43" s="212" t="s">
        <v>541</v>
      </c>
      <c r="E43" s="212" t="s">
        <v>542</v>
      </c>
      <c r="F43" s="208"/>
      <c r="G43" s="209"/>
    </row>
    <row r="44" spans="1:7">
      <c r="B44" s="212" t="s">
        <v>518</v>
      </c>
      <c r="C44" s="212" t="s">
        <v>536</v>
      </c>
      <c r="D44" s="212" t="s">
        <v>543</v>
      </c>
      <c r="E44" s="212" t="s">
        <v>544</v>
      </c>
      <c r="F44" s="208"/>
      <c r="G44" s="209"/>
    </row>
    <row r="45" spans="1:7">
      <c r="B45" s="215"/>
      <c r="C45" s="215"/>
      <c r="D45" s="215"/>
      <c r="E45" s="215"/>
      <c r="F45" s="208"/>
      <c r="G45" s="209"/>
    </row>
    <row r="46" spans="1:7">
      <c r="A46" s="210" t="s">
        <v>545</v>
      </c>
      <c r="B46" s="212" t="s">
        <v>546</v>
      </c>
      <c r="C46" s="212" t="s">
        <v>534</v>
      </c>
      <c r="D46" s="212" t="s">
        <v>535</v>
      </c>
      <c r="E46" s="212" t="s">
        <v>536</v>
      </c>
      <c r="F46" s="212" t="s">
        <v>806</v>
      </c>
      <c r="G46" s="209"/>
    </row>
    <row r="47" spans="1:7">
      <c r="B47" s="331">
        <v>7824.74</v>
      </c>
      <c r="C47" s="213">
        <v>2162.5</v>
      </c>
      <c r="D47" s="213">
        <v>3323.2</v>
      </c>
      <c r="E47" s="213">
        <v>1749.87</v>
      </c>
      <c r="F47" s="213">
        <v>589.16999999999996</v>
      </c>
    </row>
    <row r="48" spans="1:7">
      <c r="B48" s="215"/>
      <c r="C48" s="218"/>
      <c r="D48" s="218"/>
      <c r="E48" s="218"/>
    </row>
    <row r="49" spans="1:7" s="149" customFormat="1">
      <c r="A49" s="191" t="s">
        <v>434</v>
      </c>
    </row>
    <row r="50" spans="1:7">
      <c r="A50" s="150" t="s">
        <v>497</v>
      </c>
      <c r="B50" s="203">
        <v>43263</v>
      </c>
      <c r="C50" s="150"/>
      <c r="D50" s="150"/>
      <c r="E50" s="69"/>
      <c r="F50" s="69"/>
      <c r="G50" s="69"/>
    </row>
    <row r="51" spans="1:7" ht="14" customHeight="1">
      <c r="A51" s="150" t="s">
        <v>498</v>
      </c>
      <c r="B51" s="203">
        <v>43259</v>
      </c>
      <c r="C51" s="150"/>
      <c r="D51" s="150"/>
    </row>
    <row r="52" spans="1:7">
      <c r="A52" s="150" t="s">
        <v>499</v>
      </c>
      <c r="B52" s="204" t="s">
        <v>548</v>
      </c>
      <c r="C52" s="150"/>
      <c r="D52" s="150"/>
    </row>
    <row r="53" spans="1:7">
      <c r="A53" s="150" t="s">
        <v>500</v>
      </c>
      <c r="B53" s="204" t="s">
        <v>553</v>
      </c>
      <c r="C53" s="150"/>
      <c r="D53" s="150"/>
    </row>
    <row r="54" spans="1:7">
      <c r="A54" s="150" t="s">
        <v>502</v>
      </c>
      <c r="B54" s="205" t="s">
        <v>549</v>
      </c>
    </row>
    <row r="56" spans="1:7" ht="28">
      <c r="A56" s="210" t="s">
        <v>503</v>
      </c>
      <c r="B56" s="212" t="s">
        <v>182</v>
      </c>
      <c r="C56" s="212" t="s">
        <v>554</v>
      </c>
      <c r="D56" s="212" t="s">
        <v>555</v>
      </c>
      <c r="E56" s="212" t="s">
        <v>556</v>
      </c>
      <c r="F56" s="212" t="s">
        <v>557</v>
      </c>
      <c r="G56" s="212" t="s">
        <v>510</v>
      </c>
    </row>
    <row r="57" spans="1:7" ht="28" customHeight="1">
      <c r="B57" s="468" t="s">
        <v>558</v>
      </c>
      <c r="C57" s="469"/>
      <c r="D57" s="213">
        <v>1470</v>
      </c>
      <c r="E57" s="213">
        <v>100</v>
      </c>
      <c r="F57" s="190">
        <v>3.34</v>
      </c>
      <c r="G57" s="214">
        <v>3.8E-3</v>
      </c>
    </row>
    <row r="58" spans="1:7">
      <c r="B58" s="468" t="s">
        <v>507</v>
      </c>
      <c r="C58" s="469"/>
      <c r="D58" s="213">
        <v>1470</v>
      </c>
      <c r="E58" s="213">
        <v>100</v>
      </c>
      <c r="F58" s="190">
        <v>3.34</v>
      </c>
      <c r="G58" s="214">
        <v>3.8E-3</v>
      </c>
    </row>
    <row r="59" spans="1:7">
      <c r="B59" s="470" t="s">
        <v>559</v>
      </c>
      <c r="C59" s="471"/>
      <c r="D59" s="213">
        <v>0</v>
      </c>
      <c r="E59" s="213">
        <v>0</v>
      </c>
      <c r="F59" s="190">
        <v>0</v>
      </c>
      <c r="G59" s="214">
        <v>7.6E-3</v>
      </c>
    </row>
    <row r="60" spans="1:7" ht="14" customHeight="1">
      <c r="B60" s="470" t="s">
        <v>38</v>
      </c>
      <c r="C60" s="471"/>
      <c r="D60" s="213">
        <v>1470</v>
      </c>
      <c r="E60" s="213">
        <v>100</v>
      </c>
      <c r="F60" s="190">
        <v>3.34</v>
      </c>
      <c r="G60" s="214">
        <v>7.9600000000000004E-2</v>
      </c>
    </row>
    <row r="61" spans="1:7">
      <c r="B61" s="203"/>
      <c r="C61" s="203"/>
      <c r="D61" s="203"/>
      <c r="E61" s="203"/>
      <c r="F61" s="203"/>
      <c r="G61" s="203"/>
    </row>
    <row r="62" spans="1:7">
      <c r="A62" s="210" t="s">
        <v>512</v>
      </c>
      <c r="B62" s="217" t="s">
        <v>523</v>
      </c>
      <c r="C62" s="203"/>
      <c r="D62" s="203"/>
      <c r="F62" s="203"/>
      <c r="G62" s="203"/>
    </row>
    <row r="63" spans="1:7">
      <c r="B63" s="212" t="s">
        <v>560</v>
      </c>
      <c r="C63" s="212" t="s">
        <v>561</v>
      </c>
      <c r="D63" s="212" t="s">
        <v>562</v>
      </c>
      <c r="E63" s="203"/>
      <c r="F63" s="203"/>
      <c r="G63" s="203"/>
    </row>
    <row r="64" spans="1:7" ht="56">
      <c r="B64" s="212" t="s">
        <v>563</v>
      </c>
      <c r="C64" s="219" t="s">
        <v>564</v>
      </c>
      <c r="D64" s="214">
        <v>0.4</v>
      </c>
      <c r="E64" s="203"/>
      <c r="F64" s="203"/>
      <c r="G64" s="203"/>
    </row>
    <row r="65" spans="1:7" ht="56">
      <c r="B65" s="212" t="s">
        <v>568</v>
      </c>
      <c r="C65" s="211" t="s">
        <v>565</v>
      </c>
      <c r="D65" s="214">
        <v>0.3</v>
      </c>
      <c r="E65" s="203"/>
      <c r="F65" s="203"/>
      <c r="G65" s="203"/>
    </row>
    <row r="66" spans="1:7" ht="56">
      <c r="B66" s="212" t="s">
        <v>566</v>
      </c>
      <c r="C66" s="211" t="s">
        <v>567</v>
      </c>
      <c r="D66" s="214">
        <v>0.3</v>
      </c>
      <c r="E66" s="203"/>
      <c r="F66" s="203"/>
      <c r="G66" s="203"/>
    </row>
    <row r="67" spans="1:7">
      <c r="B67" s="215"/>
      <c r="C67" s="215"/>
      <c r="D67" s="216"/>
      <c r="E67" s="206"/>
      <c r="F67" s="208"/>
      <c r="G67" s="209"/>
    </row>
    <row r="68" spans="1:7">
      <c r="A68" s="210" t="s">
        <v>530</v>
      </c>
      <c r="B68" s="212" t="s">
        <v>560</v>
      </c>
      <c r="C68" s="212" t="s">
        <v>569</v>
      </c>
      <c r="D68" s="215"/>
      <c r="E68" s="215"/>
      <c r="F68" s="208"/>
      <c r="G68" s="209"/>
    </row>
    <row r="69" spans="1:7" ht="42">
      <c r="B69" s="212" t="s">
        <v>570</v>
      </c>
      <c r="C69" s="212" t="s">
        <v>571</v>
      </c>
      <c r="D69" s="215"/>
      <c r="E69" s="215"/>
      <c r="F69" s="208"/>
      <c r="G69" s="209"/>
    </row>
    <row r="70" spans="1:7" ht="42">
      <c r="B70" s="212" t="s">
        <v>572</v>
      </c>
      <c r="C70" s="212" t="s">
        <v>573</v>
      </c>
      <c r="D70" s="215"/>
      <c r="E70" s="215"/>
      <c r="F70" s="208"/>
      <c r="G70" s="209"/>
    </row>
    <row r="71" spans="1:7" ht="42">
      <c r="B71" s="212" t="s">
        <v>574</v>
      </c>
      <c r="C71" s="212" t="s">
        <v>575</v>
      </c>
      <c r="D71" s="215"/>
      <c r="E71" s="215"/>
      <c r="F71" s="208"/>
      <c r="G71" s="209"/>
    </row>
    <row r="72" spans="1:7">
      <c r="B72" s="215"/>
      <c r="C72" s="215"/>
      <c r="D72" s="215"/>
      <c r="E72" s="215"/>
      <c r="F72" s="208"/>
      <c r="G72" s="209"/>
    </row>
    <row r="73" spans="1:7">
      <c r="A73" s="210" t="s">
        <v>545</v>
      </c>
      <c r="B73" s="212" t="s">
        <v>576</v>
      </c>
      <c r="C73" s="212" t="s">
        <v>577</v>
      </c>
      <c r="D73" s="212" t="s">
        <v>578</v>
      </c>
      <c r="E73" s="212" t="s">
        <v>579</v>
      </c>
      <c r="F73" s="210" t="s">
        <v>547</v>
      </c>
      <c r="G73" s="209"/>
    </row>
    <row r="74" spans="1:7">
      <c r="B74" s="212" t="s">
        <v>580</v>
      </c>
      <c r="C74" s="213">
        <v>1237.3699999999999</v>
      </c>
      <c r="D74" s="213">
        <v>1713.29</v>
      </c>
      <c r="E74" s="213">
        <v>666.28</v>
      </c>
    </row>
  </sheetData>
  <mergeCells count="12">
    <mergeCell ref="A1:XFD3"/>
    <mergeCell ref="B15:D15"/>
    <mergeCell ref="B16:D16"/>
    <mergeCell ref="B17:D17"/>
    <mergeCell ref="B18:D18"/>
    <mergeCell ref="B57:C57"/>
    <mergeCell ref="B58:C58"/>
    <mergeCell ref="B59:C59"/>
    <mergeCell ref="B60:C60"/>
    <mergeCell ref="D21:D22"/>
    <mergeCell ref="B21:B22"/>
    <mergeCell ref="C21:C22"/>
  </mergeCells>
  <phoneticPr fontId="11"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39997558519241921"/>
  </sheetPr>
  <dimension ref="A1:G41"/>
  <sheetViews>
    <sheetView showGridLines="0" topLeftCell="B1" zoomScale="85" zoomScaleNormal="85" workbookViewId="0">
      <selection activeCell="E50" sqref="E50"/>
    </sheetView>
  </sheetViews>
  <sheetFormatPr defaultColWidth="8.81640625" defaultRowHeight="13"/>
  <cols>
    <col min="1" max="1" width="13.453125" style="2" customWidth="1"/>
    <col min="2" max="2" width="53.36328125" style="2" customWidth="1"/>
    <col min="3" max="3" width="13.26953125" style="2" customWidth="1"/>
    <col min="4" max="4" width="18.1796875" style="2" customWidth="1"/>
    <col min="5" max="5" width="13.81640625" style="2" customWidth="1"/>
    <col min="6" max="6" width="11.36328125" style="2" customWidth="1"/>
    <col min="7" max="7" width="10.08984375" style="2" customWidth="1"/>
    <col min="8" max="16384" width="8.81640625" style="2"/>
  </cols>
  <sheetData>
    <row r="1" spans="1:7" s="474" customFormat="1" ht="13.75" customHeight="1">
      <c r="A1" s="474" t="s">
        <v>220</v>
      </c>
    </row>
    <row r="2" spans="1:7" s="474" customFormat="1" ht="13.75" customHeight="1"/>
    <row r="3" spans="1:7" s="474" customFormat="1" ht="13.75" customHeight="1"/>
    <row r="4" spans="1:7" s="69" customFormat="1" ht="14"/>
    <row r="5" spans="1:7" s="76" customFormat="1" ht="14">
      <c r="A5" s="75" t="s">
        <v>181</v>
      </c>
    </row>
    <row r="6" spans="1:7" s="69" customFormat="1" ht="14">
      <c r="A6" s="77" t="s">
        <v>182</v>
      </c>
      <c r="B6" s="77" t="s">
        <v>183</v>
      </c>
      <c r="C6" s="77" t="s">
        <v>184</v>
      </c>
      <c r="D6" s="77" t="s">
        <v>185</v>
      </c>
    </row>
    <row r="7" spans="1:7" s="69" customFormat="1" ht="14">
      <c r="A7" s="77" t="s">
        <v>280</v>
      </c>
      <c r="B7" s="77" t="s">
        <v>254</v>
      </c>
      <c r="C7" s="77" t="s">
        <v>282</v>
      </c>
      <c r="D7" s="77" t="s">
        <v>294</v>
      </c>
    </row>
    <row r="8" spans="1:7" s="69" customFormat="1" ht="14">
      <c r="A8" s="77" t="s">
        <v>281</v>
      </c>
      <c r="B8" s="77" t="s">
        <v>283</v>
      </c>
      <c r="C8" s="77" t="s">
        <v>282</v>
      </c>
      <c r="D8" s="69" t="s">
        <v>293</v>
      </c>
    </row>
    <row r="9" spans="1:7" s="69" customFormat="1" ht="14">
      <c r="A9" s="78" t="s">
        <v>284</v>
      </c>
      <c r="B9" s="78" t="s">
        <v>255</v>
      </c>
      <c r="C9" s="78" t="s">
        <v>265</v>
      </c>
      <c r="D9" s="79" t="s">
        <v>290</v>
      </c>
      <c r="E9" s="80"/>
      <c r="F9" s="80"/>
      <c r="G9" s="80"/>
    </row>
    <row r="10" spans="1:7" s="69" customFormat="1" ht="14">
      <c r="A10" s="78" t="s">
        <v>285</v>
      </c>
      <c r="B10" s="78" t="s">
        <v>286</v>
      </c>
      <c r="C10" s="78" t="s">
        <v>41</v>
      </c>
      <c r="D10" s="79" t="s">
        <v>291</v>
      </c>
    </row>
    <row r="11" spans="1:7" s="69" customFormat="1" ht="14">
      <c r="A11" s="77" t="s">
        <v>287</v>
      </c>
      <c r="B11" s="77" t="s">
        <v>288</v>
      </c>
      <c r="C11" s="78" t="s">
        <v>289</v>
      </c>
      <c r="D11" s="77" t="s">
        <v>292</v>
      </c>
    </row>
    <row r="12" spans="1:7" s="69" customFormat="1" ht="14">
      <c r="A12" s="77"/>
      <c r="B12" s="77"/>
      <c r="C12" s="77"/>
      <c r="D12" s="77"/>
    </row>
    <row r="13" spans="1:7" s="76" customFormat="1" ht="14">
      <c r="A13" s="75" t="s">
        <v>186</v>
      </c>
    </row>
    <row r="14" spans="1:7" s="69" customFormat="1" ht="14">
      <c r="A14" s="69" t="s">
        <v>295</v>
      </c>
    </row>
    <row r="15" spans="1:7" s="69" customFormat="1" ht="14">
      <c r="A15" s="137" t="s">
        <v>256</v>
      </c>
      <c r="B15" s="138" t="s">
        <v>187</v>
      </c>
      <c r="C15" s="138" t="s">
        <v>257</v>
      </c>
      <c r="D15" s="139" t="s">
        <v>258</v>
      </c>
    </row>
    <row r="16" spans="1:7" s="69" customFormat="1" ht="14">
      <c r="A16" s="140">
        <v>1</v>
      </c>
      <c r="B16" s="69" t="s">
        <v>296</v>
      </c>
      <c r="C16" s="69">
        <v>152778214</v>
      </c>
      <c r="D16" s="141">
        <v>29.11</v>
      </c>
      <c r="F16"/>
    </row>
    <row r="17" spans="1:4" s="69" customFormat="1" ht="14">
      <c r="A17" s="140">
        <v>2</v>
      </c>
      <c r="B17" s="69" t="s">
        <v>281</v>
      </c>
      <c r="C17" s="69">
        <v>36686775</v>
      </c>
      <c r="D17" s="141">
        <v>6.99</v>
      </c>
    </row>
    <row r="18" spans="1:4" s="69" customFormat="1" ht="14">
      <c r="A18" s="140">
        <v>3</v>
      </c>
      <c r="B18" s="69" t="s">
        <v>297</v>
      </c>
      <c r="C18" s="69">
        <v>35685450</v>
      </c>
      <c r="D18" s="141">
        <v>6.8</v>
      </c>
    </row>
    <row r="19" spans="1:4" s="69" customFormat="1" ht="14">
      <c r="A19" s="140">
        <v>4</v>
      </c>
      <c r="B19" s="69" t="s">
        <v>298</v>
      </c>
      <c r="C19" s="69">
        <v>17164257</v>
      </c>
      <c r="D19" s="141">
        <v>3.27</v>
      </c>
    </row>
    <row r="20" spans="1:4" s="69" customFormat="1" ht="14">
      <c r="A20" s="140">
        <v>5</v>
      </c>
      <c r="B20" s="69" t="s">
        <v>299</v>
      </c>
      <c r="C20" s="69">
        <v>6364285</v>
      </c>
      <c r="D20" s="141">
        <v>1.21</v>
      </c>
    </row>
    <row r="21" spans="1:4" s="69" customFormat="1" ht="14">
      <c r="A21" s="140">
        <v>6</v>
      </c>
      <c r="B21" s="69" t="s">
        <v>300</v>
      </c>
      <c r="C21" s="69">
        <v>6200000</v>
      </c>
      <c r="D21" s="141">
        <v>1.18</v>
      </c>
    </row>
    <row r="22" spans="1:4" s="69" customFormat="1" ht="14">
      <c r="A22" s="140">
        <v>7</v>
      </c>
      <c r="B22" s="69" t="s">
        <v>301</v>
      </c>
      <c r="C22" s="69">
        <v>4403700</v>
      </c>
      <c r="D22" s="141">
        <v>0.84</v>
      </c>
    </row>
    <row r="23" spans="1:4" s="69" customFormat="1" ht="14">
      <c r="A23" s="140">
        <v>8</v>
      </c>
      <c r="B23" s="69" t="s">
        <v>302</v>
      </c>
      <c r="C23" s="69">
        <v>4048100</v>
      </c>
      <c r="D23" s="141">
        <v>0.77</v>
      </c>
    </row>
    <row r="24" spans="1:4" s="69" customFormat="1" ht="14">
      <c r="A24" s="140">
        <v>9</v>
      </c>
      <c r="B24" s="69" t="s">
        <v>303</v>
      </c>
      <c r="C24" s="69">
        <v>3827148</v>
      </c>
      <c r="D24" s="141">
        <v>0.73</v>
      </c>
    </row>
    <row r="25" spans="1:4" s="69" customFormat="1" ht="14">
      <c r="A25" s="140">
        <v>10</v>
      </c>
      <c r="B25" s="69" t="s">
        <v>304</v>
      </c>
      <c r="C25" s="69">
        <v>3730000</v>
      </c>
      <c r="D25" s="141">
        <v>0.71</v>
      </c>
    </row>
    <row r="26" spans="1:4" s="69" customFormat="1" ht="14">
      <c r="A26" s="142"/>
      <c r="B26" s="99" t="s">
        <v>259</v>
      </c>
      <c r="C26" s="99">
        <v>270887929</v>
      </c>
      <c r="D26" s="143">
        <v>51.61</v>
      </c>
    </row>
    <row r="27" spans="1:4" s="69" customFormat="1" ht="14"/>
    <row r="28" spans="1:4" s="69" customFormat="1" ht="14">
      <c r="A28" s="443" t="s">
        <v>435</v>
      </c>
      <c r="B28" s="443"/>
    </row>
    <row r="29" spans="1:4" s="69" customFormat="1" ht="292.75" customHeight="1"/>
    <row r="30" spans="1:4" s="76" customFormat="1" ht="14">
      <c r="A30" s="75" t="s">
        <v>188</v>
      </c>
    </row>
    <row r="31" spans="1:4" s="69" customFormat="1" ht="14"/>
    <row r="32" spans="1:4" s="69" customFormat="1" ht="14">
      <c r="A32" s="69" t="s">
        <v>228</v>
      </c>
    </row>
    <row r="33" spans="1:4" s="69" customFormat="1" ht="14">
      <c r="A33" s="90" t="s">
        <v>229</v>
      </c>
      <c r="B33" s="90" t="s">
        <v>230</v>
      </c>
      <c r="C33" s="90" t="s">
        <v>436</v>
      </c>
    </row>
    <row r="34" spans="1:4" s="69" customFormat="1" ht="14">
      <c r="A34" s="91" t="s">
        <v>260</v>
      </c>
      <c r="B34" s="91">
        <v>1693</v>
      </c>
      <c r="C34" s="167">
        <f>B34/B39</f>
        <v>0.65978176149649259</v>
      </c>
    </row>
    <row r="35" spans="1:4" s="69" customFormat="1" ht="14">
      <c r="A35" s="91" t="s">
        <v>261</v>
      </c>
      <c r="B35" s="91">
        <v>52</v>
      </c>
      <c r="C35" s="167">
        <f>B35/B39</f>
        <v>2.0265003897116135E-2</v>
      </c>
    </row>
    <row r="36" spans="1:4" s="69" customFormat="1" ht="14">
      <c r="A36" s="91" t="s">
        <v>262</v>
      </c>
      <c r="B36" s="91">
        <v>610</v>
      </c>
      <c r="C36" s="167">
        <f>B36/B39</f>
        <v>0.23772408417770849</v>
      </c>
    </row>
    <row r="37" spans="1:4" s="69" customFormat="1" ht="14">
      <c r="A37" s="91" t="s">
        <v>263</v>
      </c>
      <c r="B37" s="91">
        <v>33</v>
      </c>
      <c r="C37" s="167">
        <f>B37/B39</f>
        <v>1.2860483242400623E-2</v>
      </c>
    </row>
    <row r="38" spans="1:4" s="69" customFormat="1" ht="14">
      <c r="A38" s="91" t="s">
        <v>264</v>
      </c>
      <c r="B38" s="92">
        <v>78</v>
      </c>
      <c r="C38" s="167">
        <f>B38/B39</f>
        <v>3.0397505845674203E-2</v>
      </c>
    </row>
    <row r="39" spans="1:4" s="69" customFormat="1" ht="14">
      <c r="A39" s="91" t="s">
        <v>38</v>
      </c>
      <c r="B39" s="92">
        <v>2566</v>
      </c>
      <c r="C39" s="167">
        <f>B39/B39</f>
        <v>1</v>
      </c>
    </row>
    <row r="40" spans="1:4" s="69" customFormat="1" ht="14"/>
    <row r="41" spans="1:4" s="69" customFormat="1" ht="14">
      <c r="A41" s="2"/>
      <c r="B41" s="2"/>
      <c r="C41" s="2"/>
      <c r="D41" s="2"/>
    </row>
  </sheetData>
  <mergeCells count="2">
    <mergeCell ref="A1:XFD3"/>
    <mergeCell ref="A28:B28"/>
  </mergeCells>
  <phoneticPr fontId="20"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39997558519241921"/>
  </sheetPr>
  <dimension ref="A1:J173"/>
  <sheetViews>
    <sheetView showGridLines="0" topLeftCell="A151" workbookViewId="0">
      <selection activeCell="K182" sqref="K182"/>
    </sheetView>
  </sheetViews>
  <sheetFormatPr defaultRowHeight="14"/>
  <cols>
    <col min="1" max="1" width="13.81640625" customWidth="1"/>
    <col min="2" max="2" width="12.90625" customWidth="1"/>
    <col min="3" max="3" width="12.453125" customWidth="1"/>
    <col min="4" max="4" width="11.08984375" customWidth="1"/>
    <col min="5" max="5" width="12.453125" customWidth="1"/>
    <col min="6" max="26" width="8.81640625" customWidth="1"/>
    <col min="32" max="32" width="9.08984375" bestFit="1" customWidth="1"/>
    <col min="33" max="33" width="8.81640625" customWidth="1"/>
  </cols>
  <sheetData>
    <row r="1" spans="1:4" s="475" customFormat="1" ht="13.75" customHeight="1">
      <c r="A1" s="475" t="s">
        <v>191</v>
      </c>
    </row>
    <row r="2" spans="1:4" s="475" customFormat="1" ht="13.75" customHeight="1"/>
    <row r="3" spans="1:4" s="475" customFormat="1" ht="13.75" customHeight="1"/>
    <row r="4" spans="1:4" s="69" customFormat="1">
      <c r="A4" s="69" t="s">
        <v>204</v>
      </c>
    </row>
    <row r="5" spans="1:4" s="68" customFormat="1">
      <c r="A5" s="67" t="s">
        <v>342</v>
      </c>
    </row>
    <row r="6" spans="1:4" s="69" customFormat="1"/>
    <row r="7" spans="1:4" s="69" customFormat="1">
      <c r="A7" s="69" t="s">
        <v>189</v>
      </c>
      <c r="B7" s="172">
        <v>1</v>
      </c>
    </row>
    <row r="8" spans="1:4" s="69" customFormat="1" ht="14" customHeight="1">
      <c r="A8" s="69" t="s">
        <v>190</v>
      </c>
      <c r="B8" s="79" t="s">
        <v>348</v>
      </c>
    </row>
    <row r="9" spans="1:4" s="69" customFormat="1"/>
    <row r="10" spans="1:4" s="69" customFormat="1">
      <c r="A10" s="84" t="s">
        <v>135</v>
      </c>
      <c r="B10" s="171">
        <v>2020</v>
      </c>
      <c r="C10" s="171">
        <v>2021</v>
      </c>
      <c r="D10" s="171" t="s">
        <v>343</v>
      </c>
    </row>
    <row r="11" spans="1:4" s="69" customFormat="1">
      <c r="A11" s="83" t="s">
        <v>231</v>
      </c>
      <c r="B11" s="144">
        <v>64660.57</v>
      </c>
      <c r="C11" s="144">
        <v>164393.73000000001</v>
      </c>
      <c r="D11" s="144">
        <v>198119.41</v>
      </c>
    </row>
    <row r="12" spans="1:4" s="69" customFormat="1">
      <c r="A12" s="83" t="s">
        <v>344</v>
      </c>
      <c r="B12" s="144">
        <v>32904.85</v>
      </c>
      <c r="C12" s="144">
        <v>57969.36</v>
      </c>
      <c r="D12" s="144">
        <v>74380.600000000006</v>
      </c>
    </row>
    <row r="13" spans="1:4" s="69" customFormat="1">
      <c r="A13" s="83" t="s">
        <v>217</v>
      </c>
      <c r="B13" s="144">
        <v>1308.5899999999999</v>
      </c>
      <c r="C13" s="144">
        <v>-3617.95</v>
      </c>
      <c r="D13" s="144">
        <v>-820.86</v>
      </c>
    </row>
    <row r="14" spans="1:4" s="69" customFormat="1"/>
    <row r="15" spans="1:4" s="68" customFormat="1">
      <c r="A15" s="67" t="s">
        <v>345</v>
      </c>
    </row>
    <row r="16" spans="1:4" s="69" customFormat="1"/>
    <row r="17" spans="1:10" s="69" customFormat="1">
      <c r="A17" s="69" t="s">
        <v>189</v>
      </c>
      <c r="B17" s="173">
        <v>0.96389999999999998</v>
      </c>
    </row>
    <row r="18" spans="1:10" s="69" customFormat="1">
      <c r="A18" s="69" t="s">
        <v>190</v>
      </c>
      <c r="B18" s="79" t="s">
        <v>348</v>
      </c>
    </row>
    <row r="19" spans="1:10" s="69" customFormat="1"/>
    <row r="20" spans="1:10" s="69" customFormat="1">
      <c r="A20" s="84" t="s">
        <v>135</v>
      </c>
      <c r="B20" s="171">
        <v>2020</v>
      </c>
      <c r="C20" s="171">
        <v>2021</v>
      </c>
      <c r="D20" s="171" t="s">
        <v>343</v>
      </c>
    </row>
    <row r="21" spans="1:10" s="69" customFormat="1">
      <c r="A21" s="83" t="s">
        <v>231</v>
      </c>
      <c r="B21" s="144">
        <v>145364.66</v>
      </c>
      <c r="C21" s="144">
        <v>108655.12</v>
      </c>
      <c r="D21" s="144">
        <v>97404.77</v>
      </c>
    </row>
    <row r="22" spans="1:10" s="69" customFormat="1">
      <c r="A22" s="83" t="s">
        <v>344</v>
      </c>
      <c r="B22" s="170" t="s">
        <v>48</v>
      </c>
      <c r="C22" s="144">
        <v>115350.58</v>
      </c>
      <c r="D22" s="144">
        <v>28556.720000000001</v>
      </c>
    </row>
    <row r="23" spans="1:10" s="69" customFormat="1">
      <c r="A23" s="83" t="s">
        <v>217</v>
      </c>
      <c r="B23" s="144">
        <v>-459.27</v>
      </c>
      <c r="C23" s="144">
        <v>-8381.7099999999991</v>
      </c>
      <c r="D23" s="144">
        <v>758.44</v>
      </c>
    </row>
    <row r="24" spans="1:10" s="69" customFormat="1"/>
    <row r="25" spans="1:10" s="68" customFormat="1">
      <c r="A25" s="67" t="s">
        <v>346</v>
      </c>
    </row>
    <row r="26" spans="1:10" s="69" customFormat="1"/>
    <row r="27" spans="1:10" s="69" customFormat="1">
      <c r="A27" s="69" t="s">
        <v>189</v>
      </c>
      <c r="B27" s="172">
        <v>1</v>
      </c>
    </row>
    <row r="28" spans="1:10" s="69" customFormat="1" ht="14" customHeight="1">
      <c r="A28" s="69" t="s">
        <v>190</v>
      </c>
      <c r="B28" s="161" t="s">
        <v>348</v>
      </c>
      <c r="C28" s="150"/>
      <c r="D28" s="150"/>
      <c r="E28" s="150"/>
      <c r="F28" s="150"/>
      <c r="G28" s="150"/>
      <c r="H28" s="150"/>
      <c r="I28" s="150"/>
      <c r="J28" s="150"/>
    </row>
    <row r="29" spans="1:10" s="69" customFormat="1"/>
    <row r="30" spans="1:10" s="69" customFormat="1">
      <c r="A30" s="84" t="s">
        <v>135</v>
      </c>
      <c r="B30" s="171">
        <v>2020</v>
      </c>
      <c r="C30" s="171">
        <v>2021</v>
      </c>
      <c r="D30" s="171" t="s">
        <v>343</v>
      </c>
    </row>
    <row r="31" spans="1:10" s="69" customFormat="1">
      <c r="A31" s="83" t="s">
        <v>231</v>
      </c>
      <c r="B31" s="144">
        <v>18411.21</v>
      </c>
      <c r="C31" s="144">
        <v>20472.73</v>
      </c>
      <c r="D31" s="144">
        <v>31142.58</v>
      </c>
    </row>
    <row r="32" spans="1:10" s="69" customFormat="1">
      <c r="A32" s="83" t="s">
        <v>344</v>
      </c>
      <c r="B32" s="144">
        <v>24026.32</v>
      </c>
      <c r="C32" s="144">
        <v>24912.84</v>
      </c>
      <c r="D32" s="144">
        <v>15592.86</v>
      </c>
    </row>
    <row r="33" spans="1:4" s="69" customFormat="1">
      <c r="A33" s="83" t="s">
        <v>217</v>
      </c>
      <c r="B33" s="144">
        <v>-2260.3000000000002</v>
      </c>
      <c r="C33" s="144">
        <v>-3427.43</v>
      </c>
      <c r="D33" s="144">
        <v>-199.29</v>
      </c>
    </row>
    <row r="34" spans="1:4" s="69" customFormat="1"/>
    <row r="35" spans="1:4" s="68" customFormat="1">
      <c r="A35" s="67" t="s">
        <v>347</v>
      </c>
    </row>
    <row r="36" spans="1:4" s="69" customFormat="1"/>
    <row r="37" spans="1:4" s="69" customFormat="1">
      <c r="A37" s="69" t="s">
        <v>189</v>
      </c>
      <c r="B37" s="172">
        <v>1</v>
      </c>
    </row>
    <row r="38" spans="1:4" s="69" customFormat="1">
      <c r="A38" s="69" t="s">
        <v>190</v>
      </c>
      <c r="B38" s="79" t="s">
        <v>348</v>
      </c>
    </row>
    <row r="39" spans="1:4" s="69" customFormat="1"/>
    <row r="40" spans="1:4" s="69" customFormat="1">
      <c r="A40" s="84" t="s">
        <v>135</v>
      </c>
      <c r="B40" s="171">
        <v>2020</v>
      </c>
      <c r="C40" s="171">
        <v>2021</v>
      </c>
      <c r="D40" s="171" t="s">
        <v>343</v>
      </c>
    </row>
    <row r="41" spans="1:4" s="69" customFormat="1">
      <c r="A41" s="83" t="s">
        <v>231</v>
      </c>
      <c r="B41" s="144">
        <v>16238.98</v>
      </c>
      <c r="C41" s="144">
        <v>27033.08</v>
      </c>
      <c r="D41" s="144">
        <v>26991.81</v>
      </c>
    </row>
    <row r="42" spans="1:4" s="69" customFormat="1">
      <c r="A42" s="83" t="s">
        <v>344</v>
      </c>
      <c r="B42" s="170" t="s">
        <v>48</v>
      </c>
      <c r="C42" s="170" t="s">
        <v>48</v>
      </c>
      <c r="D42" s="144">
        <v>1830.78</v>
      </c>
    </row>
    <row r="43" spans="1:4" s="69" customFormat="1">
      <c r="A43" s="83" t="s">
        <v>217</v>
      </c>
      <c r="B43" s="144">
        <v>-228.5</v>
      </c>
      <c r="C43" s="144">
        <v>-467.19</v>
      </c>
      <c r="D43" s="144">
        <v>-424.98</v>
      </c>
    </row>
    <row r="45" spans="1:4" s="68" customFormat="1">
      <c r="A45" s="67" t="s">
        <v>349</v>
      </c>
    </row>
    <row r="46" spans="1:4" s="69" customFormat="1"/>
    <row r="47" spans="1:4" s="69" customFormat="1">
      <c r="A47" s="69" t="s">
        <v>189</v>
      </c>
      <c r="B47" s="172">
        <v>1</v>
      </c>
    </row>
    <row r="48" spans="1:4" s="69" customFormat="1">
      <c r="A48" s="69" t="s">
        <v>190</v>
      </c>
      <c r="B48" s="79" t="s">
        <v>350</v>
      </c>
    </row>
    <row r="49" spans="1:4" s="69" customFormat="1"/>
    <row r="50" spans="1:4" s="69" customFormat="1">
      <c r="A50" s="84" t="s">
        <v>135</v>
      </c>
      <c r="B50" s="171">
        <v>2020</v>
      </c>
      <c r="C50" s="171">
        <v>2021</v>
      </c>
      <c r="D50" s="171" t="s">
        <v>343</v>
      </c>
    </row>
    <row r="51" spans="1:4" s="69" customFormat="1">
      <c r="A51" s="83" t="s">
        <v>231</v>
      </c>
      <c r="B51" s="144">
        <v>7529.3</v>
      </c>
      <c r="C51" s="144">
        <v>7519.38</v>
      </c>
      <c r="D51" s="144">
        <v>7519.34</v>
      </c>
    </row>
    <row r="52" spans="1:4" s="69" customFormat="1">
      <c r="A52" s="83" t="s">
        <v>344</v>
      </c>
      <c r="B52" s="170" t="s">
        <v>48</v>
      </c>
      <c r="C52" s="170" t="s">
        <v>48</v>
      </c>
      <c r="D52" s="144" t="s">
        <v>48</v>
      </c>
    </row>
    <row r="53" spans="1:4" s="69" customFormat="1">
      <c r="A53" s="83" t="s">
        <v>217</v>
      </c>
      <c r="B53" s="144">
        <v>433.21</v>
      </c>
      <c r="C53" s="144">
        <v>350.08</v>
      </c>
      <c r="D53" s="144">
        <v>-0.04</v>
      </c>
    </row>
    <row r="55" spans="1:4" s="68" customFormat="1">
      <c r="A55" s="67" t="s">
        <v>351</v>
      </c>
    </row>
    <row r="56" spans="1:4" s="69" customFormat="1"/>
    <row r="57" spans="1:4" s="69" customFormat="1">
      <c r="A57" s="69" t="s">
        <v>189</v>
      </c>
      <c r="B57" s="172" t="s">
        <v>352</v>
      </c>
    </row>
    <row r="58" spans="1:4" s="69" customFormat="1">
      <c r="A58" s="69" t="s">
        <v>190</v>
      </c>
      <c r="B58" s="79" t="s">
        <v>348</v>
      </c>
    </row>
    <row r="59" spans="1:4" s="69" customFormat="1"/>
    <row r="60" spans="1:4" s="69" customFormat="1">
      <c r="A60" s="84" t="s">
        <v>135</v>
      </c>
      <c r="B60" s="171">
        <v>2020</v>
      </c>
      <c r="C60" s="171">
        <v>2021</v>
      </c>
      <c r="D60" s="171" t="s">
        <v>343</v>
      </c>
    </row>
    <row r="61" spans="1:4" s="69" customFormat="1">
      <c r="A61" s="83" t="s">
        <v>231</v>
      </c>
      <c r="B61" s="144">
        <v>849.27</v>
      </c>
      <c r="C61" s="144">
        <v>4070.5</v>
      </c>
      <c r="D61" s="144">
        <v>4478.66</v>
      </c>
    </row>
    <row r="62" spans="1:4" s="69" customFormat="1">
      <c r="A62" s="83" t="s">
        <v>344</v>
      </c>
      <c r="B62" s="170" t="s">
        <v>48</v>
      </c>
      <c r="C62" s="170" t="s">
        <v>48</v>
      </c>
      <c r="D62" s="144">
        <v>426.04</v>
      </c>
    </row>
    <row r="63" spans="1:4" s="69" customFormat="1">
      <c r="A63" s="83" t="s">
        <v>217</v>
      </c>
      <c r="B63" s="144">
        <v>-133</v>
      </c>
      <c r="C63" s="144">
        <v>-250.52</v>
      </c>
      <c r="D63" s="144">
        <v>-84.39</v>
      </c>
    </row>
    <row r="65" spans="1:4" s="68" customFormat="1">
      <c r="A65" s="67" t="s">
        <v>353</v>
      </c>
    </row>
    <row r="66" spans="1:4" s="69" customFormat="1"/>
    <row r="67" spans="1:4" s="69" customFormat="1">
      <c r="A67" s="69" t="s">
        <v>189</v>
      </c>
      <c r="B67" s="172">
        <v>1</v>
      </c>
    </row>
    <row r="68" spans="1:4" s="69" customFormat="1">
      <c r="A68" s="150" t="s">
        <v>190</v>
      </c>
      <c r="B68" s="79" t="s">
        <v>354</v>
      </c>
    </row>
    <row r="69" spans="1:4" s="69" customFormat="1"/>
    <row r="70" spans="1:4" s="69" customFormat="1">
      <c r="A70" s="84" t="s">
        <v>135</v>
      </c>
      <c r="B70" s="171">
        <v>2020</v>
      </c>
      <c r="C70" s="171">
        <v>2021</v>
      </c>
      <c r="D70" s="171" t="s">
        <v>343</v>
      </c>
    </row>
    <row r="71" spans="1:4" s="69" customFormat="1">
      <c r="A71" s="83" t="s">
        <v>231</v>
      </c>
      <c r="B71" s="144">
        <v>7547.44</v>
      </c>
      <c r="C71" s="144">
        <v>9855.82</v>
      </c>
      <c r="D71" s="144">
        <v>13811.35</v>
      </c>
    </row>
    <row r="72" spans="1:4" s="69" customFormat="1">
      <c r="A72" s="83" t="s">
        <v>344</v>
      </c>
      <c r="B72" s="170" t="s">
        <v>48</v>
      </c>
      <c r="C72" s="170" t="s">
        <v>48</v>
      </c>
      <c r="D72" s="144">
        <v>12267.99</v>
      </c>
    </row>
    <row r="73" spans="1:4" s="69" customFormat="1">
      <c r="A73" s="83" t="s">
        <v>217</v>
      </c>
      <c r="B73" s="144">
        <v>796.69</v>
      </c>
      <c r="C73" s="144">
        <v>2408.48</v>
      </c>
      <c r="D73" s="144">
        <v>897.66</v>
      </c>
    </row>
    <row r="75" spans="1:4" s="68" customFormat="1">
      <c r="A75" s="67" t="s">
        <v>355</v>
      </c>
    </row>
    <row r="76" spans="1:4" s="69" customFormat="1"/>
    <row r="77" spans="1:4" s="69" customFormat="1">
      <c r="A77" s="69" t="s">
        <v>189</v>
      </c>
      <c r="B77" s="172">
        <v>1</v>
      </c>
    </row>
    <row r="78" spans="1:4" s="69" customFormat="1">
      <c r="A78" s="150" t="s">
        <v>190</v>
      </c>
      <c r="B78" s="79" t="s">
        <v>348</v>
      </c>
    </row>
    <row r="79" spans="1:4" s="69" customFormat="1"/>
    <row r="80" spans="1:4" s="69" customFormat="1">
      <c r="A80" s="84" t="s">
        <v>135</v>
      </c>
      <c r="B80" s="171">
        <v>2020</v>
      </c>
      <c r="C80" s="171">
        <v>2021</v>
      </c>
      <c r="D80" s="171" t="s">
        <v>343</v>
      </c>
    </row>
    <row r="81" spans="1:4" s="69" customFormat="1">
      <c r="A81" s="83" t="s">
        <v>231</v>
      </c>
      <c r="B81" s="170" t="s">
        <v>48</v>
      </c>
      <c r="C81" s="144">
        <v>33431.32</v>
      </c>
      <c r="D81" s="144">
        <v>45677.82</v>
      </c>
    </row>
    <row r="82" spans="1:4" s="69" customFormat="1">
      <c r="A82" s="83" t="s">
        <v>344</v>
      </c>
      <c r="B82" s="170" t="s">
        <v>48</v>
      </c>
      <c r="C82" s="170" t="s">
        <v>48</v>
      </c>
      <c r="D82" s="144">
        <v>37017.82</v>
      </c>
    </row>
    <row r="83" spans="1:4" s="69" customFormat="1">
      <c r="A83" s="83" t="s">
        <v>217</v>
      </c>
      <c r="B83" s="170" t="s">
        <v>48</v>
      </c>
      <c r="C83" s="144">
        <v>-1023.06</v>
      </c>
      <c r="D83" s="144">
        <v>-1037.48</v>
      </c>
    </row>
    <row r="85" spans="1:4" s="68" customFormat="1">
      <c r="A85" s="67" t="s">
        <v>356</v>
      </c>
    </row>
    <row r="86" spans="1:4" s="69" customFormat="1"/>
    <row r="87" spans="1:4" s="69" customFormat="1">
      <c r="A87" s="69" t="s">
        <v>189</v>
      </c>
      <c r="B87" s="172" t="s">
        <v>358</v>
      </c>
    </row>
    <row r="88" spans="1:4" s="69" customFormat="1">
      <c r="A88" s="150" t="s">
        <v>190</v>
      </c>
      <c r="B88" s="79" t="s">
        <v>357</v>
      </c>
    </row>
    <row r="89" spans="1:4" s="69" customFormat="1"/>
    <row r="90" spans="1:4" s="69" customFormat="1">
      <c r="A90" s="84" t="s">
        <v>135</v>
      </c>
      <c r="B90" s="171">
        <v>2020</v>
      </c>
      <c r="C90" s="171">
        <v>2021</v>
      </c>
      <c r="D90" s="171" t="s">
        <v>343</v>
      </c>
    </row>
    <row r="91" spans="1:4" s="69" customFormat="1">
      <c r="A91" s="83" t="s">
        <v>231</v>
      </c>
      <c r="B91" s="170">
        <v>1445.15</v>
      </c>
      <c r="C91" s="144">
        <v>30.29</v>
      </c>
      <c r="D91" s="170" t="s">
        <v>48</v>
      </c>
    </row>
    <row r="92" spans="1:4" s="69" customFormat="1">
      <c r="A92" s="83" t="s">
        <v>344</v>
      </c>
      <c r="B92" s="170" t="s">
        <v>48</v>
      </c>
      <c r="C92" s="170" t="s">
        <v>48</v>
      </c>
      <c r="D92" s="170" t="s">
        <v>48</v>
      </c>
    </row>
    <row r="93" spans="1:4" s="69" customFormat="1">
      <c r="A93" s="83" t="s">
        <v>217</v>
      </c>
      <c r="B93" s="144">
        <v>-158.51</v>
      </c>
      <c r="C93" s="144">
        <v>-321.67</v>
      </c>
      <c r="D93" s="170" t="s">
        <v>48</v>
      </c>
    </row>
    <row r="95" spans="1:4" s="68" customFormat="1">
      <c r="A95" s="67" t="s">
        <v>359</v>
      </c>
    </row>
    <row r="96" spans="1:4" s="69" customFormat="1"/>
    <row r="97" spans="1:4" s="69" customFormat="1">
      <c r="A97" s="69" t="s">
        <v>189</v>
      </c>
      <c r="B97" s="172">
        <v>1</v>
      </c>
    </row>
    <row r="98" spans="1:4" s="69" customFormat="1">
      <c r="A98" s="150" t="s">
        <v>190</v>
      </c>
      <c r="B98" s="79" t="s">
        <v>348</v>
      </c>
    </row>
    <row r="99" spans="1:4" s="69" customFormat="1"/>
    <row r="100" spans="1:4" s="69" customFormat="1">
      <c r="A100" s="84" t="s">
        <v>135</v>
      </c>
      <c r="B100" s="171">
        <v>2020</v>
      </c>
      <c r="C100" s="171">
        <v>2021</v>
      </c>
      <c r="D100" s="171" t="s">
        <v>343</v>
      </c>
    </row>
    <row r="101" spans="1:4" s="69" customFormat="1">
      <c r="A101" s="83" t="s">
        <v>231</v>
      </c>
      <c r="B101" s="144">
        <v>1347.66</v>
      </c>
      <c r="C101" s="144">
        <v>1566.91</v>
      </c>
      <c r="D101" s="170" t="s">
        <v>48</v>
      </c>
    </row>
    <row r="102" spans="1:4" s="69" customFormat="1">
      <c r="A102" s="83" t="s">
        <v>344</v>
      </c>
      <c r="B102" s="170" t="s">
        <v>48</v>
      </c>
      <c r="C102" s="170" t="s">
        <v>48</v>
      </c>
      <c r="D102" s="170" t="s">
        <v>48</v>
      </c>
    </row>
    <row r="103" spans="1:4" s="69" customFormat="1">
      <c r="A103" s="83" t="s">
        <v>217</v>
      </c>
      <c r="B103" s="144">
        <v>-359.15</v>
      </c>
      <c r="C103" s="144">
        <v>-781.49</v>
      </c>
      <c r="D103" s="170" t="s">
        <v>48</v>
      </c>
    </row>
    <row r="105" spans="1:4" s="68" customFormat="1">
      <c r="A105" s="67" t="s">
        <v>360</v>
      </c>
    </row>
    <row r="106" spans="1:4" s="69" customFormat="1"/>
    <row r="107" spans="1:4" s="69" customFormat="1">
      <c r="A107" s="69" t="s">
        <v>189</v>
      </c>
      <c r="B107" s="172" t="s">
        <v>361</v>
      </c>
    </row>
    <row r="108" spans="1:4" s="69" customFormat="1">
      <c r="A108" s="150" t="s">
        <v>190</v>
      </c>
      <c r="B108" s="79" t="s">
        <v>348</v>
      </c>
    </row>
    <row r="109" spans="1:4" s="69" customFormat="1"/>
    <row r="110" spans="1:4" s="69" customFormat="1">
      <c r="A110" s="84" t="s">
        <v>135</v>
      </c>
      <c r="B110" s="171">
        <v>2020</v>
      </c>
      <c r="C110" s="171">
        <v>2021</v>
      </c>
      <c r="D110" s="171" t="s">
        <v>343</v>
      </c>
    </row>
    <row r="111" spans="1:4" s="69" customFormat="1">
      <c r="A111" s="83" t="s">
        <v>231</v>
      </c>
      <c r="B111" s="144">
        <v>26031.81</v>
      </c>
      <c r="C111" s="144">
        <v>4498.8100000000004</v>
      </c>
      <c r="D111" s="170" t="s">
        <v>48</v>
      </c>
    </row>
    <row r="112" spans="1:4" s="69" customFormat="1">
      <c r="A112" s="83" t="s">
        <v>344</v>
      </c>
      <c r="B112" s="170" t="s">
        <v>48</v>
      </c>
      <c r="C112" s="170" t="s">
        <v>48</v>
      </c>
      <c r="D112" s="170" t="s">
        <v>48</v>
      </c>
    </row>
    <row r="113" spans="1:4" s="69" customFormat="1">
      <c r="A113" s="83" t="s">
        <v>217</v>
      </c>
      <c r="B113" s="144">
        <v>322.10000000000002</v>
      </c>
      <c r="C113" s="144">
        <v>-687.49</v>
      </c>
      <c r="D113" s="170" t="s">
        <v>48</v>
      </c>
    </row>
    <row r="115" spans="1:4" s="68" customFormat="1">
      <c r="A115" s="67" t="s">
        <v>362</v>
      </c>
    </row>
    <row r="116" spans="1:4" s="69" customFormat="1"/>
    <row r="117" spans="1:4" s="69" customFormat="1">
      <c r="A117" s="69" t="s">
        <v>189</v>
      </c>
      <c r="B117" s="172">
        <v>1</v>
      </c>
    </row>
    <row r="118" spans="1:4" s="69" customFormat="1">
      <c r="A118" s="150" t="s">
        <v>190</v>
      </c>
      <c r="B118" s="79" t="s">
        <v>363</v>
      </c>
    </row>
    <row r="119" spans="1:4" s="69" customFormat="1"/>
    <row r="120" spans="1:4" s="69" customFormat="1">
      <c r="A120" s="84" t="s">
        <v>135</v>
      </c>
      <c r="B120" s="171">
        <v>2020</v>
      </c>
      <c r="C120" s="171">
        <v>2021</v>
      </c>
      <c r="D120" s="171" t="s">
        <v>343</v>
      </c>
    </row>
    <row r="121" spans="1:4" s="69" customFormat="1">
      <c r="A121" s="83" t="s">
        <v>231</v>
      </c>
      <c r="B121" s="144">
        <v>5201.4399999999996</v>
      </c>
      <c r="C121" s="144">
        <v>5014.24</v>
      </c>
      <c r="D121" s="170" t="s">
        <v>48</v>
      </c>
    </row>
    <row r="122" spans="1:4" s="69" customFormat="1">
      <c r="A122" s="83" t="s">
        <v>344</v>
      </c>
      <c r="B122" s="170" t="s">
        <v>48</v>
      </c>
      <c r="C122" s="170" t="s">
        <v>48</v>
      </c>
      <c r="D122" s="170" t="s">
        <v>48</v>
      </c>
    </row>
    <row r="123" spans="1:4" s="69" customFormat="1">
      <c r="A123" s="83" t="s">
        <v>217</v>
      </c>
      <c r="B123" s="144">
        <v>-205.29</v>
      </c>
      <c r="C123" s="144">
        <v>-204.03</v>
      </c>
      <c r="D123" s="170" t="s">
        <v>48</v>
      </c>
    </row>
    <row r="125" spans="1:4" s="68" customFormat="1">
      <c r="A125" s="67" t="s">
        <v>364</v>
      </c>
    </row>
    <row r="126" spans="1:4" s="69" customFormat="1"/>
    <row r="127" spans="1:4" s="69" customFormat="1">
      <c r="A127" s="69" t="s">
        <v>189</v>
      </c>
      <c r="B127" s="172">
        <v>1</v>
      </c>
    </row>
    <row r="128" spans="1:4" s="69" customFormat="1">
      <c r="A128" s="150" t="s">
        <v>190</v>
      </c>
      <c r="B128" s="79" t="s">
        <v>348</v>
      </c>
    </row>
    <row r="129" spans="1:4" s="69" customFormat="1"/>
    <row r="130" spans="1:4" s="69" customFormat="1">
      <c r="A130" s="84" t="s">
        <v>135</v>
      </c>
      <c r="B130" s="171">
        <v>2020</v>
      </c>
      <c r="C130" s="171">
        <v>2021</v>
      </c>
      <c r="D130" s="171" t="s">
        <v>343</v>
      </c>
    </row>
    <row r="131" spans="1:4" s="69" customFormat="1">
      <c r="A131" s="83" t="s">
        <v>231</v>
      </c>
      <c r="B131" s="170" t="s">
        <v>48</v>
      </c>
      <c r="C131" s="170" t="s">
        <v>48</v>
      </c>
      <c r="D131" s="170" t="s">
        <v>48</v>
      </c>
    </row>
    <row r="132" spans="1:4" s="69" customFormat="1">
      <c r="A132" s="83" t="s">
        <v>344</v>
      </c>
      <c r="B132" s="170" t="s">
        <v>48</v>
      </c>
      <c r="C132" s="170" t="s">
        <v>48</v>
      </c>
      <c r="D132" s="170" t="s">
        <v>48</v>
      </c>
    </row>
    <row r="133" spans="1:4" s="69" customFormat="1">
      <c r="A133" s="83" t="s">
        <v>217</v>
      </c>
      <c r="B133" s="170" t="s">
        <v>48</v>
      </c>
      <c r="C133" s="170" t="s">
        <v>48</v>
      </c>
      <c r="D133" s="170" t="s">
        <v>48</v>
      </c>
    </row>
    <row r="135" spans="1:4" s="68" customFormat="1">
      <c r="A135" s="67" t="s">
        <v>365</v>
      </c>
    </row>
    <row r="136" spans="1:4" s="69" customFormat="1"/>
    <row r="137" spans="1:4" s="69" customFormat="1">
      <c r="A137" s="69" t="s">
        <v>189</v>
      </c>
      <c r="B137" s="172">
        <v>1</v>
      </c>
    </row>
    <row r="138" spans="1:4" s="69" customFormat="1">
      <c r="A138" s="150" t="s">
        <v>190</v>
      </c>
      <c r="B138" s="79" t="s">
        <v>366</v>
      </c>
    </row>
    <row r="139" spans="1:4" s="69" customFormat="1"/>
    <row r="140" spans="1:4" s="69" customFormat="1">
      <c r="A140" s="84" t="s">
        <v>135</v>
      </c>
      <c r="B140" s="171">
        <v>2020</v>
      </c>
      <c r="C140" s="171">
        <v>2021</v>
      </c>
      <c r="D140" s="171" t="s">
        <v>343</v>
      </c>
    </row>
    <row r="141" spans="1:4" s="69" customFormat="1">
      <c r="A141" s="83" t="s">
        <v>231</v>
      </c>
      <c r="B141" s="170" t="s">
        <v>48</v>
      </c>
      <c r="C141" s="170" t="s">
        <v>48</v>
      </c>
      <c r="D141" s="170" t="s">
        <v>48</v>
      </c>
    </row>
    <row r="142" spans="1:4" s="69" customFormat="1">
      <c r="A142" s="83" t="s">
        <v>344</v>
      </c>
      <c r="B142" s="170" t="s">
        <v>48</v>
      </c>
      <c r="C142" s="170" t="s">
        <v>48</v>
      </c>
      <c r="D142" s="170" t="s">
        <v>48</v>
      </c>
    </row>
    <row r="143" spans="1:4" s="69" customFormat="1">
      <c r="A143" s="83" t="s">
        <v>217</v>
      </c>
      <c r="B143" s="170" t="s">
        <v>48</v>
      </c>
      <c r="C143" s="170" t="s">
        <v>48</v>
      </c>
      <c r="D143" s="170" t="s">
        <v>48</v>
      </c>
    </row>
    <row r="145" spans="1:4" s="68" customFormat="1">
      <c r="A145" s="67" t="s">
        <v>367</v>
      </c>
    </row>
    <row r="146" spans="1:4" s="69" customFormat="1"/>
    <row r="147" spans="1:4" s="69" customFormat="1">
      <c r="A147" s="69" t="s">
        <v>189</v>
      </c>
      <c r="B147" s="172" t="s">
        <v>361</v>
      </c>
    </row>
    <row r="148" spans="1:4" s="69" customFormat="1">
      <c r="A148" s="150" t="s">
        <v>190</v>
      </c>
      <c r="B148" s="79" t="s">
        <v>366</v>
      </c>
    </row>
    <row r="149" spans="1:4" s="69" customFormat="1"/>
    <row r="150" spans="1:4" s="69" customFormat="1">
      <c r="A150" s="84" t="s">
        <v>135</v>
      </c>
      <c r="B150" s="171">
        <v>2020</v>
      </c>
      <c r="C150" s="171">
        <v>2021</v>
      </c>
      <c r="D150" s="171" t="s">
        <v>343</v>
      </c>
    </row>
    <row r="151" spans="1:4" s="69" customFormat="1">
      <c r="A151" s="83" t="s">
        <v>231</v>
      </c>
      <c r="B151" s="170" t="s">
        <v>48</v>
      </c>
      <c r="C151" s="170" t="s">
        <v>48</v>
      </c>
      <c r="D151" s="170" t="s">
        <v>48</v>
      </c>
    </row>
    <row r="152" spans="1:4" s="69" customFormat="1">
      <c r="A152" s="83" t="s">
        <v>344</v>
      </c>
      <c r="B152" s="170" t="s">
        <v>48</v>
      </c>
      <c r="C152" s="170" t="s">
        <v>48</v>
      </c>
      <c r="D152" s="170" t="s">
        <v>48</v>
      </c>
    </row>
    <row r="153" spans="1:4" s="69" customFormat="1">
      <c r="A153" s="83" t="s">
        <v>217</v>
      </c>
      <c r="B153" s="170" t="s">
        <v>48</v>
      </c>
      <c r="C153" s="170" t="s">
        <v>48</v>
      </c>
      <c r="D153" s="170" t="s">
        <v>48</v>
      </c>
    </row>
    <row r="155" spans="1:4" s="68" customFormat="1">
      <c r="A155" s="67" t="s">
        <v>368</v>
      </c>
    </row>
    <row r="156" spans="1:4" s="69" customFormat="1"/>
    <row r="157" spans="1:4" s="69" customFormat="1">
      <c r="A157" s="69" t="s">
        <v>189</v>
      </c>
      <c r="B157" s="172">
        <v>1</v>
      </c>
    </row>
    <row r="158" spans="1:4" s="69" customFormat="1">
      <c r="A158" s="150" t="s">
        <v>190</v>
      </c>
      <c r="B158" s="79" t="s">
        <v>369</v>
      </c>
    </row>
    <row r="159" spans="1:4" s="69" customFormat="1"/>
    <row r="160" spans="1:4" s="69" customFormat="1">
      <c r="A160" s="84" t="s">
        <v>135</v>
      </c>
      <c r="B160" s="171">
        <v>2020</v>
      </c>
      <c r="C160" s="171">
        <v>2021</v>
      </c>
      <c r="D160" s="171" t="s">
        <v>343</v>
      </c>
    </row>
    <row r="161" spans="1:4" s="69" customFormat="1">
      <c r="A161" s="83" t="s">
        <v>231</v>
      </c>
      <c r="B161" s="144">
        <v>12625.87</v>
      </c>
      <c r="C161" s="144">
        <v>13140.35</v>
      </c>
      <c r="D161" s="170" t="s">
        <v>48</v>
      </c>
    </row>
    <row r="162" spans="1:4" s="69" customFormat="1">
      <c r="A162" s="83" t="s">
        <v>344</v>
      </c>
      <c r="B162" s="170" t="s">
        <v>48</v>
      </c>
      <c r="C162" s="170" t="s">
        <v>48</v>
      </c>
      <c r="D162" s="170" t="s">
        <v>48</v>
      </c>
    </row>
    <row r="163" spans="1:4" s="69" customFormat="1">
      <c r="A163" s="83" t="s">
        <v>217</v>
      </c>
      <c r="B163" s="144">
        <v>-1053.22</v>
      </c>
      <c r="C163" s="144">
        <v>-434.45</v>
      </c>
      <c r="D163" s="170" t="s">
        <v>48</v>
      </c>
    </row>
    <row r="165" spans="1:4" s="68" customFormat="1">
      <c r="A165" s="67" t="s">
        <v>370</v>
      </c>
    </row>
    <row r="166" spans="1:4" s="69" customFormat="1"/>
    <row r="167" spans="1:4" s="69" customFormat="1">
      <c r="A167" s="69" t="s">
        <v>189</v>
      </c>
      <c r="B167" s="172">
        <v>1</v>
      </c>
    </row>
    <row r="168" spans="1:4" s="69" customFormat="1">
      <c r="A168" s="150" t="s">
        <v>190</v>
      </c>
      <c r="B168" s="79" t="s">
        <v>369</v>
      </c>
    </row>
    <row r="169" spans="1:4" s="69" customFormat="1"/>
    <row r="170" spans="1:4" s="69" customFormat="1">
      <c r="A170" s="84" t="s">
        <v>135</v>
      </c>
      <c r="B170" s="171">
        <v>2020</v>
      </c>
      <c r="C170" s="171">
        <v>2021</v>
      </c>
      <c r="D170" s="171" t="s">
        <v>343</v>
      </c>
    </row>
    <row r="171" spans="1:4" s="69" customFormat="1">
      <c r="A171" s="83" t="s">
        <v>231</v>
      </c>
      <c r="B171" s="144">
        <v>6160.76</v>
      </c>
      <c r="C171" s="144">
        <v>7155.63</v>
      </c>
      <c r="D171" s="170" t="s">
        <v>48</v>
      </c>
    </row>
    <row r="172" spans="1:4" s="69" customFormat="1">
      <c r="A172" s="83" t="s">
        <v>344</v>
      </c>
      <c r="B172" s="170" t="s">
        <v>48</v>
      </c>
      <c r="C172" s="170" t="s">
        <v>48</v>
      </c>
      <c r="D172" s="170" t="s">
        <v>48</v>
      </c>
    </row>
    <row r="173" spans="1:4" s="69" customFormat="1">
      <c r="A173" s="83" t="s">
        <v>217</v>
      </c>
      <c r="B173" s="144">
        <v>-231.69</v>
      </c>
      <c r="C173" s="144">
        <v>-612.67999999999995</v>
      </c>
      <c r="D173" s="170" t="s">
        <v>48</v>
      </c>
    </row>
  </sheetData>
  <mergeCells count="1">
    <mergeCell ref="A1:XFD3"/>
  </mergeCells>
  <phoneticPr fontId="11" type="noConversion"/>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69841-5506-45D2-A775-34CFF001162A}">
  <sheetPr>
    <tabColor theme="7" tint="0.39997558519241921"/>
  </sheetPr>
  <dimension ref="A1:L65"/>
  <sheetViews>
    <sheetView showGridLines="0" zoomScale="85" zoomScaleNormal="85" workbookViewId="0">
      <selection activeCell="I19" sqref="I19:L21"/>
    </sheetView>
  </sheetViews>
  <sheetFormatPr defaultColWidth="8.81640625" defaultRowHeight="16.5"/>
  <cols>
    <col min="1" max="1" width="12.453125" style="329" customWidth="1"/>
    <col min="2" max="2" width="8.81640625" style="329" customWidth="1"/>
    <col min="3" max="3" width="24.453125" style="329" customWidth="1"/>
    <col min="4" max="4" width="22.08984375" style="329" bestFit="1" customWidth="1"/>
    <col min="5" max="5" width="17.81640625" style="329" customWidth="1"/>
    <col min="6" max="6" width="2.81640625" style="329" customWidth="1"/>
    <col min="7" max="7" width="1.81640625" style="330" customWidth="1"/>
    <col min="8" max="8" width="12" style="329" customWidth="1"/>
    <col min="9" max="9" width="8.81640625" style="329"/>
    <col min="10" max="12" width="23.08984375" style="329" customWidth="1"/>
    <col min="13" max="16384" width="8.81640625" style="329"/>
  </cols>
  <sheetData>
    <row r="1" spans="1:12" s="417" customFormat="1" ht="13.75" customHeight="1">
      <c r="A1" s="417" t="s">
        <v>63</v>
      </c>
    </row>
    <row r="2" spans="1:12" s="417" customFormat="1" ht="13.75" customHeight="1"/>
    <row r="3" spans="1:12" s="417" customFormat="1" ht="13.75" customHeight="1"/>
    <row r="4" spans="1:12" s="88" customFormat="1" ht="14"/>
    <row r="5" spans="1:12" s="324" customFormat="1" ht="13.75" customHeight="1">
      <c r="A5" s="324" t="s">
        <v>61</v>
      </c>
      <c r="H5" s="324" t="s">
        <v>64</v>
      </c>
    </row>
    <row r="6" spans="1:12" s="325" customFormat="1" ht="13.75" customHeight="1">
      <c r="G6" s="324"/>
    </row>
    <row r="7" spans="1:12" s="325" customFormat="1" ht="21" customHeight="1">
      <c r="A7" s="326">
        <v>2021</v>
      </c>
      <c r="B7" s="88"/>
      <c r="C7" s="88"/>
      <c r="D7" s="88"/>
      <c r="E7" s="88"/>
      <c r="G7" s="324"/>
      <c r="H7" s="326">
        <v>2021</v>
      </c>
      <c r="I7" s="88"/>
      <c r="J7" s="88"/>
      <c r="K7" s="88"/>
      <c r="L7" s="88"/>
    </row>
    <row r="8" spans="1:12" s="88" customFormat="1" ht="14.5" customHeight="1">
      <c r="B8" s="476" t="s">
        <v>796</v>
      </c>
      <c r="C8" s="476"/>
      <c r="D8" s="476"/>
      <c r="E8" s="476"/>
      <c r="F8" s="110"/>
      <c r="G8" s="334"/>
      <c r="H8" s="110"/>
      <c r="I8" s="476" t="s">
        <v>797</v>
      </c>
      <c r="J8" s="476"/>
      <c r="K8" s="476"/>
      <c r="L8" s="476"/>
    </row>
    <row r="9" spans="1:12" s="88" customFormat="1" ht="14">
      <c r="B9" s="476"/>
      <c r="C9" s="476"/>
      <c r="D9" s="476"/>
      <c r="E9" s="476"/>
      <c r="F9" s="110"/>
      <c r="G9" s="334"/>
      <c r="H9" s="110"/>
      <c r="I9" s="476"/>
      <c r="J9" s="476"/>
      <c r="K9" s="476"/>
      <c r="L9" s="476"/>
    </row>
    <row r="10" spans="1:12" s="88" customFormat="1" ht="14">
      <c r="B10" s="476"/>
      <c r="C10" s="476"/>
      <c r="D10" s="476"/>
      <c r="E10" s="476"/>
      <c r="F10" s="110"/>
      <c r="G10" s="334"/>
      <c r="H10" s="110"/>
      <c r="I10" s="476"/>
      <c r="J10" s="476"/>
      <c r="K10" s="476"/>
      <c r="L10" s="476"/>
    </row>
    <row r="11" spans="1:12" s="88" customFormat="1" ht="14">
      <c r="B11" s="476"/>
      <c r="C11" s="476"/>
      <c r="D11" s="476"/>
      <c r="E11" s="476"/>
      <c r="F11" s="110"/>
      <c r="G11" s="334"/>
      <c r="H11" s="110"/>
      <c r="I11" s="476"/>
      <c r="J11" s="476"/>
      <c r="K11" s="476"/>
      <c r="L11" s="476"/>
    </row>
    <row r="12" spans="1:12" s="88" customFormat="1" ht="14">
      <c r="A12" s="326"/>
      <c r="B12" s="327"/>
      <c r="C12" s="328"/>
      <c r="D12" s="327"/>
      <c r="G12" s="323"/>
      <c r="H12" s="326"/>
      <c r="I12" s="327"/>
      <c r="J12" s="328"/>
      <c r="K12" s="327"/>
    </row>
    <row r="13" spans="1:12" s="88" customFormat="1" ht="14">
      <c r="A13" s="326">
        <v>2020</v>
      </c>
      <c r="G13" s="323"/>
      <c r="H13" s="326">
        <v>2020</v>
      </c>
    </row>
    <row r="14" spans="1:12" s="88" customFormat="1" ht="14">
      <c r="B14" s="476" t="s">
        <v>798</v>
      </c>
      <c r="C14" s="476"/>
      <c r="D14" s="476"/>
      <c r="E14" s="476"/>
      <c r="F14" s="110"/>
      <c r="G14" s="334"/>
      <c r="H14" s="110"/>
      <c r="I14" s="110"/>
      <c r="J14" s="110"/>
      <c r="K14" s="110"/>
      <c r="L14" s="110"/>
    </row>
    <row r="15" spans="1:12" s="88" customFormat="1" ht="35.25" customHeight="1">
      <c r="B15" s="476"/>
      <c r="C15" s="476"/>
      <c r="D15" s="476"/>
      <c r="E15" s="476"/>
      <c r="F15" s="110"/>
      <c r="G15" s="334"/>
      <c r="H15" s="110"/>
      <c r="I15" s="476" t="s">
        <v>799</v>
      </c>
      <c r="J15" s="476"/>
      <c r="K15" s="476"/>
      <c r="L15" s="476"/>
    </row>
    <row r="16" spans="1:12" s="88" customFormat="1" ht="14">
      <c r="B16" s="476"/>
      <c r="C16" s="476"/>
      <c r="D16" s="476"/>
      <c r="E16" s="476"/>
      <c r="F16" s="110"/>
      <c r="G16" s="334"/>
      <c r="H16" s="110"/>
      <c r="I16" s="110"/>
      <c r="J16" s="110"/>
      <c r="K16" s="110"/>
      <c r="L16" s="110"/>
    </row>
    <row r="17" spans="1:12" s="88" customFormat="1" ht="14">
      <c r="B17" s="476"/>
      <c r="C17" s="476"/>
      <c r="D17" s="476"/>
      <c r="E17" s="476"/>
      <c r="F17" s="110"/>
      <c r="G17" s="334"/>
      <c r="H17" s="110"/>
      <c r="I17" s="110"/>
      <c r="J17" s="110"/>
      <c r="K17" s="110"/>
      <c r="L17" s="110"/>
    </row>
    <row r="18" spans="1:12" s="88" customFormat="1" ht="14">
      <c r="A18" s="326">
        <v>2019</v>
      </c>
      <c r="B18" s="110"/>
      <c r="C18" s="110"/>
      <c r="D18" s="110"/>
      <c r="E18" s="110"/>
      <c r="F18" s="110"/>
      <c r="G18" s="334"/>
      <c r="H18" s="336">
        <v>2019</v>
      </c>
      <c r="I18" s="110"/>
      <c r="J18" s="110"/>
      <c r="K18" s="110"/>
      <c r="L18" s="110"/>
    </row>
    <row r="19" spans="1:12" s="88" customFormat="1" ht="14" customHeight="1">
      <c r="B19" s="476" t="s">
        <v>800</v>
      </c>
      <c r="C19" s="476"/>
      <c r="D19" s="476"/>
      <c r="E19" s="476"/>
      <c r="F19" s="110"/>
      <c r="G19" s="334"/>
      <c r="H19" s="337"/>
      <c r="I19" s="476" t="s">
        <v>801</v>
      </c>
      <c r="J19" s="476"/>
      <c r="K19" s="476"/>
      <c r="L19" s="476"/>
    </row>
    <row r="20" spans="1:12" s="88" customFormat="1" ht="14">
      <c r="B20" s="476"/>
      <c r="C20" s="476"/>
      <c r="D20" s="476"/>
      <c r="E20" s="476"/>
      <c r="F20" s="110"/>
      <c r="G20" s="334"/>
      <c r="H20" s="337"/>
      <c r="I20" s="476"/>
      <c r="J20" s="476"/>
      <c r="K20" s="476"/>
      <c r="L20" s="476"/>
    </row>
    <row r="21" spans="1:12" s="88" customFormat="1">
      <c r="B21" s="476"/>
      <c r="C21" s="476"/>
      <c r="D21" s="476"/>
      <c r="E21" s="476"/>
      <c r="F21" s="110"/>
      <c r="G21" s="334"/>
      <c r="H21" s="338"/>
      <c r="I21" s="476"/>
      <c r="J21" s="476"/>
      <c r="K21" s="476"/>
      <c r="L21" s="476"/>
    </row>
    <row r="22" spans="1:12" s="88" customFormat="1">
      <c r="B22" s="476"/>
      <c r="C22" s="476"/>
      <c r="D22" s="476"/>
      <c r="E22" s="476"/>
      <c r="F22" s="110"/>
      <c r="G22" s="334"/>
      <c r="H22" s="338"/>
      <c r="I22" s="333"/>
      <c r="J22" s="333"/>
      <c r="K22" s="333"/>
      <c r="L22" s="333"/>
    </row>
    <row r="23" spans="1:12" s="88" customFormat="1">
      <c r="B23" s="110"/>
      <c r="C23" s="110"/>
      <c r="D23" s="110"/>
      <c r="E23" s="110"/>
      <c r="F23" s="110"/>
      <c r="G23" s="334"/>
      <c r="H23" s="338"/>
      <c r="I23" s="333"/>
      <c r="J23" s="333"/>
      <c r="K23" s="333"/>
      <c r="L23" s="333"/>
    </row>
    <row r="24" spans="1:12" s="88" customFormat="1" ht="14">
      <c r="A24" s="326">
        <v>2018</v>
      </c>
      <c r="B24" s="110"/>
      <c r="C24" s="110"/>
      <c r="D24" s="110"/>
      <c r="E24" s="110"/>
      <c r="F24" s="110"/>
      <c r="G24" s="334"/>
      <c r="H24" s="336">
        <v>2018</v>
      </c>
      <c r="I24" s="110"/>
      <c r="J24" s="110"/>
      <c r="K24" s="110"/>
      <c r="L24" s="110"/>
    </row>
    <row r="25" spans="1:12" s="88" customFormat="1" ht="15.5" customHeight="1">
      <c r="B25" s="476" t="s">
        <v>802</v>
      </c>
      <c r="C25" s="476"/>
      <c r="D25" s="476"/>
      <c r="E25" s="476"/>
      <c r="F25" s="110"/>
      <c r="G25" s="334"/>
      <c r="H25" s="337"/>
      <c r="I25" s="476" t="s">
        <v>803</v>
      </c>
      <c r="J25" s="476"/>
      <c r="K25" s="476"/>
      <c r="L25" s="476"/>
    </row>
    <row r="26" spans="1:12" s="88" customFormat="1" ht="15.5" customHeight="1">
      <c r="B26" s="476"/>
      <c r="C26" s="476"/>
      <c r="D26" s="476"/>
      <c r="E26" s="476"/>
      <c r="F26" s="110"/>
      <c r="G26" s="334"/>
      <c r="H26" s="337"/>
      <c r="I26" s="476"/>
      <c r="J26" s="476"/>
      <c r="K26" s="476"/>
      <c r="L26" s="476"/>
    </row>
    <row r="27" spans="1:12" s="88" customFormat="1" ht="15.5" customHeight="1">
      <c r="B27" s="476"/>
      <c r="C27" s="476"/>
      <c r="D27" s="476"/>
      <c r="E27" s="476"/>
      <c r="F27" s="110"/>
      <c r="G27" s="334"/>
      <c r="H27" s="337"/>
      <c r="I27" s="110"/>
      <c r="J27" s="110"/>
      <c r="K27" s="110"/>
      <c r="L27" s="110"/>
    </row>
    <row r="28" spans="1:12" s="88" customFormat="1">
      <c r="A28" s="326">
        <v>2017</v>
      </c>
      <c r="B28" s="335"/>
      <c r="C28" s="335"/>
      <c r="D28" s="335"/>
      <c r="E28" s="335"/>
      <c r="F28" s="110"/>
      <c r="G28" s="334"/>
      <c r="H28" s="336">
        <v>2017</v>
      </c>
      <c r="I28" s="110"/>
      <c r="J28" s="110"/>
      <c r="K28" s="110"/>
      <c r="L28" s="110"/>
    </row>
    <row r="29" spans="1:12" s="88" customFormat="1" ht="15.5" customHeight="1">
      <c r="B29" s="476" t="s">
        <v>804</v>
      </c>
      <c r="C29" s="476"/>
      <c r="D29" s="476"/>
      <c r="E29" s="476"/>
      <c r="F29" s="110"/>
      <c r="G29" s="334"/>
      <c r="H29" s="110"/>
      <c r="I29" s="476" t="s">
        <v>805</v>
      </c>
      <c r="J29" s="476"/>
      <c r="K29" s="476"/>
      <c r="L29" s="476"/>
    </row>
    <row r="30" spans="1:12" s="88" customFormat="1" ht="15.5" customHeight="1">
      <c r="B30" s="476"/>
      <c r="C30" s="476"/>
      <c r="D30" s="476"/>
      <c r="E30" s="476"/>
      <c r="F30" s="110"/>
      <c r="G30" s="334"/>
      <c r="H30" s="110"/>
      <c r="I30" s="476"/>
      <c r="J30" s="476"/>
      <c r="K30" s="476"/>
      <c r="L30" s="476"/>
    </row>
    <row r="31" spans="1:12" s="88" customFormat="1" ht="15.5" customHeight="1">
      <c r="B31" s="476"/>
      <c r="C31" s="476"/>
      <c r="D31" s="476"/>
      <c r="E31" s="476"/>
      <c r="F31" s="110"/>
      <c r="G31" s="334"/>
      <c r="H31" s="110"/>
      <c r="I31" s="476"/>
      <c r="J31" s="476"/>
      <c r="K31" s="476"/>
      <c r="L31" s="476"/>
    </row>
    <row r="32" spans="1:12" s="88" customFormat="1">
      <c r="A32" s="329"/>
      <c r="B32" s="329"/>
      <c r="C32" s="329"/>
      <c r="D32" s="329"/>
      <c r="E32" s="329"/>
      <c r="G32" s="323"/>
    </row>
    <row r="33" spans="1:12" s="88" customFormat="1" ht="30.75" customHeight="1">
      <c r="A33" s="329"/>
      <c r="B33" s="329"/>
      <c r="C33" s="329"/>
      <c r="D33" s="329"/>
      <c r="E33" s="329"/>
      <c r="G33" s="323"/>
    </row>
    <row r="34" spans="1:12" s="88" customFormat="1">
      <c r="A34" s="329"/>
      <c r="B34" s="329"/>
      <c r="C34" s="329"/>
      <c r="D34" s="329"/>
      <c r="E34" s="329"/>
      <c r="G34" s="323"/>
      <c r="H34" s="329"/>
    </row>
    <row r="35" spans="1:12" s="88" customFormat="1">
      <c r="A35" s="329"/>
      <c r="B35" s="329"/>
      <c r="C35" s="329"/>
      <c r="D35" s="329"/>
      <c r="E35" s="329"/>
      <c r="G35" s="323"/>
      <c r="H35" s="329"/>
      <c r="I35" s="329"/>
      <c r="J35" s="329"/>
      <c r="K35" s="329"/>
      <c r="L35" s="329"/>
    </row>
    <row r="36" spans="1:12" s="88" customFormat="1">
      <c r="A36" s="329"/>
      <c r="B36" s="329"/>
      <c r="C36" s="329"/>
      <c r="D36" s="329"/>
      <c r="E36" s="329"/>
      <c r="G36" s="323"/>
    </row>
    <row r="37" spans="1:12" s="88" customFormat="1">
      <c r="A37" s="329"/>
      <c r="B37" s="329"/>
      <c r="C37" s="329"/>
      <c r="D37" s="329"/>
      <c r="E37" s="329"/>
      <c r="G37" s="323"/>
    </row>
    <row r="38" spans="1:12" s="88" customFormat="1" ht="33" customHeight="1">
      <c r="A38" s="329"/>
      <c r="B38" s="329"/>
      <c r="C38" s="329"/>
      <c r="D38" s="329"/>
      <c r="E38" s="329"/>
      <c r="G38" s="323"/>
    </row>
    <row r="39" spans="1:12" s="88" customFormat="1" ht="22.75" customHeight="1">
      <c r="A39" s="329"/>
      <c r="B39" s="329"/>
      <c r="C39" s="329"/>
      <c r="D39" s="329"/>
      <c r="E39" s="329"/>
      <c r="G39" s="323"/>
    </row>
    <row r="40" spans="1:12" s="88" customFormat="1" ht="29.25" customHeight="1">
      <c r="A40" s="329"/>
      <c r="B40" s="329"/>
      <c r="C40" s="329"/>
      <c r="D40" s="329"/>
      <c r="E40" s="329"/>
      <c r="G40" s="323"/>
    </row>
    <row r="41" spans="1:12" s="88" customFormat="1">
      <c r="A41" s="329"/>
      <c r="B41" s="329"/>
      <c r="C41" s="329"/>
      <c r="D41" s="329"/>
      <c r="E41" s="329"/>
      <c r="G41" s="323"/>
    </row>
    <row r="42" spans="1:12" s="88" customFormat="1">
      <c r="A42" s="329"/>
      <c r="B42" s="329"/>
      <c r="C42" s="329"/>
      <c r="D42" s="329"/>
      <c r="E42" s="329"/>
      <c r="G42" s="323"/>
    </row>
    <row r="43" spans="1:12" s="88" customFormat="1">
      <c r="A43" s="329"/>
      <c r="B43" s="329"/>
      <c r="C43" s="329"/>
      <c r="D43" s="329"/>
      <c r="E43" s="329"/>
      <c r="G43" s="323"/>
    </row>
    <row r="44" spans="1:12" s="88" customFormat="1">
      <c r="A44" s="329"/>
      <c r="B44" s="329"/>
      <c r="C44" s="329"/>
      <c r="D44" s="329"/>
      <c r="E44" s="329"/>
      <c r="G44" s="323"/>
    </row>
    <row r="45" spans="1:12" s="88" customFormat="1">
      <c r="A45" s="329"/>
      <c r="B45" s="329"/>
      <c r="C45" s="329"/>
      <c r="D45" s="329"/>
      <c r="E45" s="329"/>
      <c r="G45" s="323"/>
    </row>
    <row r="46" spans="1:12" s="88" customFormat="1">
      <c r="A46" s="329"/>
      <c r="B46" s="329"/>
      <c r="C46" s="329"/>
      <c r="D46" s="329"/>
      <c r="E46" s="329"/>
      <c r="G46" s="323"/>
    </row>
    <row r="47" spans="1:12" s="88" customFormat="1">
      <c r="A47" s="329"/>
      <c r="B47" s="329"/>
      <c r="C47" s="329"/>
      <c r="D47" s="329"/>
      <c r="E47" s="329"/>
      <c r="G47" s="323"/>
    </row>
    <row r="48" spans="1:12" s="88" customFormat="1">
      <c r="A48" s="329"/>
      <c r="B48" s="329"/>
      <c r="C48" s="329"/>
      <c r="D48" s="329"/>
      <c r="E48" s="329"/>
      <c r="G48" s="323"/>
    </row>
    <row r="49" spans="1:7" s="88" customFormat="1">
      <c r="A49" s="329"/>
      <c r="B49" s="329"/>
      <c r="C49" s="329"/>
      <c r="D49" s="329"/>
      <c r="E49" s="329"/>
      <c r="G49" s="323"/>
    </row>
    <row r="50" spans="1:7" s="88" customFormat="1">
      <c r="A50" s="329"/>
      <c r="B50" s="329"/>
      <c r="C50" s="329"/>
      <c r="D50" s="329"/>
      <c r="E50" s="329"/>
      <c r="G50" s="323"/>
    </row>
    <row r="51" spans="1:7" s="88" customFormat="1">
      <c r="A51" s="329"/>
      <c r="B51" s="329"/>
      <c r="C51" s="329"/>
      <c r="D51" s="329"/>
      <c r="E51" s="329"/>
      <c r="G51" s="323"/>
    </row>
    <row r="52" spans="1:7" s="88" customFormat="1">
      <c r="A52" s="329"/>
      <c r="B52" s="329"/>
      <c r="C52" s="329"/>
      <c r="D52" s="329"/>
      <c r="E52" s="329"/>
      <c r="G52" s="323"/>
    </row>
    <row r="53" spans="1:7" s="88" customFormat="1">
      <c r="A53" s="329"/>
      <c r="B53" s="329"/>
      <c r="C53" s="329"/>
      <c r="D53" s="329"/>
      <c r="E53" s="329"/>
      <c r="G53" s="323"/>
    </row>
    <row r="54" spans="1:7" s="88" customFormat="1">
      <c r="A54" s="329"/>
      <c r="B54" s="329"/>
      <c r="C54" s="329"/>
      <c r="D54" s="329"/>
      <c r="E54" s="329"/>
      <c r="G54" s="323"/>
    </row>
    <row r="55" spans="1:7" s="88" customFormat="1">
      <c r="A55" s="329"/>
      <c r="B55" s="329"/>
      <c r="C55" s="329"/>
      <c r="D55" s="329"/>
      <c r="E55" s="329"/>
      <c r="G55" s="323"/>
    </row>
    <row r="56" spans="1:7" s="88" customFormat="1">
      <c r="A56" s="329"/>
      <c r="B56" s="329"/>
      <c r="C56" s="329"/>
      <c r="D56" s="329"/>
      <c r="E56" s="329"/>
      <c r="G56" s="323"/>
    </row>
    <row r="57" spans="1:7" s="88" customFormat="1">
      <c r="A57" s="329"/>
      <c r="B57" s="329"/>
      <c r="C57" s="329"/>
      <c r="D57" s="329"/>
      <c r="E57" s="329"/>
      <c r="G57" s="323"/>
    </row>
    <row r="58" spans="1:7" s="88" customFormat="1">
      <c r="A58" s="329"/>
      <c r="B58" s="329"/>
      <c r="C58" s="329"/>
      <c r="D58" s="329"/>
      <c r="E58" s="329"/>
      <c r="G58" s="323"/>
    </row>
    <row r="59" spans="1:7" s="88" customFormat="1">
      <c r="A59" s="329"/>
      <c r="B59" s="329"/>
      <c r="C59" s="329"/>
      <c r="D59" s="329"/>
      <c r="E59" s="329"/>
      <c r="G59" s="323"/>
    </row>
    <row r="60" spans="1:7" s="88" customFormat="1">
      <c r="A60" s="329"/>
      <c r="B60" s="329"/>
      <c r="C60" s="329"/>
      <c r="D60" s="329"/>
      <c r="E60" s="329"/>
      <c r="G60" s="323"/>
    </row>
    <row r="61" spans="1:7" s="88" customFormat="1">
      <c r="A61" s="329"/>
      <c r="B61" s="329"/>
      <c r="C61" s="329"/>
      <c r="D61" s="329"/>
      <c r="E61" s="329"/>
      <c r="G61" s="323"/>
    </row>
    <row r="62" spans="1:7" s="88" customFormat="1">
      <c r="A62" s="329"/>
      <c r="B62" s="329"/>
      <c r="C62" s="329"/>
      <c r="D62" s="329"/>
      <c r="E62" s="329"/>
      <c r="G62" s="323"/>
    </row>
    <row r="63" spans="1:7" s="88" customFormat="1">
      <c r="A63" s="329"/>
      <c r="B63" s="329"/>
      <c r="C63" s="329"/>
      <c r="D63" s="329"/>
      <c r="E63" s="329"/>
      <c r="G63" s="323"/>
    </row>
    <row r="64" spans="1:7" s="88" customFormat="1">
      <c r="A64" s="329"/>
      <c r="B64" s="329"/>
      <c r="C64" s="329"/>
      <c r="D64" s="329"/>
      <c r="E64" s="329"/>
      <c r="G64" s="323"/>
    </row>
    <row r="65" spans="1:12" s="88" customFormat="1">
      <c r="A65" s="329"/>
      <c r="B65" s="329"/>
      <c r="C65" s="329"/>
      <c r="D65" s="329"/>
      <c r="E65" s="329"/>
      <c r="G65" s="323"/>
      <c r="H65" s="329"/>
      <c r="I65" s="329"/>
      <c r="J65" s="329"/>
      <c r="K65" s="329"/>
      <c r="L65" s="329"/>
    </row>
  </sheetData>
  <mergeCells count="11">
    <mergeCell ref="B25:E27"/>
    <mergeCell ref="I25:L26"/>
    <mergeCell ref="B29:E31"/>
    <mergeCell ref="I29:L31"/>
    <mergeCell ref="A1:XFD3"/>
    <mergeCell ref="B8:E11"/>
    <mergeCell ref="I8:L11"/>
    <mergeCell ref="B14:E17"/>
    <mergeCell ref="I15:L15"/>
    <mergeCell ref="B19:E22"/>
    <mergeCell ref="I19:L21"/>
  </mergeCells>
  <phoneticPr fontId="11"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5FE729D229E14468A1F50F631F28092" ma:contentTypeVersion="2" ma:contentTypeDescription="Create a new document." ma:contentTypeScope="" ma:versionID="0dcd133a6d569c4ae331fbb7a1c9d796">
  <xsd:schema xmlns:xsd="http://www.w3.org/2001/XMLSchema" xmlns:xs="http://www.w3.org/2001/XMLSchema" xmlns:p="http://schemas.microsoft.com/office/2006/metadata/properties" xmlns:ns2="647eb4e2-e84d-4e21-8af7-f225e23285ec" targetNamespace="http://schemas.microsoft.com/office/2006/metadata/properties" ma:root="true" ma:fieldsID="11473f7ba866e4f98c0254db9fe3aa3d" ns2:_="">
    <xsd:import namespace="647eb4e2-e84d-4e21-8af7-f225e23285ec"/>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7eb4e2-e84d-4e21-8af7-f225e23285e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40884E4-B03E-4B36-B288-648D0B523D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7eb4e2-e84d-4e21-8af7-f225e23285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B023738-8C08-44E0-8C43-0C201991CCBC}">
  <ds:schemaRefs>
    <ds:schemaRef ds:uri="http://schemas.microsoft.com/sharepoint/v3/contenttype/forms"/>
  </ds:schemaRefs>
</ds:datastoreItem>
</file>

<file path=customXml/itemProps3.xml><?xml version="1.0" encoding="utf-8"?>
<ds:datastoreItem xmlns:ds="http://schemas.openxmlformats.org/officeDocument/2006/customXml" ds:itemID="{7574CA05-B570-4EDD-B999-4E138817291B}">
  <ds:schemaRefs>
    <ds:schemaRef ds:uri="http://purl.org/dc/elements/1.1/"/>
    <ds:schemaRef ds:uri="http://www.w3.org/XML/1998/namespace"/>
    <ds:schemaRef ds:uri="http://purl.org/dc/terms/"/>
    <ds:schemaRef ds:uri="647eb4e2-e84d-4e21-8af7-f225e23285ec"/>
    <ds:schemaRef ds:uri="http://schemas.microsoft.com/office/2006/metadata/properties"/>
    <ds:schemaRef ds:uri="http://purl.org/dc/dcmitype/"/>
    <ds:schemaRef ds:uri="http://schemas.microsoft.com/office/2006/documentManagement/types"/>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目录</vt:lpstr>
      <vt:lpstr>1.1业绩汇总</vt:lpstr>
      <vt:lpstr>1.2业绩拆分</vt:lpstr>
      <vt:lpstr>利润表</vt:lpstr>
      <vt:lpstr>2.1 概况&amp;方案对比</vt:lpstr>
      <vt:lpstr>2.2 行业空间</vt:lpstr>
      <vt:lpstr>2.3 材料环节情况及布局</vt:lpstr>
      <vt:lpstr>3.1公司简介</vt:lpstr>
      <vt:lpstr>3.2 年度财务数据</vt:lpstr>
      <vt:lpstr>3.3 季度财务数据 </vt:lpstr>
      <vt:lpstr>3.4费用分析</vt:lpstr>
      <vt:lpstr>3.5资本开支</vt:lpstr>
      <vt:lpstr>3.6股权激励</vt:lpstr>
      <vt:lpstr>4.1人事</vt:lpstr>
      <vt:lpstr>4.2参股公司</vt:lpstr>
      <vt:lpstr>4.3客户与供应商</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连楷昇</cp:lastModifiedBy>
  <cp:revision/>
  <dcterms:created xsi:type="dcterms:W3CDTF">2017-10-17T04:18:00Z</dcterms:created>
  <dcterms:modified xsi:type="dcterms:W3CDTF">2022-10-29T12:32:03Z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2052-11.1.0.9305</vt:lpwstr>
  </property>
  <property fmtid="{D5CDD505-2E9C-101B-9397-08002B2CF9AE}" pid="3" name="EM_Doc_Temp_ID">
    <vt:lpwstr>28394ef0</vt:lpwstr>
  </property>
  <property fmtid="{D5CDD505-2E9C-101B-9397-08002B2CF9AE}" pid="4" name="ContentTypeId">
    <vt:lpwstr>0x010100A5FE729D229E14468A1F50F631F28092</vt:lpwstr>
  </property>
</Properties>
</file>