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2C1DC6-B3F6-414E-890F-7275854D5391}" xr6:coauthVersionLast="45" xr6:coauthVersionMax="45" xr10:uidLastSave="{00000000-0000-0000-0000-000000000000}"/>
  <bookViews>
    <workbookView xWindow="28680" yWindow="-120" windowWidth="29040" windowHeight="15840" activeTab="1" xr2:uid="{0D61BA1D-EEFA-4F72-AD52-EE8B3B4144CD}"/>
  </bookViews>
  <sheets>
    <sheet name="master" sheetId="1" r:id="rId1"/>
    <sheet name="expense" sheetId="2" r:id="rId2"/>
    <sheet name="payment" sheetId="13" r:id="rId3"/>
    <sheet name="income" sheetId="5" r:id="rId4"/>
    <sheet name="receipt" sheetId="14" r:id="rId5"/>
    <sheet name="bank" sheetId="6" r:id="rId6"/>
    <sheet name="bank_acct" sheetId="15" r:id="rId7"/>
    <sheet name="table" sheetId="7" r:id="rId8"/>
    <sheet name="vendor" sheetId="16" r:id="rId9"/>
    <sheet name="customer" sheetId="17" r:id="rId10"/>
    <sheet name="lang" sheetId="9" r:id="rId11"/>
    <sheet name="chartOfAcct" sheetId="11" r:id="rId12"/>
    <sheet name="selectList" sheetId="10" r:id="rId13"/>
    <sheet name="fields" sheetId="8" r:id="rId14"/>
    <sheet name="design" sheetId="12" r:id="rId15"/>
  </sheets>
  <definedNames>
    <definedName name="selecIncomeInvoice">_xlfn.ANCHORARRAY(selectList!$J$7)</definedName>
    <definedName name="select_interbank_deposit">_xlfn.ANCHORARRAY(selectList!$O$7)</definedName>
    <definedName name="select_lang_code">_xlfn.ANCHORARRAY(selectList!$C$7)</definedName>
    <definedName name="selectBankGL">_xlfn.ANCHORARRAY(selectList!$K$7)</definedName>
    <definedName name="selectCustomer">_xlfn.ANCHORARRAY(selectList!$F$7)</definedName>
    <definedName name="selectDepositBank">_xlfn.ANCHORARRAY(selectList!$M$7)</definedName>
    <definedName name="selectExpense">_xlfn.ANCHORARRAY(selectList!$G$7)</definedName>
    <definedName name="selectExpenseInvoice">_xlfn.ANCHORARRAY(selectList!$I$7)</definedName>
    <definedName name="selectFundTransferBank">_xlfn.ANCHORARRAY(selectList!$N$7)</definedName>
    <definedName name="selectIncome">_xlfn.ANCHORARRAY(selectList!$H$7)</definedName>
    <definedName name="selectTransType">selectList!$D$7:$D$9</definedName>
    <definedName name="selectVendor">_xlfn.ANCHORARRAY(selectList!$E$7)</definedName>
    <definedName name="selectWithdrawalBank">_xlfn.ANCHORARRAY(selectList!$L$7)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6" l="1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C65" i="8"/>
  <c r="C64" i="8"/>
  <c r="K6" i="6" a="1"/>
  <c r="K6" i="6" s="1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L9" i="6" l="1" a="1"/>
  <c r="L9" i="6" s="1"/>
  <c r="L10" i="6" a="1"/>
  <c r="L10" i="6" s="1"/>
  <c r="L11" i="6" a="1"/>
  <c r="L11" i="6" s="1"/>
  <c r="L12" i="6" a="1"/>
  <c r="L12" i="6" s="1"/>
  <c r="L13" i="6" a="1"/>
  <c r="L13" i="6" s="1"/>
  <c r="L14" i="6" a="1"/>
  <c r="L14" i="6" s="1"/>
  <c r="L15" i="6" a="1"/>
  <c r="L15" i="6" s="1"/>
  <c r="L16" i="6" a="1"/>
  <c r="L16" i="6" s="1"/>
  <c r="L17" i="6" a="1"/>
  <c r="L17" i="6" s="1"/>
  <c r="L18" i="6" a="1"/>
  <c r="L18" i="6" s="1"/>
  <c r="L19" i="6" a="1"/>
  <c r="L19" i="6" s="1"/>
  <c r="L20" i="6" a="1"/>
  <c r="L20" i="6" s="1"/>
  <c r="L21" i="6" a="1"/>
  <c r="L21" i="6" s="1"/>
  <c r="L22" i="6" a="1"/>
  <c r="L22" i="6" s="1"/>
  <c r="L8" i="6" a="1"/>
  <c r="L8" i="6" s="1"/>
  <c r="C62" i="8" l="1"/>
  <c r="C63" i="8"/>
  <c r="M6" i="6" a="1"/>
  <c r="M6" i="6" s="1"/>
  <c r="G6" i="6" a="1"/>
  <c r="G6" i="6" s="1"/>
  <c r="L6" i="6" a="1"/>
  <c r="L6" i="6" s="1"/>
  <c r="F6" i="6" a="1"/>
  <c r="F6" i="6" s="1"/>
  <c r="C61" i="8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C8" i="15" l="1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F14" i="6" l="1" a="1"/>
  <c r="F14" i="6" s="1"/>
  <c r="F17" i="6" a="1"/>
  <c r="F17" i="6" s="1"/>
  <c r="F21" i="6" a="1"/>
  <c r="F21" i="6" s="1"/>
  <c r="F12" i="6" a="1"/>
  <c r="F12" i="6" s="1"/>
  <c r="F22" i="6" a="1"/>
  <c r="F22" i="6" s="1"/>
  <c r="F13" i="6" a="1"/>
  <c r="F13" i="6" s="1"/>
  <c r="F20" i="6" a="1"/>
  <c r="F20" i="6" s="1"/>
  <c r="F11" i="6" a="1"/>
  <c r="F11" i="6" s="1"/>
  <c r="F15" i="6" a="1"/>
  <c r="F15" i="6" s="1"/>
  <c r="F18" i="6" a="1"/>
  <c r="F18" i="6" s="1"/>
  <c r="F19" i="6" a="1"/>
  <c r="F19" i="6" s="1"/>
  <c r="F16" i="6" a="1"/>
  <c r="F16" i="6" s="1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13" i="14"/>
  <c r="C14" i="14"/>
  <c r="C15" i="14"/>
  <c r="C16" i="14"/>
  <c r="C17" i="14"/>
  <c r="C18" i="14"/>
  <c r="C19" i="14"/>
  <c r="C20" i="14"/>
  <c r="C21" i="14"/>
  <c r="C22" i="14"/>
  <c r="C14" i="5"/>
  <c r="C15" i="5"/>
  <c r="C16" i="5"/>
  <c r="C17" i="5"/>
  <c r="C18" i="5"/>
  <c r="C19" i="5"/>
  <c r="C20" i="5"/>
  <c r="C21" i="5"/>
  <c r="C22" i="5"/>
  <c r="C16" i="13"/>
  <c r="C17" i="13"/>
  <c r="C18" i="13"/>
  <c r="C19" i="13"/>
  <c r="C20" i="13"/>
  <c r="C21" i="13"/>
  <c r="C22" i="13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I6" i="6" a="1"/>
  <c r="I6" i="6" s="1"/>
  <c r="D6" i="6" a="1"/>
  <c r="D6" i="6" s="1"/>
  <c r="I6" i="15" a="1"/>
  <c r="I6" i="15" s="1"/>
  <c r="C57" i="8"/>
  <c r="C58" i="8"/>
  <c r="C59" i="8"/>
  <c r="O11" i="6" l="1"/>
  <c r="P11" i="6"/>
  <c r="Q11" i="6" s="1" a="1"/>
  <c r="Q11" i="6" s="1"/>
  <c r="K11" i="6" s="1"/>
  <c r="O12" i="6"/>
  <c r="P12" i="6"/>
  <c r="Q12" i="6" s="1" a="1"/>
  <c r="Q12" i="6" s="1"/>
  <c r="K12" i="6" s="1"/>
  <c r="O19" i="6"/>
  <c r="P19" i="6"/>
  <c r="Q19" i="6" s="1" a="1"/>
  <c r="Q19" i="6" s="1"/>
  <c r="K19" i="6" s="1"/>
  <c r="O21" i="6"/>
  <c r="P21" i="6"/>
  <c r="Q21" i="6" s="1" a="1"/>
  <c r="Q21" i="6" s="1"/>
  <c r="K21" i="6" s="1"/>
  <c r="O18" i="6"/>
  <c r="P18" i="6"/>
  <c r="Q18" i="6" s="1" a="1"/>
  <c r="Q18" i="6" s="1"/>
  <c r="K18" i="6" s="1"/>
  <c r="O13" i="6"/>
  <c r="P13" i="6"/>
  <c r="Q13" i="6" s="1" a="1"/>
  <c r="Q13" i="6" s="1"/>
  <c r="K13" i="6" s="1"/>
  <c r="O17" i="6"/>
  <c r="P17" i="6"/>
  <c r="Q17" i="6" s="1" a="1"/>
  <c r="Q17" i="6" s="1"/>
  <c r="K17" i="6" s="1"/>
  <c r="O16" i="6"/>
  <c r="P16" i="6"/>
  <c r="Q16" i="6" s="1" a="1"/>
  <c r="Q16" i="6" s="1"/>
  <c r="K16" i="6" s="1"/>
  <c r="O20" i="6"/>
  <c r="P20" i="6"/>
  <c r="Q20" i="6" s="1" a="1"/>
  <c r="Q20" i="6" s="1"/>
  <c r="K20" i="6" s="1"/>
  <c r="O15" i="6"/>
  <c r="P15" i="6"/>
  <c r="Q15" i="6" s="1" a="1"/>
  <c r="Q15" i="6" s="1"/>
  <c r="K15" i="6" s="1"/>
  <c r="O22" i="6"/>
  <c r="P22" i="6"/>
  <c r="Q22" i="6" s="1" a="1"/>
  <c r="Q22" i="6" s="1"/>
  <c r="K22" i="6" s="1"/>
  <c r="O14" i="6"/>
  <c r="P14" i="6"/>
  <c r="Q14" i="6" s="1" a="1"/>
  <c r="Q14" i="6" s="1"/>
  <c r="K14" i="6" s="1"/>
  <c r="C10" i="13"/>
  <c r="C13" i="13"/>
  <c r="C11" i="13"/>
  <c r="C14" i="13"/>
  <c r="C9" i="13"/>
  <c r="C12" i="13"/>
  <c r="C8" i="13"/>
  <c r="C15" i="13"/>
  <c r="H6" i="15" a="1"/>
  <c r="H6" i="15" s="1"/>
  <c r="G6" i="15" a="1"/>
  <c r="G6" i="15" s="1"/>
  <c r="F8" i="15" a="1"/>
  <c r="F8" i="15" s="1"/>
  <c r="F9" i="15" a="1"/>
  <c r="F9" i="15" s="1"/>
  <c r="F10" i="15" a="1"/>
  <c r="F10" i="15" s="1"/>
  <c r="F11" i="15" a="1"/>
  <c r="F11" i="15" s="1"/>
  <c r="F12" i="15" a="1"/>
  <c r="F12" i="15" s="1"/>
  <c r="F13" i="15" a="1"/>
  <c r="F13" i="15" s="1"/>
  <c r="F14" i="15" a="1"/>
  <c r="F14" i="15" s="1"/>
  <c r="F15" i="15" a="1"/>
  <c r="F15" i="15" s="1"/>
  <c r="F16" i="15" a="1"/>
  <c r="F16" i="15" s="1"/>
  <c r="F17" i="15" a="1"/>
  <c r="F17" i="15" s="1"/>
  <c r="F18" i="15" a="1"/>
  <c r="F18" i="15" s="1"/>
  <c r="F19" i="15" a="1"/>
  <c r="F19" i="15" s="1"/>
  <c r="F20" i="15" a="1"/>
  <c r="F20" i="15" s="1"/>
  <c r="F21" i="15" a="1"/>
  <c r="F21" i="15" s="1"/>
  <c r="F22" i="15" a="1"/>
  <c r="F22" i="15" s="1"/>
  <c r="C10" i="5" l="1"/>
  <c r="C9" i="5"/>
  <c r="C11" i="5"/>
  <c r="C12" i="5"/>
  <c r="C12" i="14" s="1"/>
  <c r="C8" i="5"/>
  <c r="C13" i="5"/>
  <c r="K7" i="10" a="1"/>
  <c r="K7" i="10" s="1"/>
  <c r="C56" i="8"/>
  <c r="C60" i="8"/>
  <c r="F6" i="15" a="1"/>
  <c r="F6" i="15" s="1"/>
  <c r="J8" i="15"/>
  <c r="J9" i="15"/>
  <c r="F9" i="6" s="1" a="1"/>
  <c r="F9" i="6" s="1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C55" i="8"/>
  <c r="K6" i="15" a="1"/>
  <c r="K6" i="15" s="1"/>
  <c r="J6" i="15" a="1"/>
  <c r="J6" i="15" s="1"/>
  <c r="E6" i="15" a="1"/>
  <c r="E6" i="15" s="1"/>
  <c r="D6" i="15" a="1"/>
  <c r="D6" i="15" s="1"/>
  <c r="C6" i="15" a="1"/>
  <c r="C6" i="15" s="1"/>
  <c r="O6" i="5" a="1"/>
  <c r="O6" i="5" s="1"/>
  <c r="O6" i="2" a="1"/>
  <c r="O6" i="2" s="1"/>
  <c r="C54" i="8"/>
  <c r="O9" i="6" l="1"/>
  <c r="P9" i="6"/>
  <c r="Q9" i="6" s="1" a="1"/>
  <c r="Q9" i="6" s="1"/>
  <c r="K9" i="6" s="1"/>
  <c r="F10" i="6" a="1"/>
  <c r="F10" i="6" s="1"/>
  <c r="F8" i="6" a="1"/>
  <c r="F8" i="6" s="1"/>
  <c r="G10" i="15" a="1"/>
  <c r="G10" i="15" s="1"/>
  <c r="H10" i="15" a="1"/>
  <c r="H10" i="15" s="1"/>
  <c r="I10" i="15" a="1"/>
  <c r="I10" i="15" s="1"/>
  <c r="H12" i="15" a="1"/>
  <c r="H12" i="15" s="1"/>
  <c r="H21" i="15" a="1"/>
  <c r="H21" i="15" s="1"/>
  <c r="G19" i="15" a="1"/>
  <c r="G19" i="15" s="1"/>
  <c r="H16" i="15" a="1"/>
  <c r="H16" i="15" s="1"/>
  <c r="H17" i="15" a="1"/>
  <c r="H17" i="15" s="1"/>
  <c r="H18" i="15" a="1"/>
  <c r="H18" i="15" s="1"/>
  <c r="I13" i="15" a="1"/>
  <c r="I13" i="15" s="1"/>
  <c r="H19" i="15" a="1"/>
  <c r="H19" i="15" s="1"/>
  <c r="G13" i="15" a="1"/>
  <c r="G13" i="15" s="1"/>
  <c r="I21" i="15" a="1"/>
  <c r="I21" i="15" s="1"/>
  <c r="G18" i="15" a="1"/>
  <c r="G18" i="15" s="1"/>
  <c r="H15" i="15" a="1"/>
  <c r="H15" i="15" s="1"/>
  <c r="G17" i="15" a="1"/>
  <c r="G17" i="15" s="1"/>
  <c r="I16" i="15" a="1"/>
  <c r="I16" i="15" s="1"/>
  <c r="H14" i="15" a="1"/>
  <c r="H14" i="15" s="1"/>
  <c r="I18" i="15" a="1"/>
  <c r="I18" i="15" s="1"/>
  <c r="I19" i="15" a="1"/>
  <c r="I19" i="15" s="1"/>
  <c r="G22" i="15" a="1"/>
  <c r="G22" i="15" s="1"/>
  <c r="I12" i="15" a="1"/>
  <c r="I12" i="15" s="1"/>
  <c r="G14" i="15" a="1"/>
  <c r="G14" i="15" s="1"/>
  <c r="G15" i="15" a="1"/>
  <c r="G15" i="15" s="1"/>
  <c r="H22" i="15" a="1"/>
  <c r="H22" i="15" s="1"/>
  <c r="I20" i="15" a="1"/>
  <c r="I20" i="15" s="1"/>
  <c r="I15" i="15" a="1"/>
  <c r="I15" i="15" s="1"/>
  <c r="I22" i="15" a="1"/>
  <c r="I22" i="15" s="1"/>
  <c r="H13" i="15" a="1"/>
  <c r="H13" i="15" s="1"/>
  <c r="G21" i="15" a="1"/>
  <c r="G21" i="15" s="1"/>
  <c r="G12" i="15" a="1"/>
  <c r="G12" i="15" s="1"/>
  <c r="G20" i="15" a="1"/>
  <c r="G20" i="15" s="1"/>
  <c r="H20" i="15" a="1"/>
  <c r="H20" i="15" s="1"/>
  <c r="I14" i="15" a="1"/>
  <c r="I14" i="15" s="1"/>
  <c r="I17" i="15" a="1"/>
  <c r="I17" i="15" s="1"/>
  <c r="G16" i="15" a="1"/>
  <c r="G16" i="15" s="1"/>
  <c r="G9" i="15" a="1"/>
  <c r="G9" i="15" s="1"/>
  <c r="H9" i="15" a="1"/>
  <c r="H9" i="15" s="1"/>
  <c r="I9" i="15" a="1"/>
  <c r="I9" i="15" s="1"/>
  <c r="G8" i="15" a="1"/>
  <c r="G8" i="15" s="1"/>
  <c r="H8" i="15" a="1"/>
  <c r="H8" i="15" s="1"/>
  <c r="I8" i="15" a="1"/>
  <c r="I8" i="15" s="1"/>
  <c r="H11" i="15" a="1"/>
  <c r="H11" i="15" s="1"/>
  <c r="G11" i="15" a="1"/>
  <c r="G11" i="15" s="1"/>
  <c r="I11" i="15" a="1"/>
  <c r="I11" i="15" s="1"/>
  <c r="C8" i="14"/>
  <c r="C9" i="14"/>
  <c r="C10" i="14"/>
  <c r="C11" i="14"/>
  <c r="C1" i="14"/>
  <c r="J6" i="14" s="1" a="1"/>
  <c r="J6" i="14" s="1"/>
  <c r="E13" i="2"/>
  <c r="E14" i="2"/>
  <c r="E15" i="2"/>
  <c r="E16" i="2"/>
  <c r="E17" i="2"/>
  <c r="E18" i="2"/>
  <c r="E19" i="2"/>
  <c r="E20" i="2"/>
  <c r="E21" i="2"/>
  <c r="E22" i="2"/>
  <c r="F13" i="2"/>
  <c r="F14" i="2"/>
  <c r="F15" i="2"/>
  <c r="F16" i="2"/>
  <c r="F17" i="2"/>
  <c r="F18" i="2"/>
  <c r="F19" i="2"/>
  <c r="F20" i="2"/>
  <c r="F21" i="2"/>
  <c r="F22" i="2"/>
  <c r="I13" i="2"/>
  <c r="I14" i="2"/>
  <c r="I15" i="2"/>
  <c r="I16" i="2"/>
  <c r="I17" i="2"/>
  <c r="I18" i="2"/>
  <c r="I19" i="2"/>
  <c r="I20" i="2"/>
  <c r="I21" i="2"/>
  <c r="I22" i="2"/>
  <c r="K13" i="2"/>
  <c r="L13" i="2" s="1"/>
  <c r="P13" i="2" s="1"/>
  <c r="K14" i="2"/>
  <c r="L14" i="2" s="1"/>
  <c r="P14" i="2" s="1"/>
  <c r="K15" i="2"/>
  <c r="L15" i="2" s="1"/>
  <c r="P15" i="2" s="1"/>
  <c r="K16" i="2"/>
  <c r="L16" i="2" s="1"/>
  <c r="P16" i="2" s="1"/>
  <c r="K17" i="2"/>
  <c r="L17" i="2" s="1"/>
  <c r="P17" i="2" s="1"/>
  <c r="K18" i="2"/>
  <c r="L18" i="2" s="1"/>
  <c r="P18" i="2" s="1"/>
  <c r="K19" i="2"/>
  <c r="L19" i="2" s="1"/>
  <c r="P19" i="2" s="1"/>
  <c r="K20" i="2"/>
  <c r="L20" i="2" s="1"/>
  <c r="P20" i="2" s="1"/>
  <c r="K21" i="2"/>
  <c r="L21" i="2" s="1"/>
  <c r="P21" i="2" s="1"/>
  <c r="K22" i="2"/>
  <c r="L22" i="2" s="1"/>
  <c r="P22" i="2" s="1"/>
  <c r="M13" i="2"/>
  <c r="M14" i="2"/>
  <c r="M15" i="2"/>
  <c r="M16" i="2"/>
  <c r="M17" i="2"/>
  <c r="M18" i="2"/>
  <c r="M19" i="2"/>
  <c r="M20" i="2"/>
  <c r="M21" i="2"/>
  <c r="M22" i="2"/>
  <c r="Q13" i="2"/>
  <c r="Q18" i="2"/>
  <c r="R13" i="2"/>
  <c r="R14" i="2"/>
  <c r="R15" i="2"/>
  <c r="R16" i="2"/>
  <c r="R17" i="2"/>
  <c r="R18" i="2"/>
  <c r="R19" i="2"/>
  <c r="R20" i="2"/>
  <c r="R21" i="2"/>
  <c r="R22" i="2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F14" i="5"/>
  <c r="F15" i="5"/>
  <c r="F16" i="5"/>
  <c r="F17" i="5"/>
  <c r="F18" i="5"/>
  <c r="F19" i="5"/>
  <c r="F20" i="5"/>
  <c r="F21" i="5"/>
  <c r="F22" i="5"/>
  <c r="I14" i="5"/>
  <c r="I15" i="5"/>
  <c r="I16" i="5"/>
  <c r="I17" i="5"/>
  <c r="I18" i="5"/>
  <c r="I19" i="5"/>
  <c r="I20" i="5"/>
  <c r="I21" i="5"/>
  <c r="I22" i="5"/>
  <c r="K14" i="5"/>
  <c r="L14" i="5" s="1"/>
  <c r="P14" i="5" s="1"/>
  <c r="K15" i="5"/>
  <c r="K16" i="5"/>
  <c r="Q16" i="5" s="1"/>
  <c r="K17" i="5"/>
  <c r="Q17" i="5" s="1"/>
  <c r="K18" i="5"/>
  <c r="L18" i="5" s="1"/>
  <c r="P18" i="5" s="1"/>
  <c r="K19" i="5"/>
  <c r="L19" i="5" s="1"/>
  <c r="P19" i="5" s="1"/>
  <c r="K20" i="5"/>
  <c r="Q20" i="5" s="1"/>
  <c r="K21" i="5"/>
  <c r="Q21" i="5" s="1"/>
  <c r="K22" i="5"/>
  <c r="L22" i="5" s="1"/>
  <c r="P22" i="5" s="1"/>
  <c r="L15" i="5"/>
  <c r="P15" i="5" s="1"/>
  <c r="L16" i="5"/>
  <c r="P16" i="5" s="1"/>
  <c r="L17" i="5"/>
  <c r="P17" i="5" s="1"/>
  <c r="M14" i="5"/>
  <c r="M15" i="5"/>
  <c r="M16" i="5"/>
  <c r="M17" i="5"/>
  <c r="M18" i="5"/>
  <c r="M19" i="5"/>
  <c r="M20" i="5"/>
  <c r="M21" i="5"/>
  <c r="M22" i="5"/>
  <c r="Q15" i="5"/>
  <c r="Q19" i="5"/>
  <c r="R14" i="5"/>
  <c r="R15" i="5"/>
  <c r="R16" i="5"/>
  <c r="R17" i="5"/>
  <c r="R18" i="5"/>
  <c r="R19" i="5"/>
  <c r="R20" i="5"/>
  <c r="R21" i="5"/>
  <c r="R22" i="5"/>
  <c r="F12" i="5"/>
  <c r="I12" i="5"/>
  <c r="K12" i="5"/>
  <c r="L12" i="5" s="1"/>
  <c r="P12" i="5" s="1"/>
  <c r="M12" i="5"/>
  <c r="R12" i="5"/>
  <c r="C53" i="8"/>
  <c r="C52" i="8"/>
  <c r="F8" i="2"/>
  <c r="F9" i="2"/>
  <c r="F10" i="2"/>
  <c r="F11" i="2"/>
  <c r="F12" i="2"/>
  <c r="O8" i="6" l="1"/>
  <c r="P8" i="6"/>
  <c r="Q8" i="6" s="1" a="1"/>
  <c r="Q8" i="6" s="1"/>
  <c r="K8" i="6" s="1"/>
  <c r="O10" i="6"/>
  <c r="P10" i="6"/>
  <c r="Q10" i="6" s="1" a="1"/>
  <c r="Q10" i="6" s="1"/>
  <c r="K10" i="6" s="1"/>
  <c r="Q17" i="2"/>
  <c r="Q16" i="2"/>
  <c r="Q21" i="2"/>
  <c r="C9" i="6"/>
  <c r="Q22" i="2"/>
  <c r="Q20" i="2"/>
  <c r="Q14" i="2"/>
  <c r="C8" i="6"/>
  <c r="Q19" i="2"/>
  <c r="Q15" i="2"/>
  <c r="N7" i="10" a="1"/>
  <c r="N7" i="10" s="1"/>
  <c r="M7" i="10" a="1"/>
  <c r="M7" i="10" s="1"/>
  <c r="L7" i="10" a="1"/>
  <c r="L7" i="10" s="1"/>
  <c r="M6" i="14" a="1"/>
  <c r="M6" i="14" s="1"/>
  <c r="F6" i="14" a="1"/>
  <c r="F6" i="14" s="1"/>
  <c r="K6" i="14" a="1"/>
  <c r="K6" i="14" s="1"/>
  <c r="Q18" i="5"/>
  <c r="E6" i="14" a="1"/>
  <c r="E6" i="14" s="1"/>
  <c r="G6" i="14" a="1"/>
  <c r="G6" i="14" s="1"/>
  <c r="Q22" i="5"/>
  <c r="Q14" i="5"/>
  <c r="L21" i="5"/>
  <c r="P21" i="5" s="1"/>
  <c r="C6" i="14" a="1"/>
  <c r="C6" i="14" s="1"/>
  <c r="H6" i="14" a="1"/>
  <c r="H6" i="14" s="1"/>
  <c r="L6" i="14" a="1"/>
  <c r="L6" i="14" s="1"/>
  <c r="L20" i="5"/>
  <c r="P20" i="5" s="1"/>
  <c r="D6" i="14" a="1"/>
  <c r="D6" i="14" s="1"/>
  <c r="I6" i="14" a="1"/>
  <c r="I6" i="14" s="1"/>
  <c r="Q12" i="5"/>
  <c r="C1" i="13" l="1"/>
  <c r="F6" i="13" s="1" a="1"/>
  <c r="F6" i="13" s="1"/>
  <c r="M6" i="13" l="1" a="1"/>
  <c r="M6" i="13" s="1"/>
  <c r="H6" i="13" a="1"/>
  <c r="H6" i="13" s="1"/>
  <c r="L6" i="13" a="1"/>
  <c r="L6" i="13" s="1"/>
  <c r="J6" i="13" a="1"/>
  <c r="J6" i="13" s="1"/>
  <c r="G6" i="13" a="1"/>
  <c r="G6" i="13" s="1"/>
  <c r="D6" i="13" a="1"/>
  <c r="D6" i="13" s="1"/>
  <c r="I6" i="13" a="1"/>
  <c r="I6" i="13" s="1"/>
  <c r="C6" i="13" a="1"/>
  <c r="C6" i="13" s="1"/>
  <c r="E6" i="13" a="1"/>
  <c r="E6" i="13" s="1"/>
  <c r="K6" i="13" a="1"/>
  <c r="K6" i="13" s="1"/>
  <c r="M8" i="5"/>
  <c r="M9" i="5"/>
  <c r="M10" i="5"/>
  <c r="M11" i="5"/>
  <c r="M13" i="5"/>
  <c r="M6" i="5" a="1"/>
  <c r="M6" i="5" s="1"/>
  <c r="I8" i="2"/>
  <c r="I9" i="2"/>
  <c r="I10" i="2"/>
  <c r="I11" i="2"/>
  <c r="I12" i="2"/>
  <c r="I9" i="5"/>
  <c r="I10" i="5"/>
  <c r="I11" i="5"/>
  <c r="I13" i="5"/>
  <c r="I8" i="5"/>
  <c r="F8" i="11" a="1"/>
  <c r="F8" i="11" s="1"/>
  <c r="G8" i="11" s="1" a="1"/>
  <c r="G8" i="11" s="1"/>
  <c r="F9" i="11" a="1"/>
  <c r="F9" i="11" s="1"/>
  <c r="G9" i="11" s="1" a="1"/>
  <c r="G9" i="11" s="1"/>
  <c r="F18" i="11" a="1"/>
  <c r="F18" i="11" s="1"/>
  <c r="G18" i="11" s="1" a="1"/>
  <c r="G18" i="11" s="1"/>
  <c r="F20" i="11" a="1"/>
  <c r="F20" i="11" s="1"/>
  <c r="G20" i="11" s="1" a="1"/>
  <c r="G20" i="11" s="1"/>
  <c r="F22" i="11" a="1"/>
  <c r="F22" i="11" s="1"/>
  <c r="G22" i="11" s="1" a="1"/>
  <c r="G22" i="11" s="1"/>
  <c r="F25" i="11" a="1"/>
  <c r="F25" i="11" s="1"/>
  <c r="G25" i="11" s="1" a="1"/>
  <c r="G25" i="11" s="1"/>
  <c r="F26" i="11" a="1"/>
  <c r="F26" i="11" s="1"/>
  <c r="G26" i="11" s="1" a="1"/>
  <c r="G26" i="11" s="1"/>
  <c r="F27" i="11" a="1"/>
  <c r="F27" i="11" s="1"/>
  <c r="G27" i="11" s="1" a="1"/>
  <c r="G27" i="11" s="1"/>
  <c r="F28" i="11" a="1"/>
  <c r="F28" i="11" s="1"/>
  <c r="G28" i="11" s="1" a="1"/>
  <c r="G28" i="11" s="1"/>
  <c r="F6" i="11" a="1"/>
  <c r="F6" i="11" s="1"/>
  <c r="C51" i="8"/>
  <c r="C66" i="8"/>
  <c r="G6" i="11" a="1"/>
  <c r="G6" i="11" s="1"/>
  <c r="F6" i="2" a="1"/>
  <c r="F6" i="2" s="1"/>
  <c r="F8" i="5"/>
  <c r="F9" i="5"/>
  <c r="F10" i="5"/>
  <c r="F11" i="5"/>
  <c r="F13" i="5"/>
  <c r="E8" i="17" a="1"/>
  <c r="E8" i="17" s="1"/>
  <c r="E9" i="17" a="1"/>
  <c r="E9" i="17" s="1"/>
  <c r="E10" i="17" a="1"/>
  <c r="E10" i="17" s="1"/>
  <c r="E11" i="17" a="1"/>
  <c r="E11" i="17" s="1"/>
  <c r="E12" i="17" a="1"/>
  <c r="E12" i="17" s="1"/>
  <c r="E13" i="17" a="1"/>
  <c r="E13" i="17" s="1"/>
  <c r="E14" i="17" a="1"/>
  <c r="E14" i="17" s="1"/>
  <c r="E15" i="17" a="1"/>
  <c r="E15" i="17" s="1"/>
  <c r="E16" i="17" a="1"/>
  <c r="E16" i="17" s="1"/>
  <c r="E17" i="17" a="1"/>
  <c r="E17" i="17" s="1"/>
  <c r="E18" i="17" a="1"/>
  <c r="E18" i="17" s="1"/>
  <c r="E19" i="17" a="1"/>
  <c r="E19" i="17" s="1"/>
  <c r="E20" i="17" a="1"/>
  <c r="E20" i="17" s="1"/>
  <c r="E21" i="17" a="1"/>
  <c r="E21" i="17" s="1"/>
  <c r="E22" i="17" a="1"/>
  <c r="E22" i="17" s="1"/>
  <c r="C50" i="8"/>
  <c r="F6" i="5" a="1"/>
  <c r="F6" i="5" s="1"/>
  <c r="E8" i="5"/>
  <c r="E6" i="5" a="1"/>
  <c r="E6" i="5" s="1"/>
  <c r="C49" i="8"/>
  <c r="E6" i="2" a="1"/>
  <c r="E6" i="2" s="1"/>
  <c r="C1" i="16"/>
  <c r="E6" i="16" s="1" a="1"/>
  <c r="E6" i="16" s="1"/>
  <c r="C1" i="17"/>
  <c r="K6" i="17" s="1" a="1"/>
  <c r="K6" i="17" s="1"/>
  <c r="F21" i="11" a="1"/>
  <c r="F14" i="11" a="1"/>
  <c r="F24" i="11" a="1"/>
  <c r="F19" i="11" a="1"/>
  <c r="F11" i="11" a="1"/>
  <c r="F13" i="11" a="1"/>
  <c r="F12" i="11" a="1"/>
  <c r="F10" i="11" a="1"/>
  <c r="F15" i="11" a="1"/>
  <c r="F16" i="11" a="1"/>
  <c r="F17" i="11" a="1"/>
  <c r="F23" i="11" a="1"/>
  <c r="J8" i="14" l="1"/>
  <c r="J12" i="14"/>
  <c r="J16" i="14"/>
  <c r="J20" i="14"/>
  <c r="I9" i="14"/>
  <c r="I13" i="14"/>
  <c r="I17" i="14"/>
  <c r="I21" i="14"/>
  <c r="G10" i="14"/>
  <c r="H10" i="14" s="1"/>
  <c r="G14" i="14"/>
  <c r="H14" i="14" s="1"/>
  <c r="G18" i="14"/>
  <c r="H18" i="14" s="1"/>
  <c r="G22" i="14"/>
  <c r="H22" i="14" s="1"/>
  <c r="J9" i="14"/>
  <c r="J13" i="14"/>
  <c r="J17" i="14"/>
  <c r="J21" i="14"/>
  <c r="I10" i="14"/>
  <c r="I14" i="14"/>
  <c r="I18" i="14"/>
  <c r="I22" i="14"/>
  <c r="G11" i="14"/>
  <c r="H11" i="14" s="1"/>
  <c r="G15" i="14"/>
  <c r="H15" i="14" s="1"/>
  <c r="G19" i="14"/>
  <c r="H19" i="14" s="1"/>
  <c r="J10" i="14"/>
  <c r="J14" i="14"/>
  <c r="J18" i="14"/>
  <c r="J22" i="14"/>
  <c r="I11" i="14"/>
  <c r="I15" i="14"/>
  <c r="I19" i="14"/>
  <c r="G8" i="14"/>
  <c r="H8" i="14" s="1"/>
  <c r="G12" i="14"/>
  <c r="H12" i="14" s="1"/>
  <c r="G16" i="14"/>
  <c r="H16" i="14" s="1"/>
  <c r="G20" i="14"/>
  <c r="H20" i="14" s="1"/>
  <c r="J15" i="14"/>
  <c r="I8" i="14"/>
  <c r="I20" i="14"/>
  <c r="G17" i="14"/>
  <c r="H17" i="14" s="1"/>
  <c r="J19" i="14"/>
  <c r="I16" i="14"/>
  <c r="K16" i="14" s="1"/>
  <c r="M16" i="14" s="1"/>
  <c r="G13" i="14"/>
  <c r="H13" i="14" s="1"/>
  <c r="J11" i="14"/>
  <c r="I12" i="14"/>
  <c r="G9" i="14"/>
  <c r="H9" i="14" s="1"/>
  <c r="G21" i="14"/>
  <c r="H21" i="14" s="1"/>
  <c r="J7" i="10" a="1"/>
  <c r="J7" i="10" s="1"/>
  <c r="F7" i="10" a="1"/>
  <c r="F7" i="10" s="1"/>
  <c r="F23" i="11"/>
  <c r="G23" i="11" s="1" a="1"/>
  <c r="G23" i="11" s="1"/>
  <c r="F21" i="11"/>
  <c r="G21" i="11" s="1" a="1"/>
  <c r="G21" i="11" s="1"/>
  <c r="F19" i="11"/>
  <c r="G19" i="11" s="1" a="1"/>
  <c r="G19" i="11" s="1"/>
  <c r="F17" i="11"/>
  <c r="G17" i="11" s="1" a="1"/>
  <c r="G17" i="11" s="1"/>
  <c r="F15" i="11"/>
  <c r="G15" i="11" s="1" a="1"/>
  <c r="G15" i="11" s="1"/>
  <c r="F13" i="11"/>
  <c r="G13" i="11" s="1" a="1"/>
  <c r="G13" i="11" s="1"/>
  <c r="F11" i="11"/>
  <c r="G11" i="11" s="1" a="1"/>
  <c r="G11" i="11" s="1"/>
  <c r="F24" i="11"/>
  <c r="G24" i="11" s="1" a="1"/>
  <c r="G24" i="11" s="1"/>
  <c r="F16" i="11"/>
  <c r="G16" i="11" s="1" a="1"/>
  <c r="G16" i="11" s="1"/>
  <c r="F14" i="11"/>
  <c r="G14" i="11" s="1" a="1"/>
  <c r="G14" i="11" s="1"/>
  <c r="F12" i="11"/>
  <c r="G12" i="11" s="1" a="1"/>
  <c r="G12" i="11" s="1"/>
  <c r="F10" i="11"/>
  <c r="G10" i="11" s="1" a="1"/>
  <c r="G10" i="11" s="1"/>
  <c r="E6" i="17" a="1"/>
  <c r="E6" i="17" s="1"/>
  <c r="K6" i="16" a="1"/>
  <c r="K6" i="16" s="1"/>
  <c r="L6" i="16" a="1"/>
  <c r="L6" i="16" s="1"/>
  <c r="L6" i="17" a="1"/>
  <c r="L6" i="17" s="1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J6" i="17" a="1"/>
  <c r="J6" i="17" s="1"/>
  <c r="I6" i="17" a="1"/>
  <c r="I6" i="17" s="1"/>
  <c r="H6" i="17" a="1"/>
  <c r="H6" i="17" s="1"/>
  <c r="G6" i="17" a="1"/>
  <c r="G6" i="17" s="1"/>
  <c r="F6" i="17" a="1"/>
  <c r="F6" i="17" s="1"/>
  <c r="D6" i="17" a="1"/>
  <c r="D6" i="17" s="1"/>
  <c r="C6" i="17" a="1"/>
  <c r="C6" i="17" s="1"/>
  <c r="F6" i="16" a="1"/>
  <c r="F6" i="16" s="1"/>
  <c r="C48" i="8"/>
  <c r="J6" i="16" a="1"/>
  <c r="J6" i="16" s="1"/>
  <c r="I6" i="16" a="1"/>
  <c r="I6" i="16" s="1"/>
  <c r="H6" i="16" a="1"/>
  <c r="H6" i="16" s="1"/>
  <c r="G6" i="16" a="1"/>
  <c r="G6" i="16" s="1"/>
  <c r="D6" i="16" a="1"/>
  <c r="D6" i="16" s="1"/>
  <c r="C6" i="16" a="1"/>
  <c r="C6" i="16" s="1"/>
  <c r="C8" i="16"/>
  <c r="E8" i="16" s="1" a="1"/>
  <c r="E8" i="16" s="1"/>
  <c r="C9" i="16"/>
  <c r="E9" i="16" s="1" a="1"/>
  <c r="E9" i="16" s="1"/>
  <c r="C10" i="16"/>
  <c r="E10" i="16" s="1" a="1"/>
  <c r="E10" i="16" s="1"/>
  <c r="C11" i="16"/>
  <c r="E11" i="16" s="1" a="1"/>
  <c r="E11" i="16" s="1"/>
  <c r="C12" i="16"/>
  <c r="E12" i="16" s="1" a="1"/>
  <c r="E12" i="16" s="1"/>
  <c r="C13" i="16"/>
  <c r="E13" i="16" s="1" a="1"/>
  <c r="E13" i="16" s="1"/>
  <c r="C14" i="16"/>
  <c r="E14" i="16" s="1" a="1"/>
  <c r="E14" i="16" s="1"/>
  <c r="C15" i="16"/>
  <c r="E15" i="16" s="1" a="1"/>
  <c r="E15" i="16" s="1"/>
  <c r="C16" i="16"/>
  <c r="E16" i="16" s="1" a="1"/>
  <c r="E16" i="16" s="1"/>
  <c r="C17" i="16"/>
  <c r="E17" i="16" s="1" a="1"/>
  <c r="E17" i="16" s="1"/>
  <c r="C18" i="16"/>
  <c r="E18" i="16" s="1" a="1"/>
  <c r="E18" i="16" s="1"/>
  <c r="C19" i="16"/>
  <c r="E19" i="16" s="1" a="1"/>
  <c r="E19" i="16" s="1"/>
  <c r="C20" i="16"/>
  <c r="E20" i="16" s="1" a="1"/>
  <c r="E20" i="16" s="1"/>
  <c r="C21" i="16"/>
  <c r="E21" i="16" s="1" a="1"/>
  <c r="E21" i="16" s="1"/>
  <c r="K8" i="14" l="1"/>
  <c r="M8" i="14" s="1"/>
  <c r="K22" i="14"/>
  <c r="M22" i="14" s="1"/>
  <c r="K19" i="14"/>
  <c r="M19" i="14" s="1"/>
  <c r="K14" i="14"/>
  <c r="M14" i="14" s="1"/>
  <c r="K11" i="14"/>
  <c r="M11" i="14" s="1"/>
  <c r="K21" i="14"/>
  <c r="M21" i="14" s="1"/>
  <c r="K12" i="14"/>
  <c r="M12" i="14" s="1"/>
  <c r="K18" i="14"/>
  <c r="M18" i="14" s="1"/>
  <c r="K17" i="14"/>
  <c r="M17" i="14" s="1"/>
  <c r="K13" i="14"/>
  <c r="M13" i="14" s="1"/>
  <c r="K20" i="14"/>
  <c r="M20" i="14" s="1"/>
  <c r="K15" i="14"/>
  <c r="M15" i="14" s="1"/>
  <c r="K10" i="14"/>
  <c r="M10" i="14" s="1"/>
  <c r="K9" i="14"/>
  <c r="M9" i="14" s="1"/>
  <c r="E7" i="10" a="1"/>
  <c r="E7" i="10" s="1"/>
  <c r="H7" i="10" a="1"/>
  <c r="H7" i="10" s="1"/>
  <c r="G7" i="10" a="1"/>
  <c r="G7" i="10" s="1"/>
  <c r="M8" i="2"/>
  <c r="M9" i="2"/>
  <c r="M10" i="2"/>
  <c r="M11" i="2"/>
  <c r="M12" i="2"/>
  <c r="N6" i="2" a="1"/>
  <c r="N6" i="2" s="1"/>
  <c r="A1" i="17" l="1" a="1"/>
  <c r="A1" i="17" s="1"/>
  <c r="A2" i="17" s="1" a="1"/>
  <c r="A2" i="17" s="1"/>
  <c r="A1" i="16" a="1"/>
  <c r="A1" i="16" s="1"/>
  <c r="A1" i="15" a="1"/>
  <c r="A1" i="15" s="1"/>
  <c r="A2" i="15" s="1" a="1"/>
  <c r="A2" i="15" s="1"/>
  <c r="D1" i="15" a="1"/>
  <c r="D1" i="15" s="1"/>
  <c r="D1" i="17" a="1"/>
  <c r="D1" i="17" s="1"/>
  <c r="D1" i="16" a="1"/>
  <c r="D1" i="16" s="1"/>
  <c r="C20" i="7"/>
  <c r="E20" i="7"/>
  <c r="C21" i="7"/>
  <c r="E21" i="7"/>
  <c r="C19" i="7"/>
  <c r="E19" i="7"/>
  <c r="E8" i="7"/>
  <c r="A1" i="14" a="1"/>
  <c r="A1" i="14" s="1"/>
  <c r="A2" i="14" s="1" a="1"/>
  <c r="A2" i="14" s="1"/>
  <c r="A1" i="13" a="1"/>
  <c r="A1" i="13" s="1"/>
  <c r="A2" i="13" s="1" a="1"/>
  <c r="A2" i="13" s="1"/>
  <c r="A2" i="16" l="1" a="1"/>
  <c r="A2" i="16" s="1"/>
  <c r="H2" i="16" a="1"/>
  <c r="H2" i="16" s="1"/>
  <c r="C5" i="7"/>
  <c r="N6" i="5" l="1" a="1"/>
  <c r="N6" i="5" s="1"/>
  <c r="D6" i="5" a="1"/>
  <c r="D6" i="5" s="1"/>
  <c r="D6" i="2" a="1"/>
  <c r="D6" i="2" s="1"/>
  <c r="C40" i="8"/>
  <c r="C41" i="8"/>
  <c r="C42" i="8"/>
  <c r="C43" i="8"/>
  <c r="C44" i="8"/>
  <c r="C45" i="8"/>
  <c r="C46" i="8"/>
  <c r="C47" i="8"/>
  <c r="M6" i="2" a="1"/>
  <c r="M6" i="2" s="1"/>
  <c r="C39" i="8"/>
  <c r="L6" i="2" l="1" a="1"/>
  <c r="L6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C6" i="2" a="1"/>
  <c r="C6" i="2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C6" i="5" a="1"/>
  <c r="C6" i="5" s="1"/>
  <c r="N6" i="6" a="1"/>
  <c r="N6" i="6" s="1"/>
  <c r="J6" i="6" a="1"/>
  <c r="J6" i="6" s="1"/>
  <c r="H6" i="6" a="1"/>
  <c r="H6" i="6" s="1"/>
  <c r="E6" i="6" a="1"/>
  <c r="E6" i="6" s="1"/>
  <c r="C6" i="6" a="1"/>
  <c r="C6" i="6" s="1"/>
  <c r="G6" i="7" a="1"/>
  <c r="G6" i="7" s="1"/>
  <c r="F6" i="7" a="1"/>
  <c r="F6" i="7" s="1"/>
  <c r="E6" i="7" a="1"/>
  <c r="E6" i="7" s="1"/>
  <c r="D6" i="7" a="1"/>
  <c r="D6" i="7" s="1"/>
  <c r="C6" i="7" a="1"/>
  <c r="C6" i="7" s="1"/>
  <c r="I6" i="11" a="1"/>
  <c r="I6" i="11" s="1"/>
  <c r="H6" i="11" a="1"/>
  <c r="H6" i="11" s="1"/>
  <c r="E6" i="11" a="1"/>
  <c r="E6" i="11" s="1"/>
  <c r="D6" i="11" a="1"/>
  <c r="D6" i="11" s="1"/>
  <c r="C6" i="11" a="1"/>
  <c r="C6" i="11" s="1"/>
  <c r="F6" i="8" a="1"/>
  <c r="F6" i="8" s="1"/>
  <c r="E6" i="8" a="1"/>
  <c r="E6" i="8" s="1"/>
  <c r="D6" i="8" a="1"/>
  <c r="D6" i="8" s="1"/>
  <c r="C6" i="8" a="1"/>
  <c r="C6" i="8" s="1"/>
  <c r="C38" i="8"/>
  <c r="C67" i="8"/>
  <c r="C35" i="8"/>
  <c r="C36" i="8"/>
  <c r="C37" i="8"/>
  <c r="A1" i="11" l="1" a="1"/>
  <c r="A1" i="11" s="1"/>
  <c r="D1" i="11" a="1"/>
  <c r="D1" i="11" s="1"/>
  <c r="A2" i="11" l="1" a="1"/>
  <c r="A2" i="11" s="1"/>
  <c r="H2" i="11" a="1"/>
  <c r="H2" i="11" s="1"/>
  <c r="R8" i="2"/>
  <c r="R9" i="2"/>
  <c r="R10" i="2"/>
  <c r="R11" i="2"/>
  <c r="R12" i="2"/>
  <c r="R8" i="5"/>
  <c r="R9" i="5"/>
  <c r="R10" i="5"/>
  <c r="R11" i="5"/>
  <c r="R13" i="5"/>
  <c r="F6" i="9" l="1" a="1"/>
  <c r="F6" i="9" s="1"/>
  <c r="E6" i="9" a="1"/>
  <c r="E6" i="9" s="1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A1" i="10" a="1"/>
  <c r="A1" i="10" s="1"/>
  <c r="D6" i="9" a="1"/>
  <c r="D6" i="9" s="1"/>
  <c r="C6" i="9" a="1"/>
  <c r="C6" i="9" s="1"/>
  <c r="A1" i="9" a="1"/>
  <c r="A1" i="9" s="1"/>
  <c r="D1" i="10" a="1"/>
  <c r="D1" i="10" s="1"/>
  <c r="A1" i="8" a="1"/>
  <c r="A1" i="8" s="1"/>
  <c r="A1" i="6" a="1"/>
  <c r="A1" i="6" s="1"/>
  <c r="A1" i="5" a="1"/>
  <c r="A1" i="5" s="1"/>
  <c r="A1" i="2" a="1"/>
  <c r="A1" i="2" s="1"/>
  <c r="D1" i="13" s="1" a="1"/>
  <c r="D1" i="13" s="1"/>
  <c r="A1" i="1" a="1"/>
  <c r="A1" i="1" s="1"/>
  <c r="A2" i="1" s="1" a="1"/>
  <c r="A2" i="1" s="1"/>
  <c r="A1" i="7" a="1"/>
  <c r="A1" i="7" s="1"/>
  <c r="E9" i="7"/>
  <c r="E10" i="7"/>
  <c r="E11" i="7"/>
  <c r="E12" i="7"/>
  <c r="E13" i="7"/>
  <c r="E14" i="7"/>
  <c r="E15" i="7"/>
  <c r="E16" i="7"/>
  <c r="E17" i="7"/>
  <c r="E18" i="7"/>
  <c r="E22" i="7"/>
  <c r="D1" i="14" l="1" a="1"/>
  <c r="D1" i="14" s="1"/>
  <c r="A2" i="2" a="1"/>
  <c r="A2" i="2" s="1"/>
  <c r="H2" i="2" a="1"/>
  <c r="H2" i="2" s="1"/>
  <c r="A2" i="5" a="1"/>
  <c r="A2" i="5" s="1"/>
  <c r="H2" i="5" a="1"/>
  <c r="H2" i="5" s="1"/>
  <c r="A2" i="6" a="1"/>
  <c r="A2" i="6" s="1"/>
  <c r="E2" i="6" a="1"/>
  <c r="E2" i="6" s="1"/>
  <c r="A2" i="7" a="1"/>
  <c r="A2" i="7" s="1"/>
  <c r="F2" i="7" a="1"/>
  <c r="F2" i="7" s="1"/>
  <c r="A2" i="8" a="1"/>
  <c r="A2" i="8" s="1"/>
  <c r="E2" i="8" a="1"/>
  <c r="E2" i="8" s="1"/>
  <c r="A2" i="9" a="1"/>
  <c r="A2" i="9" s="1"/>
  <c r="F2" i="9" a="1"/>
  <c r="F2" i="9" s="1"/>
  <c r="A2" i="10" a="1"/>
  <c r="A2" i="10" s="1"/>
  <c r="D2" i="10" a="1"/>
  <c r="D2" i="10" s="1"/>
  <c r="C8" i="8"/>
  <c r="D1" i="9" a="1"/>
  <c r="D1" i="9" s="1"/>
  <c r="D1" i="8" a="1"/>
  <c r="D1" i="8" s="1"/>
  <c r="D1" i="6" a="1"/>
  <c r="D1" i="6" s="1"/>
  <c r="D1" i="5" a="1"/>
  <c r="D1" i="5" s="1"/>
  <c r="D1" i="2" a="1"/>
  <c r="D1" i="2" s="1"/>
  <c r="D1" i="1" a="1"/>
  <c r="D1" i="1" s="1"/>
  <c r="D1" i="7" l="1" a="1"/>
  <c r="D1" i="7" s="1"/>
  <c r="C7" i="10" a="1"/>
  <c r="C7" i="10" s="1"/>
  <c r="C8" i="9"/>
  <c r="C9" i="9"/>
  <c r="C10" i="9"/>
  <c r="C11" i="9"/>
  <c r="C12" i="9"/>
  <c r="C8" i="7" l="1"/>
  <c r="C9" i="7"/>
  <c r="C10" i="7"/>
  <c r="C11" i="7"/>
  <c r="C12" i="7"/>
  <c r="C13" i="7"/>
  <c r="C14" i="7"/>
  <c r="C15" i="7"/>
  <c r="C16" i="7"/>
  <c r="C17" i="7"/>
  <c r="C18" i="7"/>
  <c r="C22" i="7"/>
  <c r="A21" i="17" l="1" a="1"/>
  <c r="A21" i="17" s="1"/>
  <c r="A20" i="16" a="1"/>
  <c r="A20" i="16" s="1"/>
  <c r="A21" i="13" a="1"/>
  <c r="A21" i="13" s="1"/>
  <c r="A21" i="8" a="1"/>
  <c r="A21" i="8" s="1"/>
  <c r="A8" i="13" a="1"/>
  <c r="A8" i="13" s="1"/>
  <c r="A21" i="14" a="1"/>
  <c r="A21" i="14" s="1"/>
  <c r="A21" i="9" a="1"/>
  <c r="A21" i="9" s="1"/>
  <c r="A21" i="1" a="1"/>
  <c r="A21" i="1" s="1"/>
  <c r="A19" i="17" a="1"/>
  <c r="A19" i="17" s="1"/>
  <c r="A21" i="11" a="1"/>
  <c r="A21" i="11" s="1"/>
  <c r="A21" i="6" a="1"/>
  <c r="A21" i="6" s="1"/>
  <c r="A21" i="15" a="1"/>
  <c r="A21" i="15" s="1"/>
  <c r="A20" i="10" a="1"/>
  <c r="A20" i="10" s="1"/>
  <c r="A21" i="2" a="1"/>
  <c r="A21" i="2" s="1"/>
  <c r="A21" i="16" a="1"/>
  <c r="A21" i="16" s="1"/>
  <c r="A19" i="13" a="1"/>
  <c r="A19" i="13" s="1"/>
  <c r="A4" i="16"/>
  <c r="A8" i="16" a="1"/>
  <c r="A8" i="16" s="1"/>
  <c r="A20" i="14" a="1"/>
  <c r="A20" i="14" s="1"/>
  <c r="A20" i="1" a="1"/>
  <c r="A20" i="1" s="1"/>
  <c r="A4" i="15"/>
  <c r="A20" i="6" a="1"/>
  <c r="A20" i="6" s="1"/>
  <c r="A19" i="7" a="1"/>
  <c r="A19" i="7" s="1"/>
  <c r="A4" i="17"/>
  <c r="A8" i="17" a="1"/>
  <c r="A8" i="17" s="1"/>
  <c r="A20" i="5" a="1"/>
  <c r="A20" i="5" s="1"/>
  <c r="A19" i="15" a="1"/>
  <c r="A19" i="15" s="1"/>
  <c r="A21" i="10" a="1"/>
  <c r="A21" i="10" s="1"/>
  <c r="A19" i="16" a="1"/>
  <c r="A19" i="16" s="1"/>
  <c r="A21" i="7" a="1"/>
  <c r="A21" i="7" s="1"/>
  <c r="A20" i="9" a="1"/>
  <c r="A20" i="9" s="1"/>
  <c r="A8" i="14" a="1"/>
  <c r="A8" i="14" s="1"/>
  <c r="A20" i="13" a="1"/>
  <c r="A20" i="13" s="1"/>
  <c r="A21" i="5" a="1"/>
  <c r="A21" i="5" s="1"/>
  <c r="A8" i="15" a="1"/>
  <c r="A8" i="15" s="1"/>
  <c r="A20" i="7" a="1"/>
  <c r="A20" i="7" s="1"/>
  <c r="A20" i="2" a="1"/>
  <c r="A20" i="2" s="1"/>
  <c r="A20" i="17" a="1"/>
  <c r="A20" i="17" s="1"/>
  <c r="A20" i="8" a="1"/>
  <c r="A20" i="8" s="1"/>
  <c r="A19" i="14" a="1"/>
  <c r="A19" i="14" s="1"/>
  <c r="A20" i="11" a="1"/>
  <c r="A20" i="11" s="1"/>
  <c r="A20" i="15" a="1"/>
  <c r="A20" i="15" s="1"/>
  <c r="A4" i="7"/>
  <c r="A19" i="11" a="1"/>
  <c r="A19" i="11" s="1"/>
  <c r="A8" i="11" a="1"/>
  <c r="A8" i="11" s="1"/>
  <c r="A8" i="10" a="1"/>
  <c r="A8" i="10" s="1"/>
  <c r="A19" i="9" a="1"/>
  <c r="A19" i="9" s="1"/>
  <c r="A19" i="8" a="1"/>
  <c r="A19" i="8" s="1"/>
  <c r="A8" i="6" a="1"/>
  <c r="A8" i="6" s="1"/>
  <c r="A19" i="1" a="1"/>
  <c r="A19" i="1" s="1"/>
  <c r="A8" i="9" a="1"/>
  <c r="A8" i="9" s="1"/>
  <c r="A8" i="8" a="1"/>
  <c r="A8" i="8" s="1"/>
  <c r="A19" i="2" a="1"/>
  <c r="A19" i="2" s="1"/>
  <c r="A8" i="1" a="1"/>
  <c r="A8" i="1" s="1"/>
  <c r="A19" i="5" a="1"/>
  <c r="A19" i="5" s="1"/>
  <c r="A8" i="2" a="1"/>
  <c r="A8" i="2" s="1"/>
  <c r="A12" i="7" a="1"/>
  <c r="A12" i="7" s="1"/>
  <c r="A19" i="10" a="1"/>
  <c r="A19" i="10" s="1"/>
  <c r="A19" i="6" a="1"/>
  <c r="A19" i="6" s="1"/>
  <c r="A8" i="5" a="1"/>
  <c r="A8" i="5" s="1"/>
  <c r="A8" i="7" a="1"/>
  <c r="A8" i="7" s="1"/>
  <c r="A17" i="14" a="1"/>
  <c r="A17" i="14" s="1"/>
  <c r="A14" i="17" a="1"/>
  <c r="A14" i="17" s="1"/>
  <c r="A10" i="17" a="1"/>
  <c r="A10" i="17" s="1"/>
  <c r="A16" i="17" a="1"/>
  <c r="A16" i="17" s="1"/>
  <c r="A12" i="17" a="1"/>
  <c r="A12" i="17" s="1"/>
  <c r="A18" i="15" a="1"/>
  <c r="A18" i="15" s="1"/>
  <c r="A13" i="15" a="1"/>
  <c r="A13" i="15" s="1"/>
  <c r="A9" i="15" a="1"/>
  <c r="A9" i="15" s="1"/>
  <c r="A22" i="2" a="1"/>
  <c r="A22" i="2" s="1"/>
  <c r="A22" i="15" a="1"/>
  <c r="A22" i="15" s="1"/>
  <c r="A22" i="13" a="1"/>
  <c r="A22" i="13" s="1"/>
  <c r="A15" i="15" a="1"/>
  <c r="A15" i="15" s="1"/>
  <c r="A11" i="15" a="1"/>
  <c r="A11" i="15" s="1"/>
  <c r="A9" i="5" a="1"/>
  <c r="A9" i="5" s="1"/>
  <c r="A11" i="5" a="1"/>
  <c r="A11" i="5" s="1"/>
  <c r="A13" i="5" a="1"/>
  <c r="A13" i="5" s="1"/>
  <c r="A12" i="9" a="1"/>
  <c r="A12" i="9" s="1"/>
  <c r="A9" i="13" a="1"/>
  <c r="A9" i="13" s="1"/>
  <c r="A13" i="7" a="1"/>
  <c r="A13" i="7" s="1"/>
  <c r="A10" i="6" a="1"/>
  <c r="A10" i="6" s="1"/>
  <c r="A13" i="10" a="1"/>
  <c r="A13" i="10" s="1"/>
  <c r="A14" i="11" a="1"/>
  <c r="A14" i="11" s="1"/>
  <c r="A16" i="9" a="1"/>
  <c r="A16" i="9" s="1"/>
  <c r="A12" i="13" a="1"/>
  <c r="A12" i="13" s="1"/>
  <c r="A10" i="9" a="1"/>
  <c r="A10" i="9" s="1"/>
  <c r="A15" i="8" a="1"/>
  <c r="A15" i="8" s="1"/>
  <c r="A11" i="13" a="1"/>
  <c r="A11" i="13" s="1"/>
  <c r="A12" i="1" a="1"/>
  <c r="A12" i="1" s="1"/>
  <c r="A12" i="8" a="1"/>
  <c r="A12" i="8" s="1"/>
  <c r="A15" i="10" a="1"/>
  <c r="A15" i="10" s="1"/>
  <c r="A18" i="8" a="1"/>
  <c r="A18" i="8" s="1"/>
  <c r="A18" i="2" a="1"/>
  <c r="A18" i="2" s="1"/>
  <c r="A17" i="9" a="1"/>
  <c r="A17" i="9" s="1"/>
  <c r="A17" i="10" a="1"/>
  <c r="A17" i="10" s="1"/>
  <c r="A16" i="2" a="1"/>
  <c r="A16" i="2" s="1"/>
  <c r="A16" i="6" a="1"/>
  <c r="A16" i="6" s="1"/>
  <c r="A15" i="1" a="1"/>
  <c r="A15" i="1" s="1"/>
  <c r="A14" i="5" a="1"/>
  <c r="A14" i="5" s="1"/>
  <c r="A14" i="7" a="1"/>
  <c r="A14" i="7" s="1"/>
  <c r="A17" i="17" a="1"/>
  <c r="A17" i="17" s="1"/>
  <c r="A14" i="16" a="1"/>
  <c r="A14" i="16" s="1"/>
  <c r="A10" i="16" a="1"/>
  <c r="A10" i="16" s="1"/>
  <c r="A16" i="16" a="1"/>
  <c r="A16" i="16" s="1"/>
  <c r="A12" i="16" a="1"/>
  <c r="A12" i="16" s="1"/>
  <c r="A13" i="8" a="1"/>
  <c r="A13" i="8" s="1"/>
  <c r="A9" i="6" a="1"/>
  <c r="A9" i="6" s="1"/>
  <c r="A22" i="17" a="1"/>
  <c r="A22" i="17" s="1"/>
  <c r="A22" i="7" a="1"/>
  <c r="A22" i="7" s="1"/>
  <c r="A22" i="11" a="1"/>
  <c r="A22" i="11" s="1"/>
  <c r="A22" i="5" a="1"/>
  <c r="A22" i="5" s="1"/>
  <c r="A15" i="17" a="1"/>
  <c r="A15" i="17" s="1"/>
  <c r="A11" i="17" a="1"/>
  <c r="A11" i="17" s="1"/>
  <c r="A13" i="6" a="1"/>
  <c r="A13" i="6" s="1"/>
  <c r="A11" i="8" a="1"/>
  <c r="A11" i="8" s="1"/>
  <c r="A11" i="2" a="1"/>
  <c r="A11" i="2" s="1"/>
  <c r="A13" i="13" a="1"/>
  <c r="A13" i="13" s="1"/>
  <c r="A9" i="14" a="1"/>
  <c r="A9" i="14" s="1"/>
  <c r="A10" i="1" a="1"/>
  <c r="A10" i="1" s="1"/>
  <c r="A9" i="9" a="1"/>
  <c r="A9" i="9" s="1"/>
  <c r="A14" i="2" a="1"/>
  <c r="A14" i="2" s="1"/>
  <c r="A10" i="14" a="1"/>
  <c r="A10" i="14" s="1"/>
  <c r="A16" i="13" a="1"/>
  <c r="A16" i="13" s="1"/>
  <c r="A12" i="14" a="1"/>
  <c r="A12" i="14" s="1"/>
  <c r="A14" i="9" a="1"/>
  <c r="A14" i="9" s="1"/>
  <c r="A15" i="13" a="1"/>
  <c r="A15" i="13" s="1"/>
  <c r="A11" i="14" a="1"/>
  <c r="A11" i="14" s="1"/>
  <c r="A12" i="2" a="1"/>
  <c r="A12" i="2" s="1"/>
  <c r="A11" i="9" a="1"/>
  <c r="A11" i="9" s="1"/>
  <c r="A18" i="6" a="1"/>
  <c r="A18" i="6" s="1"/>
  <c r="A18" i="13" a="1"/>
  <c r="A18" i="13" s="1"/>
  <c r="A18" i="10" a="1"/>
  <c r="A18" i="10" s="1"/>
  <c r="A17" i="6" a="1"/>
  <c r="A17" i="6" s="1"/>
  <c r="A17" i="1" a="1"/>
  <c r="A17" i="1" s="1"/>
  <c r="A16" i="1" a="1"/>
  <c r="A16" i="1" s="1"/>
  <c r="A16" i="10" a="1"/>
  <c r="A16" i="10" s="1"/>
  <c r="A15" i="2" a="1"/>
  <c r="A15" i="2" s="1"/>
  <c r="A14" i="6" a="1"/>
  <c r="A14" i="6" s="1"/>
  <c r="A10" i="8" a="1"/>
  <c r="A10" i="8" s="1"/>
  <c r="A12" i="15" a="1"/>
  <c r="A12" i="15" s="1"/>
  <c r="A13" i="16" a="1"/>
  <c r="A13" i="16" s="1"/>
  <c r="A22" i="9" a="1"/>
  <c r="A22" i="9" s="1"/>
  <c r="A22" i="8" a="1"/>
  <c r="A22" i="8" s="1"/>
  <c r="A11" i="16" a="1"/>
  <c r="A11" i="16" s="1"/>
  <c r="A11" i="1" a="1"/>
  <c r="A11" i="1" s="1"/>
  <c r="A18" i="14" a="1"/>
  <c r="A18" i="14" s="1"/>
  <c r="A9" i="7" a="1"/>
  <c r="A9" i="7" s="1"/>
  <c r="A9" i="10" a="1"/>
  <c r="A9" i="10" s="1"/>
  <c r="A10" i="11" a="1"/>
  <c r="A10" i="11" s="1"/>
  <c r="A10" i="7" a="1"/>
  <c r="A10" i="7" s="1"/>
  <c r="A15" i="11" a="1"/>
  <c r="A15" i="11" s="1"/>
  <c r="A12" i="6" a="1"/>
  <c r="A12" i="6" s="1"/>
  <c r="A18" i="1" a="1"/>
  <c r="A18" i="1" s="1"/>
  <c r="A17" i="13" a="1"/>
  <c r="A17" i="13" s="1"/>
  <c r="A17" i="8" a="1"/>
  <c r="A17" i="8" s="1"/>
  <c r="A16" i="7" a="1"/>
  <c r="A16" i="7" s="1"/>
  <c r="A15" i="7" a="1"/>
  <c r="A15" i="7" s="1"/>
  <c r="A15" i="6" a="1"/>
  <c r="A15" i="6" s="1"/>
  <c r="A17" i="16" a="1"/>
  <c r="A17" i="16" s="1"/>
  <c r="A14" i="15" a="1"/>
  <c r="A14" i="15" s="1"/>
  <c r="A10" i="15" a="1"/>
  <c r="A10" i="15" s="1"/>
  <c r="A12" i="10" a="1"/>
  <c r="A12" i="10" s="1"/>
  <c r="A18" i="17" a="1"/>
  <c r="A18" i="17" s="1"/>
  <c r="A13" i="17" a="1"/>
  <c r="A13" i="17" s="1"/>
  <c r="A9" i="17" a="1"/>
  <c r="A9" i="17" s="1"/>
  <c r="A22" i="14" a="1"/>
  <c r="A22" i="14" s="1"/>
  <c r="A22" i="16" a="1"/>
  <c r="A22" i="16" s="1"/>
  <c r="A22" i="6" a="1"/>
  <c r="A22" i="6" s="1"/>
  <c r="A22" i="1" a="1"/>
  <c r="A22" i="1" s="1"/>
  <c r="A11" i="6" a="1"/>
  <c r="A11" i="6" s="1"/>
  <c r="A9" i="1" a="1"/>
  <c r="A9" i="1" s="1"/>
  <c r="A9" i="8" a="1"/>
  <c r="A9" i="8" s="1"/>
  <c r="A13" i="1" a="1"/>
  <c r="A13" i="1" s="1"/>
  <c r="A18" i="9" a="1"/>
  <c r="A18" i="9" s="1"/>
  <c r="A13" i="14" a="1"/>
  <c r="A13" i="14" s="1"/>
  <c r="A9" i="11" a="1"/>
  <c r="A9" i="11" s="1"/>
  <c r="A10" i="2" a="1"/>
  <c r="A10" i="2" s="1"/>
  <c r="A13" i="9" a="1"/>
  <c r="A13" i="9" s="1"/>
  <c r="A14" i="14" a="1"/>
  <c r="A14" i="14" s="1"/>
  <c r="A10" i="13" a="1"/>
  <c r="A10" i="13" s="1"/>
  <c r="A16" i="14" a="1"/>
  <c r="A16" i="14" s="1"/>
  <c r="A12" i="11" a="1"/>
  <c r="A12" i="11" s="1"/>
  <c r="A10" i="10" a="1"/>
  <c r="A10" i="10" s="1"/>
  <c r="A15" i="14" a="1"/>
  <c r="A15" i="14" s="1"/>
  <c r="A11" i="11" a="1"/>
  <c r="A11" i="11" s="1"/>
  <c r="A12" i="5" a="1"/>
  <c r="A12" i="5" s="1"/>
  <c r="A15" i="9" a="1"/>
  <c r="A15" i="9" s="1"/>
  <c r="A18" i="5" a="1"/>
  <c r="A18" i="5" s="1"/>
  <c r="A18" i="11" a="1"/>
  <c r="A18" i="11" s="1"/>
  <c r="A17" i="11" a="1"/>
  <c r="A17" i="11" s="1"/>
  <c r="A17" i="7" a="1"/>
  <c r="A17" i="7" s="1"/>
  <c r="A17" i="5" a="1"/>
  <c r="A17" i="5" s="1"/>
  <c r="A16" i="8" a="1"/>
  <c r="A16" i="8" s="1"/>
  <c r="A16" i="5" a="1"/>
  <c r="A16" i="5" s="1"/>
  <c r="A15" i="5" a="1"/>
  <c r="A15" i="5" s="1"/>
  <c r="A14" i="1" a="1"/>
  <c r="A14" i="1" s="1"/>
  <c r="A17" i="15" a="1"/>
  <c r="A17" i="15" s="1"/>
  <c r="A16" i="15" a="1"/>
  <c r="A16" i="15" s="1"/>
  <c r="A18" i="16" a="1"/>
  <c r="A18" i="16" s="1"/>
  <c r="A9" i="16" a="1"/>
  <c r="A9" i="16" s="1"/>
  <c r="A22" i="10" a="1"/>
  <c r="A22" i="10" s="1"/>
  <c r="A15" i="16" a="1"/>
  <c r="A15" i="16" s="1"/>
  <c r="A13" i="2" a="1"/>
  <c r="A13" i="2" s="1"/>
  <c r="A9" i="2" a="1"/>
  <c r="A9" i="2" s="1"/>
  <c r="A13" i="11" a="1"/>
  <c r="A13" i="11" s="1"/>
  <c r="A10" i="5" a="1"/>
  <c r="A10" i="5" s="1"/>
  <c r="A14" i="13" a="1"/>
  <c r="A14" i="13" s="1"/>
  <c r="A16" i="11" a="1"/>
  <c r="A16" i="11" s="1"/>
  <c r="A14" i="10" a="1"/>
  <c r="A14" i="10" s="1"/>
  <c r="A11" i="7" a="1"/>
  <c r="A11" i="7" s="1"/>
  <c r="A11" i="10" a="1"/>
  <c r="A11" i="10" s="1"/>
  <c r="A18" i="7" a="1"/>
  <c r="A18" i="7" s="1"/>
  <c r="A17" i="2" a="1"/>
  <c r="A17" i="2" s="1"/>
  <c r="A14" i="8" a="1"/>
  <c r="A14" i="8" s="1"/>
  <c r="K13" i="5"/>
  <c r="K11" i="5"/>
  <c r="K10" i="5"/>
  <c r="K9" i="5"/>
  <c r="K8" i="5"/>
  <c r="L13" i="5" l="1"/>
  <c r="P13" i="5" s="1"/>
  <c r="Q13" i="5"/>
  <c r="L9" i="5"/>
  <c r="P9" i="5" s="1"/>
  <c r="Q9" i="5"/>
  <c r="L8" i="5"/>
  <c r="P8" i="5" s="1"/>
  <c r="Q8" i="5"/>
  <c r="L10" i="5"/>
  <c r="P10" i="5" s="1"/>
  <c r="Q10" i="5"/>
  <c r="L11" i="5"/>
  <c r="P11" i="5" s="1"/>
  <c r="Q11" i="5"/>
  <c r="K8" i="2"/>
  <c r="K9" i="2"/>
  <c r="K10" i="2"/>
  <c r="K11" i="2"/>
  <c r="K12" i="2"/>
  <c r="L9" i="2" l="1"/>
  <c r="P9" i="2" s="1"/>
  <c r="Q9" i="2"/>
  <c r="L8" i="2"/>
  <c r="P8" i="2" s="1"/>
  <c r="Q8" i="2"/>
  <c r="L10" i="2"/>
  <c r="P10" i="2" s="1"/>
  <c r="Q10" i="2"/>
  <c r="L12" i="2"/>
  <c r="P12" i="2" s="1"/>
  <c r="Q12" i="2"/>
  <c r="L11" i="2"/>
  <c r="P11" i="2" s="1"/>
  <c r="Q11" i="2"/>
  <c r="E12" i="2"/>
  <c r="E11" i="2"/>
  <c r="I22" i="13" s="1"/>
  <c r="E9" i="2"/>
  <c r="E10" i="2"/>
  <c r="G15" i="13"/>
  <c r="H15" i="13" s="1"/>
  <c r="E8" i="2"/>
  <c r="I13" i="13" s="1"/>
  <c r="J16" i="13" l="1"/>
  <c r="J9" i="13"/>
  <c r="J15" i="13"/>
  <c r="I12" i="13"/>
  <c r="I15" i="13"/>
  <c r="K15" i="13" s="1"/>
  <c r="I17" i="13"/>
  <c r="G16" i="13"/>
  <c r="H16" i="13" s="1"/>
  <c r="J10" i="13"/>
  <c r="I14" i="13"/>
  <c r="G18" i="13"/>
  <c r="H18" i="13" s="1"/>
  <c r="G19" i="13"/>
  <c r="H19" i="13" s="1"/>
  <c r="J13" i="13"/>
  <c r="K13" i="13" s="1"/>
  <c r="J19" i="13"/>
  <c r="G14" i="13"/>
  <c r="H14" i="13" s="1"/>
  <c r="I7" i="10" a="1"/>
  <c r="I7" i="10" s="1"/>
  <c r="I20" i="13"/>
  <c r="J12" i="13"/>
  <c r="J21" i="13"/>
  <c r="J20" i="13"/>
  <c r="J14" i="13"/>
  <c r="I10" i="13"/>
  <c r="I11" i="13"/>
  <c r="G22" i="13"/>
  <c r="H22" i="13" s="1"/>
  <c r="I16" i="13"/>
  <c r="G11" i="13"/>
  <c r="H11" i="13" s="1"/>
  <c r="I18" i="13"/>
  <c r="G8" i="13"/>
  <c r="H8" i="13" s="1"/>
  <c r="G9" i="13"/>
  <c r="H9" i="13" s="1"/>
  <c r="G17" i="13"/>
  <c r="H17" i="13" s="1"/>
  <c r="G21" i="13"/>
  <c r="H21" i="13" s="1"/>
  <c r="J17" i="13"/>
  <c r="I21" i="13"/>
  <c r="I9" i="13"/>
  <c r="K9" i="13" s="1"/>
  <c r="G20" i="13"/>
  <c r="H20" i="13" s="1"/>
  <c r="J18" i="13"/>
  <c r="J11" i="13"/>
  <c r="J8" i="13"/>
  <c r="J22" i="13"/>
  <c r="K22" i="13" s="1"/>
  <c r="I19" i="13"/>
  <c r="G12" i="13"/>
  <c r="H12" i="13" s="1"/>
  <c r="G13" i="13"/>
  <c r="H13" i="13" s="1"/>
  <c r="I8" i="13"/>
  <c r="G10" i="13"/>
  <c r="H10" i="13" s="1"/>
  <c r="K16" i="13" l="1"/>
  <c r="M16" i="13" s="1"/>
  <c r="K12" i="13"/>
  <c r="K14" i="13"/>
  <c r="K19" i="13"/>
  <c r="K17" i="13"/>
  <c r="M9" i="13"/>
  <c r="M12" i="13"/>
  <c r="M13" i="13"/>
  <c r="M22" i="13"/>
  <c r="M15" i="13"/>
  <c r="K21" i="13"/>
  <c r="K10" i="13"/>
  <c r="K20" i="13"/>
  <c r="K8" i="13"/>
  <c r="K18" i="13"/>
  <c r="K11" i="13"/>
  <c r="M17" i="13" l="1"/>
  <c r="M19" i="13"/>
  <c r="M14" i="13"/>
  <c r="M8" i="13"/>
  <c r="M11" i="13"/>
  <c r="M10" i="13"/>
  <c r="M18" i="13"/>
  <c r="M21" i="13"/>
  <c r="M20" i="13"/>
  <c r="F3" i="11" a="1"/>
  <c r="F3" i="11" s="1"/>
  <c r="O4" i="10" a="1"/>
  <c r="O4" i="10" s="1"/>
  <c r="O7" i="10" s="1" a="1"/>
  <c r="O7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<sst xmlns="http://schemas.openxmlformats.org/spreadsheetml/2006/main" count="610" uniqueCount="373">
  <si>
    <t>ref</t>
  </si>
  <si>
    <t>description</t>
  </si>
  <si>
    <t>vendor_name</t>
  </si>
  <si>
    <t>inv_amt</t>
  </si>
  <si>
    <t>tax_amt</t>
  </si>
  <si>
    <t>net_amt</t>
  </si>
  <si>
    <t>data input area</t>
  </si>
  <si>
    <t>calculation result</t>
  </si>
  <si>
    <t>backend stuff</t>
  </si>
  <si>
    <t>exp_tax_percen</t>
  </si>
  <si>
    <t>customer_name</t>
  </si>
  <si>
    <t>inc_tax_percen</t>
  </si>
  <si>
    <t>bank</t>
  </si>
  <si>
    <t>trans_type</t>
  </si>
  <si>
    <t>trans_type_code</t>
  </si>
  <si>
    <t>w-withdrawal</t>
  </si>
  <si>
    <t>p-pay invoice</t>
  </si>
  <si>
    <t>r-collect money</t>
  </si>
  <si>
    <t>withdrawal_bank</t>
  </si>
  <si>
    <t>withdrawn_amt</t>
  </si>
  <si>
    <t>deposit_bank</t>
  </si>
  <si>
    <t>deposit_amt</t>
  </si>
  <si>
    <t>vendor_invoice_num</t>
  </si>
  <si>
    <t>pay_amt</t>
  </si>
  <si>
    <t>customer_inv_num</t>
  </si>
  <si>
    <t>receipt_amt</t>
  </si>
  <si>
    <t>Accounts Receivable</t>
  </si>
  <si>
    <t>vendor_inv_array</t>
  </si>
  <si>
    <t>cust_inv_array</t>
  </si>
  <si>
    <t>valid_check_vendor</t>
  </si>
  <si>
    <t>valid_check_customer</t>
  </si>
  <si>
    <t>eng</t>
  </si>
  <si>
    <t>master</t>
  </si>
  <si>
    <t>table_name</t>
  </si>
  <si>
    <t>expense</t>
  </si>
  <si>
    <t>income</t>
  </si>
  <si>
    <t>table</t>
  </si>
  <si>
    <t>Master Table</t>
  </si>
  <si>
    <t>Vendor Invoice</t>
  </si>
  <si>
    <t>Customer Invoice</t>
  </si>
  <si>
    <t>Table Summary</t>
  </si>
  <si>
    <t>fields</t>
  </si>
  <si>
    <t>Item Summary</t>
  </si>
  <si>
    <t>jap</t>
  </si>
  <si>
    <t>English</t>
  </si>
  <si>
    <t>英語（えいご)</t>
  </si>
  <si>
    <t>Japanese</t>
  </si>
  <si>
    <t>日本語（にほんご)</t>
  </si>
  <si>
    <t>code</t>
  </si>
  <si>
    <t>selectLangCode</t>
  </si>
  <si>
    <t>マスターテーブル</t>
  </si>
  <si>
    <t>請求書（ベンダー）</t>
  </si>
  <si>
    <t>テーブル一覧</t>
  </si>
  <si>
    <t>field_name</t>
  </si>
  <si>
    <t>link_location</t>
  </si>
  <si>
    <t>Reference</t>
  </si>
  <si>
    <t>フィールド</t>
  </si>
  <si>
    <t>Field Name</t>
  </si>
  <si>
    <t>英語</t>
  </si>
  <si>
    <t>日本語</t>
  </si>
  <si>
    <t>Vendor</t>
  </si>
  <si>
    <t>Description</t>
  </si>
  <si>
    <t>Net</t>
  </si>
  <si>
    <t>Customer</t>
  </si>
  <si>
    <t>Expense Item Reference</t>
  </si>
  <si>
    <t>Tax Amount</t>
  </si>
  <si>
    <t>Revenue Item Reference</t>
  </si>
  <si>
    <t>Transaction Type</t>
  </si>
  <si>
    <t>取引タイプコード</t>
  </si>
  <si>
    <t>Transaction Type Code</t>
  </si>
  <si>
    <t>Bank (Withdrawal)</t>
  </si>
  <si>
    <t>Bank (Deposit)</t>
  </si>
  <si>
    <t>銀行（出金）</t>
  </si>
  <si>
    <t>銀行（入金）</t>
  </si>
  <si>
    <t>Amount （Withdrawal)</t>
  </si>
  <si>
    <t>Amount (Deposit)</t>
  </si>
  <si>
    <t>-</t>
  </si>
  <si>
    <t>Invoice Number (Vendor)</t>
  </si>
  <si>
    <t>Invoice Number (Customer)</t>
  </si>
  <si>
    <t>Table Name</t>
  </si>
  <si>
    <t>リスト</t>
  </si>
  <si>
    <t>Link Location</t>
  </si>
  <si>
    <t>リンクセル</t>
  </si>
  <si>
    <t>lang</t>
  </si>
  <si>
    <t>Language Setting</t>
  </si>
  <si>
    <t>言語設定
(げんごせってい）</t>
  </si>
  <si>
    <t>selectList</t>
  </si>
  <si>
    <t>Selection List</t>
  </si>
  <si>
    <t>選択リスト
(せんたくりすと）</t>
  </si>
  <si>
    <t>Language Code</t>
  </si>
  <si>
    <t>言語コード</t>
  </si>
  <si>
    <t>整理番号</t>
  </si>
  <si>
    <t>業者名</t>
  </si>
  <si>
    <t>詳細</t>
  </si>
  <si>
    <t xml:space="preserve">経費明細参照 </t>
  </si>
  <si>
    <t>消費税額</t>
  </si>
  <si>
    <t>顧客名</t>
  </si>
  <si>
    <t>収益アイテム参照</t>
  </si>
  <si>
    <t>取引タイプ</t>
  </si>
  <si>
    <t>出金</t>
  </si>
  <si>
    <t>入金</t>
  </si>
  <si>
    <t>支払金額</t>
  </si>
  <si>
    <t>入金額</t>
  </si>
  <si>
    <t>selectTransType</t>
  </si>
  <si>
    <t>debit1</t>
  </si>
  <si>
    <t>credit1</t>
  </si>
  <si>
    <t>debit2</t>
  </si>
  <si>
    <t>credit2</t>
  </si>
  <si>
    <t>debit3</t>
  </si>
  <si>
    <t>credit3</t>
  </si>
  <si>
    <t>debit4</t>
  </si>
  <si>
    <t>credit4</t>
  </si>
  <si>
    <t>chartOfAcct</t>
  </si>
  <si>
    <t>Chart Of Accounts</t>
  </si>
  <si>
    <t>勘定科目一覧表</t>
  </si>
  <si>
    <t>tax_code</t>
  </si>
  <si>
    <t>process_type</t>
  </si>
  <si>
    <t>Tax Filing Code</t>
  </si>
  <si>
    <t>Processing Type</t>
  </si>
  <si>
    <t>整理番号
（納税申告書）</t>
  </si>
  <si>
    <t>タイプ
（処理）</t>
  </si>
  <si>
    <t>Cash and deposits</t>
  </si>
  <si>
    <t>現金</t>
  </si>
  <si>
    <t>A</t>
  </si>
  <si>
    <t>売掛金</t>
  </si>
  <si>
    <t>P</t>
  </si>
  <si>
    <t>Machinery and equipment</t>
  </si>
  <si>
    <t>器具備品</t>
  </si>
  <si>
    <t>Salaries and wages</t>
  </si>
  <si>
    <t>給料</t>
  </si>
  <si>
    <t>Advertising and promotion</t>
  </si>
  <si>
    <t>広告宣伝費</t>
  </si>
  <si>
    <t>Travel expenses</t>
  </si>
  <si>
    <t>旅費交通費</t>
  </si>
  <si>
    <t>Professional fees</t>
  </si>
  <si>
    <t>専門人員の料金</t>
  </si>
  <si>
    <t>Meals and entertainment</t>
  </si>
  <si>
    <t>Telephone and telecommunications</t>
  </si>
  <si>
    <t>接待交際費</t>
  </si>
  <si>
    <t>通信費</t>
  </si>
  <si>
    <t>Office expenses</t>
  </si>
  <si>
    <t>事務所用消耗品費</t>
  </si>
  <si>
    <t>Amounts payable and accrued liabilities</t>
  </si>
  <si>
    <t>買掛金</t>
  </si>
  <si>
    <t>R</t>
  </si>
  <si>
    <t>Trade sales of goods and services</t>
  </si>
  <si>
    <t>売上高</t>
  </si>
  <si>
    <t>Due to shareholder(s)/director(s)</t>
  </si>
  <si>
    <t>役員借入金</t>
  </si>
  <si>
    <t>Unclassified Deposit</t>
  </si>
  <si>
    <t>Unbooked Foreign Exchange  Difference</t>
  </si>
  <si>
    <t>分類していない（預金）</t>
  </si>
  <si>
    <t>未処理の為替差</t>
  </si>
  <si>
    <t>invoice_date</t>
  </si>
  <si>
    <t>請求書番号
（顧客）</t>
  </si>
  <si>
    <t>請求書番号
（業者）</t>
  </si>
  <si>
    <t>Invoice Date
(mm/dd/yyyy)</t>
  </si>
  <si>
    <t>日付
(mm/dd/yyyy)</t>
  </si>
  <si>
    <t>Pos</t>
  </si>
  <si>
    <t>Debit</t>
  </si>
  <si>
    <t>Credit</t>
  </si>
  <si>
    <t>GL</t>
  </si>
  <si>
    <t>Exp</t>
  </si>
  <si>
    <t>Tax</t>
  </si>
  <si>
    <t>Payable</t>
  </si>
  <si>
    <t>Forex</t>
  </si>
  <si>
    <t>X</t>
  </si>
  <si>
    <t>(X)</t>
  </si>
  <si>
    <t>Inc</t>
  </si>
  <si>
    <t>Receivable</t>
  </si>
  <si>
    <t>payment</t>
  </si>
  <si>
    <t>receipt</t>
  </si>
  <si>
    <t>Bank</t>
  </si>
  <si>
    <t>Withdrawal</t>
  </si>
  <si>
    <t>Deposit</t>
  </si>
  <si>
    <t>Bank W</t>
  </si>
  <si>
    <t>Bank D</t>
  </si>
  <si>
    <t>Other revenue</t>
  </si>
  <si>
    <t>他の収入</t>
  </si>
  <si>
    <t>Other expenses</t>
  </si>
  <si>
    <t>他の費用</t>
  </si>
  <si>
    <t>Invoice Amount
(Net Of Discount
(Before Tax)</t>
  </si>
  <si>
    <t>アイテム概要</t>
  </si>
  <si>
    <t>1060-rec</t>
  </si>
  <si>
    <t>b/s</t>
  </si>
  <si>
    <t>i/c</t>
  </si>
  <si>
    <t>bankw</t>
  </si>
  <si>
    <t>bank d</t>
  </si>
  <si>
    <t>1000-bank</t>
  </si>
  <si>
    <t>num_tax</t>
  </si>
  <si>
    <t>請求金額
(割引前)
(税引き前)</t>
  </si>
  <si>
    <t>純</t>
  </si>
  <si>
    <t>支払い金額</t>
  </si>
  <si>
    <t>受払金額</t>
  </si>
  <si>
    <t>Fund Transfer</t>
  </si>
  <si>
    <t>資金移動</t>
  </si>
  <si>
    <t>bank_acct</t>
  </si>
  <si>
    <t>銀行口座のリスト</t>
  </si>
  <si>
    <t>vendor</t>
  </si>
  <si>
    <t>customer</t>
  </si>
  <si>
    <t>Payment (Cash Paid)</t>
  </si>
  <si>
    <t>Receipt (Cash Received)</t>
  </si>
  <si>
    <t>payment_date</t>
  </si>
  <si>
    <t>支払期日
(mm/dd/yyyy)</t>
  </si>
  <si>
    <t>Payment Date
(mm/dd/yyyy)</t>
  </si>
  <si>
    <t>06/01/2020</t>
  </si>
  <si>
    <t>05/31/2020</t>
  </si>
  <si>
    <t>05/30/2020</t>
  </si>
  <si>
    <t>05/29/2020</t>
  </si>
  <si>
    <t>company_address</t>
  </si>
  <si>
    <t>contact_person</t>
  </si>
  <si>
    <t>contact_number</t>
  </si>
  <si>
    <t>email</t>
  </si>
  <si>
    <t>Company Address</t>
  </si>
  <si>
    <t>Contact Person</t>
  </si>
  <si>
    <t>Phone Number</t>
  </si>
  <si>
    <t>Email</t>
  </si>
  <si>
    <t>住所</t>
  </si>
  <si>
    <t>連絡窓口</t>
  </si>
  <si>
    <t>電話番号</t>
  </si>
  <si>
    <t>Eメール</t>
  </si>
  <si>
    <t>vendor 1</t>
  </si>
  <si>
    <t>vendor 2</t>
  </si>
  <si>
    <t>vendor 3</t>
  </si>
  <si>
    <t>approval_date</t>
  </si>
  <si>
    <t>Date Added
(mm/dd/yyyy)</t>
  </si>
  <si>
    <t>追加日
(mm/dd/yyyy)</t>
  </si>
  <si>
    <t>customer 1</t>
  </si>
  <si>
    <t>customer 2</t>
  </si>
  <si>
    <t>customer 3</t>
  </si>
  <si>
    <t>顧客1</t>
  </si>
  <si>
    <t>顧客2</t>
  </si>
  <si>
    <t>顧客3</t>
  </si>
  <si>
    <t>05/23/2020</t>
  </si>
  <si>
    <t>05/24/2020</t>
  </si>
  <si>
    <t>05/25/2020</t>
  </si>
  <si>
    <t>ベンダー1</t>
  </si>
  <si>
    <t>ベンダー2</t>
  </si>
  <si>
    <t>ベンダー3</t>
  </si>
  <si>
    <t>03/28/2020</t>
  </si>
  <si>
    <t>display_name</t>
  </si>
  <si>
    <t>Name
(Displayed)</t>
  </si>
  <si>
    <t>名
（表示）</t>
  </si>
  <si>
    <t>Customer 1</t>
  </si>
  <si>
    <t>Customer 2</t>
  </si>
  <si>
    <t>Customer 3</t>
  </si>
  <si>
    <t>selectVendor</t>
  </si>
  <si>
    <t>selectCustomer</t>
  </si>
  <si>
    <t>inv_num</t>
  </si>
  <si>
    <t>Invoice Number</t>
  </si>
  <si>
    <t>請求書番号</t>
  </si>
  <si>
    <t>11/12/2019</t>
  </si>
  <si>
    <t>12/13/2019</t>
  </si>
  <si>
    <t>04/08/2019</t>
  </si>
  <si>
    <t>vendor_ref</t>
  </si>
  <si>
    <t>customer_ref</t>
  </si>
  <si>
    <t>Customer Ref</t>
  </si>
  <si>
    <t>Vendor Ref</t>
  </si>
  <si>
    <t>整理番号
(顧客)</t>
  </si>
  <si>
    <t>整理番号
(業者)</t>
  </si>
  <si>
    <t>1_vendor 1</t>
  </si>
  <si>
    <t>2_vendor 2</t>
  </si>
  <si>
    <t>3_vendor 3</t>
  </si>
  <si>
    <t>請求書（顧客）</t>
  </si>
  <si>
    <t>selectExpense</t>
  </si>
  <si>
    <t>selectIncome</t>
  </si>
  <si>
    <t>source_lang</t>
  </si>
  <si>
    <t>2_Customer 2</t>
  </si>
  <si>
    <t>1_Customer 1</t>
  </si>
  <si>
    <t>8000|Trade sales of goods and services</t>
  </si>
  <si>
    <t>income_item_ref</t>
  </si>
  <si>
    <t>expense_item_ref</t>
  </si>
  <si>
    <t>8230|Other revenue</t>
  </si>
  <si>
    <t>8000|売上高</t>
  </si>
  <si>
    <t>9060|Salaries and wages</t>
  </si>
  <si>
    <t>9060|給料</t>
  </si>
  <si>
    <t>9200|旅費交通費</t>
  </si>
  <si>
    <t>8523|接待交際費</t>
  </si>
  <si>
    <t>3_Customer 3</t>
  </si>
  <si>
    <t>first_settle</t>
  </si>
  <si>
    <t>決済金額
（ある場合）</t>
  </si>
  <si>
    <t>Amount settled
 (if any)
on the invoice date</t>
  </si>
  <si>
    <t>selectExpenseInvoice</t>
  </si>
  <si>
    <t>selecIncomeInvoice</t>
  </si>
  <si>
    <t>05/28/2020</t>
  </si>
  <si>
    <t>balance_due_before</t>
  </si>
  <si>
    <t>balance_due_after</t>
  </si>
  <si>
    <t>Balance Due 
(Before Payment)</t>
  </si>
  <si>
    <t>Balance Due
(After Payment)</t>
  </si>
  <si>
    <t>残金
（お支払い前）</t>
  </si>
  <si>
    <t>残金
（後支払い）</t>
  </si>
  <si>
    <t>8520|Advertising and promotion</t>
  </si>
  <si>
    <t>05/16/2020</t>
  </si>
  <si>
    <t>05/17/2020</t>
  </si>
  <si>
    <t>05/18/2020</t>
  </si>
  <si>
    <t>04/22/2020</t>
  </si>
  <si>
    <t>01/26/2020</t>
  </si>
  <si>
    <t>01/28/2020</t>
  </si>
  <si>
    <t>Amount 
(Payment)</t>
  </si>
  <si>
    <t>Amount
(Received)</t>
  </si>
  <si>
    <t>Vendor List</t>
  </si>
  <si>
    <t>Customer List</t>
  </si>
  <si>
    <t>ベンダー一覧</t>
  </si>
  <si>
    <t>顧客一覧</t>
  </si>
  <si>
    <t>Bank Account List</t>
  </si>
  <si>
    <t>gl_acct_num</t>
  </si>
  <si>
    <t>General Ledger Account
Number</t>
  </si>
  <si>
    <t>参照番号
(総勘定元帳)</t>
  </si>
  <si>
    <t>selectBankGL</t>
  </si>
  <si>
    <t>AR</t>
  </si>
  <si>
    <t>AP</t>
  </si>
  <si>
    <t>ADJ</t>
  </si>
  <si>
    <t>gl_acct_name</t>
  </si>
  <si>
    <t>General Ledger Account</t>
  </si>
  <si>
    <t>総勘定元帳
勘定科目</t>
  </si>
  <si>
    <t>bank_num</t>
  </si>
  <si>
    <t>hsbc - acct 123</t>
  </si>
  <si>
    <t>香港上海銀行 - acct 123</t>
  </si>
  <si>
    <t>bmo - acct 456</t>
  </si>
  <si>
    <t>モントリオール銀行 - acct 456</t>
  </si>
  <si>
    <t>selectWithdrawalBank</t>
  </si>
  <si>
    <t>selectDepositBank</t>
  </si>
  <si>
    <t>05/27/2020</t>
  </si>
  <si>
    <t>06/12/2020</t>
  </si>
  <si>
    <t>12/01/2020</t>
  </si>
  <si>
    <t>selectFundTransferBank</t>
  </si>
  <si>
    <t>interbank</t>
  </si>
  <si>
    <t>Bank
(Fund Transfer)</t>
  </si>
  <si>
    <t>銀行
(資金移動)</t>
  </si>
  <si>
    <t>withdrawal_bank_ref</t>
  </si>
  <si>
    <t>deposit_bank_ref</t>
  </si>
  <si>
    <t>Reference
(Withdrawal Bank)</t>
  </si>
  <si>
    <t>Reference
(Deposit Bank)</t>
  </si>
  <si>
    <t>整理番号
(出金銀行)</t>
  </si>
  <si>
    <t>整理番号
(入金銀行)</t>
  </si>
  <si>
    <t>hsbc - acct 789</t>
  </si>
  <si>
    <t>香港上海銀行 - acct 789</t>
  </si>
  <si>
    <t>1000|hsbc - acct 123*1</t>
  </si>
  <si>
    <t>3260|bmo - acct 456*2</t>
  </si>
  <si>
    <t>30001|hsbc - acct 789*3</t>
  </si>
  <si>
    <t>3260|モントリオール銀行 - acct 456*2</t>
  </si>
  <si>
    <t>my own cash</t>
  </si>
  <si>
    <t>所有者の現金</t>
  </si>
  <si>
    <t>trans_ref_wtd</t>
  </si>
  <si>
    <t>Bank Account Number (Eng)
(Bank Name - Bank Account Number)</t>
  </si>
  <si>
    <t>銀行口座番号（英語で）
(銀行名 - 銀行口座番号)</t>
  </si>
  <si>
    <t>withdrawal_bank_acct_eng</t>
  </si>
  <si>
    <t>deposit_bank_acct_eng</t>
  </si>
  <si>
    <t>Bank Account Number
(English Display)</t>
  </si>
  <si>
    <t>銀行口座番号
（英語で）</t>
  </si>
  <si>
    <t>trans_ref_dep</t>
  </si>
  <si>
    <t>Transaction Reference</t>
  </si>
  <si>
    <t>取引番号</t>
  </si>
  <si>
    <t>whatever 1234</t>
  </si>
  <si>
    <t>whatever 4567</t>
  </si>
  <si>
    <t>whatver sdf</t>
  </si>
  <si>
    <t>1000|香港上海銀行 - acct 123*4</t>
  </si>
  <si>
    <t>30001|香港上海銀行 - acct 789*3</t>
  </si>
  <si>
    <t>whatever asdfk</t>
  </si>
  <si>
    <t>select_interbank_deposit</t>
  </si>
  <si>
    <t>switch1</t>
  </si>
  <si>
    <t>interbank_dep_error_txt</t>
  </si>
  <si>
    <t>Please select bank account again</t>
  </si>
  <si>
    <t>銀行口座をもう一度選択してください</t>
  </si>
  <si>
    <t>error_switch</t>
  </si>
  <si>
    <t>error_msg</t>
  </si>
  <si>
    <t>Warning Message</t>
  </si>
  <si>
    <t>警告メッセージ</t>
  </si>
  <si>
    <t>whatever xyz</t>
  </si>
  <si>
    <t>1000|my own cash*1</t>
  </si>
  <si>
    <t>whatever abc</t>
  </si>
  <si>
    <t>whatever def</t>
  </si>
  <si>
    <t>whatever sadfljk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</si>
</sst>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1" xfId="0" applyBorder="1"/>
    <xf numFmtId="0" fontId="1" fillId="4" borderId="0" xfId="0" applyFont="1" applyFill="1"/>
    <xf numFmtId="10" fontId="2" fillId="3" borderId="0" xfId="0" applyNumberFormat="1" applyFont="1" applyFill="1"/>
    <xf numFmtId="0" fontId="0" fillId="5" borderId="0" xfId="0" applyFill="1"/>
    <xf numFmtId="0" fontId="0" fillId="3" borderId="2" xfId="0" applyFill="1" applyBorder="1"/>
    <xf numFmtId="0" fontId="1" fillId="4" borderId="2" xfId="0" applyFont="1" applyFill="1" applyBorder="1"/>
    <xf numFmtId="0" fontId="0" fillId="0" borderId="3" xfId="0" applyBorder="1"/>
    <xf numFmtId="0" fontId="3" fillId="0" borderId="0" xfId="0" applyFont="1"/>
    <xf numFmtId="0" fontId="1" fillId="6" borderId="0" xfId="0" applyFont="1" applyFill="1"/>
    <xf numFmtId="0" fontId="1" fillId="7" borderId="0" xfId="0" applyFont="1" applyFill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3" borderId="1" xfId="0" applyFill="1" applyBorder="1"/>
    <xf numFmtId="0" fontId="2" fillId="0" borderId="0" xfId="1" applyFont="1"/>
    <xf numFmtId="0" fontId="7" fillId="0" borderId="0" xfId="1" applyFont="1" applyAlignment="1">
      <alignment vertical="center" wrapText="1"/>
    </xf>
    <xf numFmtId="0" fontId="1" fillId="7" borderId="0" xfId="1" applyFont="1" applyFill="1" applyAlignment="1">
      <alignment vertical="center" wrapText="1"/>
    </xf>
    <xf numFmtId="0" fontId="8" fillId="7" borderId="0" xfId="1" applyFont="1" applyFill="1" applyAlignment="1">
      <alignment vertical="center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10" fontId="2" fillId="3" borderId="0" xfId="0" applyNumberFormat="1" applyFont="1" applyFill="1" applyAlignment="1">
      <alignment vertical="center" wrapText="1"/>
    </xf>
    <xf numFmtId="0" fontId="0" fillId="3" borderId="3" xfId="0" applyFill="1" applyBorder="1"/>
    <xf numFmtId="0" fontId="0" fillId="0" borderId="0" xfId="0" applyNumberFormat="1"/>
    <xf numFmtId="0" fontId="0" fillId="0" borderId="0" xfId="0" applyFill="1"/>
    <xf numFmtId="0" fontId="1" fillId="4" borderId="4" xfId="0" applyFont="1" applyFill="1" applyBorder="1"/>
    <xf numFmtId="0" fontId="1" fillId="4" borderId="0" xfId="0" applyNumberFormat="1" applyFont="1" applyFill="1"/>
    <xf numFmtId="0" fontId="0" fillId="0" borderId="5" xfId="0" applyBorder="1"/>
    <xf numFmtId="0" fontId="9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1"/>
    <xf numFmtId="0" fontId="0" fillId="0" borderId="8" xfId="0" quotePrefix="1" applyBorder="1"/>
    <xf numFmtId="49" fontId="0" fillId="3" borderId="0" xfId="0" applyNumberFormat="1" applyFill="1"/>
    <xf numFmtId="0" fontId="0" fillId="0" borderId="0" xfId="0" applyNumberFormat="1" applyFill="1"/>
    <xf numFmtId="0" fontId="0" fillId="0" borderId="1" xfId="0" applyFill="1" applyBorder="1" applyAlignment="1">
      <alignment vertical="center" wrapText="1"/>
    </xf>
    <xf numFmtId="0" fontId="0" fillId="3" borderId="0" xfId="0" quotePrefix="1" applyFill="1"/>
    <xf numFmtId="0" fontId="3" fillId="0" borderId="0" xfId="0" applyFont="1" applyFill="1" applyAlignment="1">
      <alignment vertical="center" wrapText="1"/>
    </xf>
    <xf numFmtId="0" fontId="3" fillId="3" borderId="0" xfId="0" applyFont="1" applyFill="1"/>
    <xf numFmtId="0" fontId="0" fillId="0" borderId="0" xfId="0" quotePrefix="1"/>
    <xf numFmtId="0" fontId="0" fillId="5" borderId="0" xfId="0" applyNumberFormat="1" applyFill="1"/>
    <xf numFmtId="49" fontId="0" fillId="3" borderId="0" xfId="0" quotePrefix="1" applyNumberFormat="1" applyFill="1"/>
    <xf numFmtId="0" fontId="3" fillId="5" borderId="0" xfId="0" applyFont="1" applyFill="1" applyAlignment="1">
      <alignment vertical="center"/>
    </xf>
    <xf numFmtId="0" fontId="3" fillId="5" borderId="0" xfId="0" quotePrefix="1" applyFont="1" applyFill="1" applyAlignment="1">
      <alignment vertical="center"/>
    </xf>
    <xf numFmtId="0" fontId="1" fillId="6" borderId="5" xfId="0" applyFont="1" applyFill="1" applyBorder="1"/>
    <xf numFmtId="0" fontId="0" fillId="0" borderId="5" xfId="0" applyNumberFormat="1" applyBorder="1"/>
    <xf numFmtId="0" fontId="1" fillId="2" borderId="5" xfId="0" applyFont="1" applyFill="1" applyBorder="1"/>
    <xf numFmtId="0" fontId="3" fillId="0" borderId="0" xfId="0" applyFont="1" applyFill="1"/>
    <xf numFmtId="0" fontId="11" fillId="0" borderId="0" xfId="1" applyFont="1"/>
    <xf numFmtId="0" fontId="0" fillId="3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7" borderId="0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0" fillId="0" borderId="5" xfId="0" applyFill="1" applyBorder="1"/>
    <xf numFmtId="0" fontId="0" fillId="0" borderId="0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Border="1"/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applyBorder="1"/>
    <xf numFmtId="14" fontId="0" fillId="0" borderId="1" xfId="0" quotePrefix="1" applyNumberFormat="1" applyFill="1" applyBorder="1"/>
    <xf numFmtId="0" fontId="0" fillId="0" borderId="1" xfId="0" quotePrefix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178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dashed">
          <color auto="1"/>
        </left>
        <right style="dashed">
          <color auto="1"/>
        </right>
        <top/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</dxf>
    <dxf>
      <font>
        <b/>
        <i val="0"/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/>
        <i val="0"/>
        <color theme="1"/>
      </font>
    </dxf>
    <dxf>
      <font>
        <color theme="2" tint="-0.24994659260841701"/>
      </font>
    </dxf>
    <dxf>
      <font>
        <color theme="1"/>
      </font>
      <fill>
        <patternFill>
          <bgColor theme="9" tint="0.79998168889431442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b/>
        <i val="0"/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</dxf>
    <dxf>
      <font>
        <sz val="9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z val="9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general" vertical="center" textRotation="0" wrapText="1" indent="0" justifyLastLine="0" shrinkToFit="0" readingOrder="0"/>
    </dxf>
    <dxf>
      <font>
        <b/>
        <i val="0"/>
        <color theme="0" tint="-0.34998626667073579"/>
      </font>
    </dxf>
    <dxf>
      <font>
        <b/>
        <i val="0"/>
      </font>
      <fill>
        <patternFill>
          <bgColor theme="9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/>
        <i val="0"/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numFmt numFmtId="0" formatCode="General"/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b/>
        <i val="0"/>
        <color theme="1"/>
      </font>
      <fill>
        <patternFill>
          <bgColor theme="9" tint="0.79998168889431442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</dxf>
    <dxf>
      <numFmt numFmtId="0" formatCode="General"/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30" formatCode="@"/>
      <fill>
        <patternFill patternType="solid">
          <fgColor indexed="64"/>
          <bgColor theme="9" tint="0.79998168889431442"/>
        </patternFill>
      </fill>
    </dxf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  <dxf>
      <font>
        <color rgb="FF002060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4659260841701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81AA5-652E-4108-9787-32929BB6685B}" name="vendor_invoice" displayName="vendor_invoice" ref="C7:T22" totalsRowShown="0" headerRowDxfId="168">
  <autoFilter ref="C7:T22" xr:uid="{AFEEFD43-908A-4684-89FA-BC9F66352025}"/>
  <tableColumns count="18">
    <tableColumn id="1" xr3:uid="{585BF426-5024-4018-B69C-95ADFB9CB27A}" name="ref" dataDxfId="167">
      <calculatedColumnFormula>IF(vendor_invoice[[#This Row],[invoice_date]]&lt;&gt;"",ROWS($C$8:C8),"-")</calculatedColumnFormula>
    </tableColumn>
    <tableColumn id="11" xr3:uid="{059C97B5-6992-4DF7-AEA2-030E6A3EC9C0}" name="invoice_date" dataDxfId="166"/>
    <tableColumn id="16" xr3:uid="{16C60016-DAB3-4F22-A30A-BFAB51E0F469}" name="inv_num" dataDxfId="165">
      <calculatedColumnFormula>IF(vendor_invoice[[#This Row],[invoice_date]]="","-",1000+vendor_invoice[[#This Row],[ref]])</calculatedColumnFormula>
    </tableColumn>
    <tableColumn id="17" xr3:uid="{2EB397AC-8CB9-4F51-A24C-F59CF2DCCDDF}" name="vendor_ref" dataDxfId="164">
      <calculatedColumnFormula>IFERROR(LEFT(vendor_invoice[[#This Row],[vendor_name]],FIND("_",vendor_invoice[[#This Row],[vendor_name]])-1),"-")</calculatedColumnFormula>
    </tableColumn>
    <tableColumn id="2" xr3:uid="{163F8D74-1A31-4B2A-BEBD-2F5D8412F9E8}" name="vendor_name" dataDxfId="163"/>
    <tableColumn id="3" xr3:uid="{B283236F-3200-4D37-AFCA-92560AB4B986}" name="description" dataDxfId="162"/>
    <tableColumn id="7" xr3:uid="{EB84CFFD-64A6-41FE-9F43-E1FABDFC8671}" name="expense_item_ref" dataDxfId="161">
      <calculatedColumnFormula>IFERROR(LEFT(vendor_invoice[[#This Row],[description]],FIND("|",vendor_invoice[[#This Row],[description]])-1),"-")</calculatedColumnFormula>
    </tableColumn>
    <tableColumn id="4" xr3:uid="{CA643753-8B0E-4FCF-9B77-6FB70655BA22}" name="inv_amt" dataDxfId="160"/>
    <tableColumn id="5" xr3:uid="{D8674D65-BCF2-4093-BEDC-5468EF4BFB37}" name="tax_amt" dataDxfId="159">
      <calculatedColumnFormula>$O$1*vendor_invoice[[#This Row],[inv_amt]]</calculatedColumnFormula>
    </tableColumn>
    <tableColumn id="6" xr3:uid="{7B2970F5-221A-408E-B711-7E342BF53E28}" name="net_amt" dataDxfId="158">
      <calculatedColumnFormula>vendor_invoice[[#This Row],[inv_amt]]-vendor_invoice[[#This Row],[tax_amt]]</calculatedColumnFormula>
    </tableColumn>
    <tableColumn id="9" xr3:uid="{025B1A12-13F5-4F3C-8105-F260BC83B056}" name="payment_date" dataDxfId="157">
      <calculatedColumnFormula>vendor_invoice[[#This Row],[invoice_date]]</calculatedColumnFormula>
    </tableColumn>
    <tableColumn id="12" xr3:uid="{1A0E71D7-CC28-4868-A05F-2DD5B1DE1DBB}" name="first_settle"/>
    <tableColumn id="18" xr3:uid="{530A0D49-2814-43F5-88C0-D8AC2033D0A4}" name="withdrawal_bank" dataDxfId="156"/>
    <tableColumn id="8" xr3:uid="{8568061A-34D3-418A-A73B-056F87DA69B7}" name="debit1" dataDxfId="155">
      <calculatedColumnFormula>vendor_invoice[[#This Row],[net_amt]]</calculatedColumnFormula>
    </tableColumn>
    <tableColumn id="10" xr3:uid="{A595D5D5-5129-4307-870F-A198F960549F}" name="debit2" dataDxfId="154">
      <calculatedColumnFormula>vendor_invoice[[#This Row],[tax_amt]]</calculatedColumnFormula>
    </tableColumn>
    <tableColumn id="13" xr3:uid="{153049BD-EE8B-4C59-9419-06D4946425AB}" name="credit3" dataDxfId="153">
      <calculatedColumnFormula>-vendor_invoice[[#This Row],[inv_amt]]</calculatedColumnFormula>
    </tableColumn>
    <tableColumn id="14" xr3:uid="{4ECA7EC1-68B7-437F-ADF9-D28A589C45A4}" name="debit4" dataDxfId="152"/>
    <tableColumn id="15" xr3:uid="{6CD4E968-8CE0-487A-AE30-24837BE0E235}" name="credit4" dataDxfId="15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104B12-5554-4A2C-996A-A4075AA9F584}" name="payment" displayName="payment" ref="C7:M22" totalsRowShown="0">
  <autoFilter ref="C7:M22" xr:uid="{57AF619F-2EDB-4E31-A745-C7B8E9CE638C}"/>
  <tableColumns count="11">
    <tableColumn id="1" xr3:uid="{9D186381-E4B0-4C24-B0F1-8753431E892F}" name="ref" dataDxfId="142">
      <calculatedColumnFormula>IF(payment[[#This Row],[payment_date]]&lt;&gt;"",MAX(vendor_invoice[ref])+ROWS($C$8:C8),"-")</calculatedColumnFormula>
    </tableColumn>
    <tableColumn id="7" xr3:uid="{9515D5FC-CB89-49A1-8878-4AED19DB4517}" name="payment_date" dataDxfId="141"/>
    <tableColumn id="2" xr3:uid="{9A46AB8E-1522-46AE-9247-6958DAE907BA}" name="inv_num" dataDxfId="140"/>
    <tableColumn id="12" xr3:uid="{B0A88F72-EE53-4F8D-A16A-851C425A99FF}" name="withdrawal_bank" dataDxfId="139"/>
    <tableColumn id="3" xr3:uid="{5BE11D61-F1EE-4AB8-9F73-2F71936BCD1D}" name="vendor_ref" dataDxfId="138">
      <calculatedColumnFormula>IFERROR(_xlfn.XLOOKUP(payment[[#This Row],[inv_num]],vendor_invoice[inv_num],vendor_invoice[vendor_ref]),"-")</calculatedColumnFormula>
    </tableColumn>
    <tableColumn id="4" xr3:uid="{46A3D402-E49B-4678-98DA-B71D0BFE0FFD}" name="vendor_name" dataDxfId="137">
      <calculatedColumnFormula>IFERROR(_xlfn.XLOOKUP(VALUE(payment[[#This Row],[vendor_ref]]),vendor[ref],vendor[display_name]),"-")</calculatedColumnFormula>
    </tableColumn>
    <tableColumn id="5" xr3:uid="{F3DB5B8B-B4C1-4A54-A841-CA55A71EC9C6}" name="inv_amt" dataDxfId="136">
      <calculatedColumnFormula>IFERROR(_xlfn.XLOOKUP(payment[[#This Row],[inv_num]],vendor_invoice[inv_num],vendor_invoice[inv_amt]),"-")</calculatedColumnFormula>
    </tableColumn>
    <tableColumn id="8" xr3:uid="{956A46D7-A05A-4D2E-B778-AE584C3FD6EE}" name="first_settle" dataDxfId="135">
      <calculatedColumnFormula>IFERROR(_xlfn.XLOOKUP(payment[[#This Row],[inv_num]],vendor_invoice[inv_num],vendor_invoice[first_settle]),"-")</calculatedColumnFormula>
    </tableColumn>
    <tableColumn id="6" xr3:uid="{4B6C130E-A770-4935-827C-734FF469DEAC}" name="balance_due_before" dataDxfId="134">
      <calculatedColumnFormula>IFERROR(payment[[#This Row],[inv_amt]]-payment[[#This Row],[first_settle]]-SUMIF($E$8:E8,payment[[#This Row],[inv_num]],$L$8:L8)+payment[[#This Row],[pay_amt]],"-")</calculatedColumnFormula>
    </tableColumn>
    <tableColumn id="9" xr3:uid="{EE16E54E-B5FA-4553-96ED-E3AD52EA8292}" name="pay_amt"/>
    <tableColumn id="10" xr3:uid="{2075D70A-1FD9-48F4-97E0-63C88CAD2244}" name="balance_due_after" dataDxfId="133">
      <calculatedColumnFormula>IFERROR(payment[[#This Row],[balance_due_before]]-payment[[#This Row],[pay_amt]],"-")</calculatedColumnFormula>
    </tableColumn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B598E2-E65A-4D30-9FCB-904C225EFAA3}" name="customer_invoice" displayName="customer_invoice" ref="C7:T22" totalsRowShown="0" headerRowDxfId="126">
  <autoFilter ref="C7:T22" xr:uid="{AFEEFD43-908A-4684-89FA-BC9F66352025}"/>
  <tableColumns count="18">
    <tableColumn id="1" xr3:uid="{5CE08781-99C6-415C-96FB-768EFC247490}" name="ref" dataDxfId="125">
      <calculatedColumnFormula>IF(customer_invoice[[#This Row],[invoice_date]]&lt;&gt;"",MAX(payment[ref])+ROWS($C$8:C8),"-")</calculatedColumnFormula>
    </tableColumn>
    <tableColumn id="14" xr3:uid="{8575B029-A72F-43B3-8223-6C43288E29F1}" name="invoice_date" dataDxfId="124"/>
    <tableColumn id="15" xr3:uid="{BB6EA48D-04DF-45DC-B3CD-B1F20B929F93}" name="inv_num" dataDxfId="123">
      <calculatedColumnFormula>IF(customer_invoice[[#This Row],[invoice_date]]="","-",1000+ROWS($E$8:E8))</calculatedColumnFormula>
    </tableColumn>
    <tableColumn id="16" xr3:uid="{8FACD3C4-B76D-45DE-91BC-8CBDDE5DD039}" name="customer_ref" dataDxfId="122">
      <calculatedColumnFormula>IFERROR(LEFT(customer_invoice[[#This Row],[customer_name]],FIND("_",customer_invoice[[#This Row],[customer_name]])-1),"-")</calculatedColumnFormula>
    </tableColumn>
    <tableColumn id="2" xr3:uid="{2AC82413-4FD7-4ECA-AF04-25ED106CAFCC}" name="customer_name" dataDxfId="121"/>
    <tableColumn id="3" xr3:uid="{844246F7-F90E-427D-A469-699462460DEA}" name="description" dataDxfId="120"/>
    <tableColumn id="7" xr3:uid="{7C83C896-0E14-4054-B2DF-3FDBC969A1B7}" name="income_item_ref">
      <calculatedColumnFormula>IFERROR(LEFT(customer_invoice[[#This Row],[description]],FIND("|",customer_invoice[[#This Row],[description]])-1),"-")</calculatedColumnFormula>
    </tableColumn>
    <tableColumn id="4" xr3:uid="{EA404B33-F686-4FCE-A167-C2A9985A51D7}" name="inv_amt" dataDxfId="119"/>
    <tableColumn id="5" xr3:uid="{2B24E40B-38E2-41AC-B5D2-4CE4224F2F47}" name="tax_amt" dataDxfId="118">
      <calculatedColumnFormula>$O$1*customer_invoice[[#This Row],[inv_amt]]</calculatedColumnFormula>
    </tableColumn>
    <tableColumn id="6" xr3:uid="{95B9CAE9-D43D-4312-AFAE-5AA2A2A50B14}" name="net_amt" dataDxfId="117">
      <calculatedColumnFormula>customer_invoice[[#This Row],[inv_amt]]-customer_invoice[[#This Row],[tax_amt]]</calculatedColumnFormula>
    </tableColumn>
    <tableColumn id="17" xr3:uid="{F2007639-456D-41AE-B28B-E739DC9164A8}" name="payment_date" dataDxfId="116">
      <calculatedColumnFormula>IF(customer_invoice[[#This Row],[invoice_date]]="","-",customer_invoice[[#This Row],[invoice_date]])</calculatedColumnFormula>
    </tableColumn>
    <tableColumn id="13" xr3:uid="{741BB05C-702E-4A46-937B-F8AE20425165}" name="first_settle"/>
    <tableColumn id="18" xr3:uid="{F4E02636-64F6-4AE8-855A-18759D862BC6}" name="deposit_bank"/>
    <tableColumn id="8" xr3:uid="{0E3CDB44-3A83-4672-9A97-12049B339981}" name="credit1" dataDxfId="115">
      <calculatedColumnFormula>-customer_invoice[[#This Row],[net_amt]]</calculatedColumnFormula>
    </tableColumn>
    <tableColumn id="9" xr3:uid="{F5E99E5F-7A2B-43A7-A993-43F601AA7649}" name="credit2" dataDxfId="114">
      <calculatedColumnFormula>-customer_invoice[[#This Row],[tax_amt]]</calculatedColumnFormula>
    </tableColumn>
    <tableColumn id="10" xr3:uid="{C6255AD1-BCBA-4DD1-A764-E80843655E8B}" name="debit3" dataDxfId="113">
      <calculatedColumnFormula>customer_invoice[[#This Row],[inv_amt]]</calculatedColumnFormula>
    </tableColumn>
    <tableColumn id="11" xr3:uid="{29E1970E-8BC5-4E83-9190-1522D6084F76}" name="debit4" dataDxfId="112"/>
    <tableColumn id="12" xr3:uid="{D36BFB7A-B70B-47C2-AD97-E4D181E0C728}" name="credit4" dataDxfId="1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B9D6CDE-110D-4DA3-9D44-6EF7D557838E}" name="receipt" displayName="receipt" ref="C7:M22" totalsRowShown="0">
  <autoFilter ref="C7:M22" xr:uid="{E7891D47-D880-4C28-A997-F7D08CE214BE}"/>
  <tableColumns count="11">
    <tableColumn id="1" xr3:uid="{5E48305F-CD0B-4DC2-855D-A90CA7DA9CE6}" name="ref" dataDxfId="102">
      <calculatedColumnFormula>IF(receipt[[#This Row],[payment_date]]&lt;&gt;"",MAX(customer_invoice[ref])+ROWS($C$8:C8),"-")</calculatedColumnFormula>
    </tableColumn>
    <tableColumn id="2" xr3:uid="{BDEAFDC6-58D3-4523-8382-B93C3FCDBAD4}" name="payment_date" dataDxfId="101"/>
    <tableColumn id="3" xr3:uid="{AA382DEE-7BEA-4BCF-A6EC-44518C4949A8}" name="inv_num" dataDxfId="100"/>
    <tableColumn id="12" xr3:uid="{FB7CF117-F8FC-4DA2-94EF-41337212FC1A}" name="deposit_bank" dataDxfId="99"/>
    <tableColumn id="4" xr3:uid="{F29C4074-466D-46F2-9217-C2AFFCDCA1C9}" name="customer_ref" dataDxfId="98">
      <calculatedColumnFormula>IFERROR(_xlfn.XLOOKUP(receipt[[#This Row],[inv_num]],customer_invoice[inv_num],customer_invoice[customer_ref]),"-")</calculatedColumnFormula>
    </tableColumn>
    <tableColumn id="5" xr3:uid="{D7098A91-BB53-4363-8B17-9E24051FFCB5}" name="customer_name" dataDxfId="97">
      <calculatedColumnFormula>IFERROR(_xlfn.XLOOKUP(VALUE(receipt[[#This Row],[customer_ref]]),customer[ref],customer[display_name]),"-")</calculatedColumnFormula>
    </tableColumn>
    <tableColumn id="6" xr3:uid="{D8E09A18-4823-4FA1-8D1E-8C591DF3D354}" name="inv_amt" dataDxfId="96">
      <calculatedColumnFormula>IFERROR(_xlfn.XLOOKUP(receipt[[#This Row],[inv_num]],customer_invoice[inv_num],customer_invoice[inv_amt]),"-")</calculatedColumnFormula>
    </tableColumn>
    <tableColumn id="7" xr3:uid="{4FE09131-2C3C-4831-B1FD-74889C2A0823}" name="first_settle" dataDxfId="95">
      <calculatedColumnFormula>IFERROR(_xlfn.XLOOKUP(receipt[[#This Row],[inv_num]],customer_invoice[inv_num],customer_invoice[first_settle]),"-")</calculatedColumnFormula>
    </tableColumn>
    <tableColumn id="8" xr3:uid="{B18032C2-AD5B-496B-B3E3-0188FB59156A}" name="balance_due_before" dataDxfId="94">
      <calculatedColumnFormula>IFERROR(receipt[[#This Row],[inv_amt]]-receipt[[#This Row],[first_settle]]-SUMIF($E$8:E8,receipt[[#This Row],[inv_num]],$L$8:L8)+receipt[[#This Row],[receipt_amt]],"-")</calculatedColumnFormula>
    </tableColumn>
    <tableColumn id="9" xr3:uid="{92964A6A-B57D-4B4F-AC27-4B13A6421EDB}" name="receipt_amt"/>
    <tableColumn id="10" xr3:uid="{6D4D39FE-BB45-46F2-A31B-D38AC237EC30}" name="balance_due_after" dataDxfId="93">
      <calculatedColumnFormula>IFERROR(receipt[[#This Row],[balance_due_before]]-receipt[[#This Row],[receipt_amt]],"-")</calculatedColumn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E81C60-062F-4DC2-B6AD-A9C6DDD9840E}" name="cash_transactions" displayName="cash_transactions" ref="C7:Q22" totalsRowShown="0" headerRowDxfId="84">
  <autoFilter ref="C7:Q22" xr:uid="{AFEEFD43-908A-4684-89FA-BC9F66352025}"/>
  <tableColumns count="15">
    <tableColumn id="1" xr3:uid="{7E37A410-64AA-4FCB-9DD8-B37B0FC008D2}" name="ref" dataDxfId="83">
      <calculatedColumnFormula>IF(cash_transactions[[#This Row],[withdrawal_bank]]&lt;&gt;"",MAX(receipt[ref])+ROWS($C$8:C8),"-")</calculatedColumnFormula>
    </tableColumn>
    <tableColumn id="2" xr3:uid="{4FDD3F85-46D6-4FE1-ABD1-4273BD1956B0}" name="withdrawal_bank_ref" dataDxfId="82">
      <calculatedColumnFormula>IFERROR(
VALUE(RIGHT(cash_transactions[[#This Row],[withdrawal_bank]],LEN(cash_transactions[[#This Row],[withdrawal_bank]])-FIND("*",cash_transactions[[#This Row],[withdrawal_bank]]))),
"-")</calculatedColumnFormula>
    </tableColumn>
    <tableColumn id="3" xr3:uid="{E477D91A-BF30-4DBD-ADBB-F1C3C4CA9DB1}" name="withdrawal_bank" dataDxfId="81"/>
    <tableColumn id="12" xr3:uid="{BA0569C9-D3DE-4EDB-85B9-0BFBBFD4FE61}" name="withdrawal_bank_acct_eng" dataDxfId="80">
      <calculatedColumnFormula array="1">IFERROR(_xlfn.XLOOKUP(cash_transactions[[#This Row],[withdrawal_bank_ref]],bank_acct[ref],
_xlfn.XLOOKUP("eng",bank_acct[#Headers],bank_acct[])
), "-")</calculatedColumnFormula>
    </tableColumn>
    <tableColumn id="11" xr3:uid="{C3B4360A-8CD8-41EF-A9BE-97EB7DB05AFD}" name="trans_ref_wtd" dataDxfId="79"/>
    <tableColumn id="6" xr3:uid="{516A0DB8-2ECF-4764-B0B3-DCE27BA6AB4C}" name="withdrawn_amt" dataDxfId="78"/>
    <tableColumn id="4" xr3:uid="{46C6FC4C-007D-44A3-AEE9-6E15DAF87892}" name="deposit_bank_ref" dataDxfId="77">
      <calculatedColumnFormula>IFERROR(
VALUE(RIGHT(cash_transactions[[#This Row],[deposit_bank]],LEN(cash_transactions[[#This Row],[deposit_bank]])-FIND("*",cash_transactions[[#This Row],[deposit_bank]]))),
"--")</calculatedColumnFormula>
    </tableColumn>
    <tableColumn id="9" xr3:uid="{4D32CFF2-E2DE-4225-B663-D6F42DF8EA8B}" name="deposit_bank" dataDxfId="76"/>
    <tableColumn id="8" xr3:uid="{2B878DE6-11A0-4A63-8382-4EBE3A548B82}" name="error_msg" dataDxfId="75">
      <calculatedColumnFormula>cash_transactions[[#This Row],[interbank_dep_error_txt]]</calculatedColumnFormula>
    </tableColumn>
    <tableColumn id="13" xr3:uid="{341410E2-20A3-4307-9A16-A7CA73016C45}" name="deposit_bank_acct_eng" dataDxfId="74">
      <calculatedColumnFormula array="1">IFERROR(_xlfn.XLOOKUP(cash_transactions[[#This Row],[deposit_bank_ref]],bank_acct[ref],
_xlfn.XLOOKUP("eng",bank_acct[#Headers],bank_acct[])
), "--")</calculatedColumnFormula>
    </tableColumn>
    <tableColumn id="14" xr3:uid="{A5C2E698-B75B-437D-AA14-211A39E85BBC}" name="trans_ref_dep" dataDxfId="73"/>
    <tableColumn id="10" xr3:uid="{6A4DA623-F312-45F9-978D-127D9ECDA80B}" name="deposit_amt" dataDxfId="72">
      <calculatedColumnFormula>cash_transactions[[#This Row],[withdrawn_amt]]</calculatedColumnFormula>
    </tableColumn>
    <tableColumn id="5" xr3:uid="{33574B0F-3EA7-4838-912B-63B0AF79905B}" name="switch1" dataDxfId="71">
      <calculatedColumnFormula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calculatedColumnFormula>
    </tableColumn>
    <tableColumn id="7" xr3:uid="{FDE1DDCD-E294-4366-87DC-EF168D95DD8C}" name="error_switch" dataDxfId="70">
      <calculatedColumnFormula>--(cash_transactions[[#This Row],[deposit_bank_acct_eng]]=cash_transactions[[#This Row],[withdrawal_bank_acct_eng]])</calculatedColumnFormula>
    </tableColumn>
    <tableColumn id="15" xr3:uid="{AAE33B99-EF64-401B-84C7-1A61967335CF}" name="interbank_dep_error_txt" dataDxfId="69">
      <calculatedColumnFormula array="1">IFERROR(CHOOSE(cash_transactions[[#This Row],[error_switch]],
_xlfn.XLOOKUP(cash_transactions[[#Headers],[interbank_dep_error_txt]],field_list[field_name],
_xlfn.XLOOKUP($C$1,field_list[#Headers],field_list[])
)),"--")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AA2664-A050-4A4D-AB7C-FC58A6392764}" name="bank_acct" displayName="bank_acct" ref="C7:K22" totalsRowShown="0">
  <autoFilter ref="C7:K22" xr:uid="{627A36E1-5D4A-452B-9977-07915F32B419}"/>
  <tableColumns count="9">
    <tableColumn id="1" xr3:uid="{CD147BC0-16C6-44CD-82A5-1B6610C60472}" name="ref" dataDxfId="62">
      <calculatedColumnFormula>IF(bank_acct[[#This Row],[bank_num]]="","",ROWS($C$8:C8))</calculatedColumnFormula>
    </tableColumn>
    <tableColumn id="2" xr3:uid="{431E6283-1895-462B-BE2E-EE12F61D1107}" name="bank_num" dataDxfId="61"/>
    <tableColumn id="3" xr3:uid="{8D72C001-7F2E-4A5D-BFAA-FFFADF2AA855}" name="gl_acct_num"/>
    <tableColumn id="7" xr3:uid="{C8106E18-5C30-4DA4-9E7A-D328AD15A8FC}" name="gl_acct_name" dataDxfId="60">
      <calculatedColumnFormula array="1">_xlfn.XLOOKUP(bank_acct[[#This Row],[gl_acct_num]],chart_of_acct[ref],
_xlfn.XLOOKUP($C$1,chart_of_acct[#Headers],chart_of_acct[])
)</calculatedColumnFormula>
    </tableColumn>
    <tableColumn id="8" xr3:uid="{84C02129-C2EA-4399-985E-D23CBE3A6125}" name="withdrawal_bank" dataDxfId="59">
      <calculatedColumnFormula array="1">bank_acct[[#This Row],[gl_acct_num]]&amp;"|"&amp;_xlfn.XLOOKUP(bank_acct[[#This Row],[ref]],bank_acct[ref],
_xlfn.XLOOKUP(expense!$C$1,bank_acct[#Headers],bank_acct[])
)&amp;"*"&amp;bank_acct[[#This Row],[ref]]</calculatedColumnFormula>
    </tableColumn>
    <tableColumn id="4" xr3:uid="{502EA5E2-D41C-434C-BBB2-B5FF9111E860}" name="deposit_bank" dataDxfId="58">
      <calculatedColumnFormula array="1">bank_acct[[#This Row],[gl_acct_num]]&amp;"|"&amp;_xlfn.XLOOKUP(bank_acct[[#This Row],[ref]],bank_acct[ref],
_xlfn.XLOOKUP(income!$C$1,bank_acct[#Headers],bank_acct[])
)&amp;"*"&amp;bank_acct[[#This Row],[ref]]</calculatedColumnFormula>
    </tableColumn>
    <tableColumn id="9" xr3:uid="{55FCE78A-B3FC-4D8C-A896-44C4DAAB6103}" name="interbank" dataDxfId="57">
      <calculatedColumnFormula array="1">bank_acct[[#This Row],[gl_acct_num]]&amp;"|"&amp;_xlfn.XLOOKUP(bank_acct[[#This Row],[ref]],bank_acct[ref],
_xlfn.XLOOKUP(bank!$C$1,bank_acct[#Headers],bank_acct[])
)&amp;"*"&amp;bank_acct[[#This Row],[ref]]</calculatedColumnFormula>
    </tableColumn>
    <tableColumn id="5" xr3:uid="{6670A759-8979-4CA5-980E-91D024156C73}" name="eng" dataDxfId="56">
      <calculatedColumnFormula>IF(bank_acct[[#This Row],[bank_num]]="","-",bank_acct[[#This Row],[bank_num]])</calculatedColumnFormula>
    </tableColumn>
    <tableColumn id="6" xr3:uid="{1394DDC1-2B6F-4E28-9C9E-483A33D078CD}" name="jap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86D854-1030-468E-AA4F-6B450DA4860D}" name="table_summary" displayName="table_summary" ref="C7:G22" totalsRowShown="0">
  <autoFilter ref="C7:G22" xr:uid="{0B761DA9-DED4-4A4E-9AE6-D42038DCD508}"/>
  <tableColumns count="5">
    <tableColumn id="1" xr3:uid="{CDDA9949-FE88-4433-A234-5E86E40EE063}" name="ref" dataDxfId="52">
      <calculatedColumnFormula>ROWS($C$8:C8)-1</calculatedColumnFormula>
    </tableColumn>
    <tableColumn id="2" xr3:uid="{16436F22-BA12-47DD-906D-D28CCC40FF2C}" name="table_name" dataDxfId="51"/>
    <tableColumn id="5" xr3:uid="{14218B2E-3AEF-4837-B7A6-9C9CC4F5D9F0}" name="link_location" dataDxfId="50">
      <calculatedColumnFormula>IF(table_summary[[#This Row],[table_name]]="","-",
"#"&amp;table_summary[[#This Row],[table_name]]&amp;"!a3")</calculatedColumnFormula>
    </tableColumn>
    <tableColumn id="3" xr3:uid="{22A4DB07-9C9F-4B7D-BA05-E5120278E866}" name="eng"/>
    <tableColumn id="4" xr3:uid="{7E2C5DE5-283E-46B5-9E37-8777AC1B6B8D}" name="jap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044D5AD-4FD1-4FFA-B76C-1E2E4E5419F8}" name="vendor" displayName="vendor" ref="C7:L21" totalsRowShown="0">
  <autoFilter ref="C7:L21" xr:uid="{84173DDD-2E6B-4C6E-A79F-8C9FBCD4737B}"/>
  <tableColumns count="10">
    <tableColumn id="1" xr3:uid="{3F2FEB50-3632-4398-91C9-50E6F0F90097}" name="ref" dataDxfId="46">
      <calculatedColumnFormula>ROWS($C$7:C7)</calculatedColumnFormula>
    </tableColumn>
    <tableColumn id="2" xr3:uid="{B4A93B51-90E4-467D-AD8D-803A84CD4BFE}" name="vendor_name" dataDxfId="45"/>
    <tableColumn id="8" xr3:uid="{35898CFB-DF97-451E-B382-FCA8B8BDD3FC}" name="display_name" dataDxfId="44">
      <calculatedColumnFormula array="1">vendor[[#This Row],[ref]]&amp;"_"&amp;_xlfn.XLOOKUP(vendor[[#This Row],[vendor_name]],vendor[vendor_name],
_xlfn.XLOOKUP(expense!$C$1,vendor[#Headers],vendor[])
)</calculatedColumnFormula>
    </tableColumn>
    <tableColumn id="7" xr3:uid="{0E82C3BC-40B8-49CB-9D82-78AE8029F6E3}" name="approval_date" dataDxfId="13"/>
    <tableColumn id="3" xr3:uid="{D807FF88-8FB7-4BF3-B557-7E0E1610D3CE}" name="company_address" dataDxfId="12"/>
    <tableColumn id="4" xr3:uid="{41738F03-FA8C-401B-B0D6-976C58E81489}" name="contact_person" dataDxfId="11"/>
    <tableColumn id="5" xr3:uid="{76BFE08C-4C4A-4774-8397-7F004C5E1B7D}" name="contact_number" dataDxfId="10"/>
    <tableColumn id="6" xr3:uid="{F6A2DCA3-779B-4933-AF9E-B762075E0597}" name="email" dataDxfId="9"/>
    <tableColumn id="10" xr3:uid="{8D4D531B-12CB-4FD8-93E3-50848DADBAC8}" name="eng" dataDxfId="8"/>
    <tableColumn id="9" xr3:uid="{30149F6D-DA32-4731-AE13-71B782A8F058}" name="jap" dataDxfId="7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F2B8C0-AEF2-4367-ADDB-3B6C0A85284B}" name="customer" displayName="customer" ref="C7:L22" totalsRowShown="0">
  <autoFilter ref="C7:L22" xr:uid="{75D5587D-A66A-4A02-8CDF-DFA16E454039}"/>
  <tableColumns count="10">
    <tableColumn id="1" xr3:uid="{0AD0D8D7-7E20-4668-96F6-D347BECC35E5}" name="ref" dataDxfId="40">
      <calculatedColumnFormula>ROWS($C$8:C8)</calculatedColumnFormula>
    </tableColumn>
    <tableColumn id="2" xr3:uid="{8DAE8826-1B5E-4E11-8DEF-4C83D4269D8D}" name="customer_name" dataDxfId="39"/>
    <tableColumn id="11" xr3:uid="{0B85F744-8BF3-4B17-800A-D632E71AE8D2}" name="display_name" dataDxfId="38">
      <calculatedColumnFormula array="1">customer[[#This Row],[ref]]&amp;"_"&amp;_xlfn.XLOOKUP(customer[[#This Row],[customer_name]],customer[customer_name],
_xlfn.XLOOKUP(income!$C$1,customer[#Headers],customer[])
)</calculatedColumnFormula>
    </tableColumn>
    <tableColumn id="3" xr3:uid="{82CDC06C-9083-4FC1-BC00-AD6A04176DE9}" name="approval_date" dataDxfId="6"/>
    <tableColumn id="4" xr3:uid="{B4E64D3C-F6AB-49EC-8E68-D3A87C9227A6}" name="company_address" dataDxfId="5"/>
    <tableColumn id="5" xr3:uid="{3FCE97D4-E69A-4AFD-B414-EA50442E9B0B}" name="contact_person" dataDxfId="4"/>
    <tableColumn id="6" xr3:uid="{FB0F4EDE-112B-4378-9027-9C06901B6D5D}" name="contact_number" dataDxfId="3"/>
    <tableColumn id="7" xr3:uid="{9D1FE71C-4DDF-45A2-A141-3212AD4C475B}" name="email" dataDxfId="2"/>
    <tableColumn id="10" xr3:uid="{98576F93-FA75-4072-A822-8F9CE45E5F4C}" name="eng" dataDxfId="1"/>
    <tableColumn id="9" xr3:uid="{C3F0BE35-0BFB-45E5-A5EB-A1EC57A81E77}" name="jap" dataDxfId="0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C53749-3778-4EF7-9C8D-AD89D9CA6EF7}" name="language" displayName="language" ref="C7:F12" totalsRowShown="0">
  <autoFilter ref="C7:F12" xr:uid="{5E7CD456-0CD5-4BB9-8402-6281BE024F26}"/>
  <tableColumns count="4">
    <tableColumn id="1" xr3:uid="{9B0A0BAB-084D-4B7B-92F1-4921B02A23A5}" name="ref" dataDxfId="35">
      <calculatedColumnFormula>ROWS($C$8:C8)</calculatedColumnFormula>
    </tableColumn>
    <tableColumn id="2" xr3:uid="{F0B9088D-6160-4964-B874-19317227DB77}" name="code" dataDxfId="34"/>
    <tableColumn id="3" xr3:uid="{D13253D9-145A-4836-A6D0-645C0F7F6ADA}" name="eng" dataDxfId="33"/>
    <tableColumn id="4" xr3:uid="{A056AFEB-A806-491D-83C3-EC9AC71A8C04}" name="jap" dataDxfId="32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A5F48E-3B00-4E26-8F16-BFA2C8AC455C}" name="chart_of_acct" displayName="chart_of_acct" ref="C7:I28" totalsRowShown="0" headerRowDxfId="27">
  <autoFilter ref="C7:I28" xr:uid="{1C26A1D0-75BA-4EF7-9341-17FDB01C6650}"/>
  <tableColumns count="7">
    <tableColumn id="1" xr3:uid="{57CA49CE-F1A6-4C38-AE0F-691C8378F947}" name="ref" dataDxfId="26"/>
    <tableColumn id="4" xr3:uid="{8C3C349F-5B02-4796-A822-1C2D02F8C23A}" name="tax_code" dataDxfId="14"/>
    <tableColumn id="5" xr3:uid="{01C4008D-3F38-4A51-B6DC-9778D665D926}" name="process_type"/>
    <tableColumn id="8" xr3:uid="{E840A15A-24B7-4E4D-B3C2-2EC543785C01}" name="source_lang" dataDxfId="25">
      <calculatedColumnFormula array="1">IF(chart_of_acct[[#This Row],[process_type]]="P",INDIRECT("expense!$c$1"),
IF(chart_of_acct[[#This Row],[process_type]]="R",INDIRECT("income!$c$1"),
"-"))</calculatedColumnFormula>
    </tableColumn>
    <tableColumn id="3" xr3:uid="{FF9D79A0-091A-4E8C-AE81-0366FD7E1DCC}" name="display_name" dataDxfId="24">
      <calculatedColumnFormula array="1">IFERROR(_xlfn.XLOOKUP(chart_of_acct[[#This Row],[ref]],chart_of_acct[ref],chart_of_acct[[#This Row],[ref]]&amp;"|"&amp;_xlfn.XLOOKUP(chart_of_acct[[#This Row],[source_lang]],chart_of_acct[#Headers],chart_of_acct[])
),"-")</calculatedColumnFormula>
    </tableColumn>
    <tableColumn id="6" xr3:uid="{12BA5F75-6249-4BE9-8B95-AB1070AF5878}" name="eng" dataDxfId="23"/>
    <tableColumn id="7" xr3:uid="{201C99D1-4D94-4F2F-89DA-AA7B4E1F5521}" name="jap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F481BC-1EE3-48B8-B123-286EA15F5173}" name="field_list" displayName="field_list" ref="C7:F67" totalsRowShown="0">
  <autoFilter ref="C7:F67" xr:uid="{C58E439D-6CE8-47C9-A705-3C60267B9BA1}"/>
  <tableColumns count="4">
    <tableColumn id="1" xr3:uid="{47E05341-2708-4911-A66F-68F1D333C985}" name="ref" dataDxfId="16">
      <calculatedColumnFormula>ROWS($C$8:C8)</calculatedColumnFormula>
    </tableColumn>
    <tableColumn id="2" xr3:uid="{94AE9773-2421-4615-91C9-FD9112DC97E3}" name="field_name" dataDxfId="15"/>
    <tableColumn id="3" xr3:uid="{1532B1FB-6A6A-4737-86FF-135AE2F6C8D3}" name="eng"/>
    <tableColumn id="4" xr3:uid="{8924815E-9F81-4515-99EC-D1CDA7B9C458}" name="jap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DEA2-0DC5-43AC-A8B6-FB5E02B72CEA}">
  <sheetPr codeName="Sheet1">
    <tabColor rgb="FFFFC000"/>
  </sheetPr>
  <dimension ref="A1:D22"/>
  <sheetViews>
    <sheetView showGridLines="0" workbookViewId="0">
      <selection activeCell="A9" sqref="A9"/>
    </sheetView>
  </sheetViews>
  <sheetFormatPr defaultRowHeight="14.4"/>
  <cols>
    <col min="1" max="1" width="22.6640625" customWidth="1"/>
    <col min="4" max="4" width="19.6640625" bestFit="1" customWidth="1"/>
  </cols>
  <sheetData>
    <row r="1" spans="1:4">
      <c r="A1" t="str" cm="1">
        <f t="array" aca="1" ref="A1" ca="1">MID(CELL("filename",$A$1),FIND("]",CELL("filename",$A$1))+1,31)</f>
        <v>master</v>
      </c>
      <c r="C1" s="18" t="s">
        <v>31</v>
      </c>
      <c r="D1" s="10" t="str" cm="1">
        <f t="array" ref="D1">_xlfn.XLOOKUP(C1,language[code],_xlfn.XLOOKUP(C1,language[#Headers],language[]))</f>
        <v>English</v>
      </c>
    </row>
    <row r="2" spans="1:4" ht="20.399999999999999">
      <c r="A2" s="14" t="str" cm="1">
        <f t="array" aca="1" ref="A2" ca="1">_xlfn.XLOOKUP($A$1,table_summary[table_name],
_xlfn.XLOOKUP($C$1,table_summary[#Headers],table_summary[])
)</f>
        <v>Master Table</v>
      </c>
    </row>
    <row r="8" spans="1:4">
      <c r="A8" s="21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</row>
    <row r="9" spans="1:4">
      <c r="A9" s="21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</row>
    <row r="10" spans="1:4">
      <c r="A10" s="21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</row>
    <row r="11" spans="1:4">
      <c r="A11" s="21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</row>
    <row r="12" spans="1:4">
      <c r="A12" s="21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</row>
    <row r="13" spans="1:4">
      <c r="A13" s="21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</row>
    <row r="14" spans="1:4">
      <c r="A14" s="21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</row>
    <row r="15" spans="1:4">
      <c r="A15" s="21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</row>
    <row r="16" spans="1:4">
      <c r="A16" s="21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</row>
    <row r="17" spans="1:1">
      <c r="A17" s="21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</row>
    <row r="18" spans="1:1">
      <c r="A18" s="21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</row>
    <row r="19" spans="1:1">
      <c r="A19" s="21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</row>
    <row r="20" spans="1:1">
      <c r="A20" s="21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</row>
    <row r="21" spans="1:1">
      <c r="A21" s="21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</row>
    <row r="22" spans="1:1">
      <c r="A22" s="21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</row>
  </sheetData>
  <conditionalFormatting sqref="A8:A22">
    <cfRule type="expression" dxfId="177" priority="1">
      <formula>A8=0</formula>
    </cfRule>
    <cfRule type="expression" dxfId="176" priority="2">
      <formula>A8=$A$2</formula>
    </cfRule>
  </conditionalFormatting>
  <dataValidations count="1">
    <dataValidation type="list" allowBlank="1" showInputMessage="1" showErrorMessage="1" sqref="C1" xr:uid="{B93D715F-D24D-4C2E-8A5D-9361752E813F}">
      <formula1>select_lang_code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BB0BB-474D-4BCA-B413-0FE9B7D05AFB}">
  <sheetPr codeName="Sheet2">
    <tabColor rgb="FFFF0000"/>
  </sheetPr>
  <dimension ref="A1:U22"/>
  <sheetViews>
    <sheetView showGridLines="0" tabSelected="1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O8" sqref="O8"/>
    </sheetView>
  </sheetViews>
  <sheetFormatPr defaultRowHeight="14.4" outlineLevelRow="1" outlineLevelCol="1"/>
  <cols>
    <col min="1" max="1" width="25.44140625" customWidth="1"/>
    <col min="2" max="2" width="6.21875" customWidth="1"/>
    <col min="3" max="3" width="9.88671875" bestFit="1" customWidth="1"/>
    <col min="4" max="4" width="14.33203125" bestFit="1" customWidth="1"/>
    <col min="5" max="5" width="12.88671875" bestFit="1" customWidth="1"/>
    <col min="6" max="6" width="12.88671875" hidden="1" customWidth="1" outlineLevel="1"/>
    <col min="7" max="7" width="15" bestFit="1" customWidth="1" collapsed="1"/>
    <col min="8" max="8" width="29.5546875" bestFit="1" customWidth="1"/>
    <col min="9" max="9" width="22.33203125" hidden="1" customWidth="1" outlineLevel="1"/>
    <col min="10" max="10" width="14.6640625" bestFit="1" customWidth="1" collapsed="1"/>
    <col min="11" max="11" width="11.21875" customWidth="1"/>
    <col min="12" max="13" width="16" customWidth="1"/>
    <col min="14" max="14" width="19.21875" customWidth="1"/>
    <col min="15" max="15" width="20.5546875" bestFit="1" customWidth="1"/>
    <col min="16" max="16" width="8.88671875" hidden="1" customWidth="1" outlineLevel="1"/>
    <col min="17" max="17" width="15" hidden="1" customWidth="1" outlineLevel="1"/>
    <col min="18" max="20" width="8.88671875" hidden="1" customWidth="1" outlineLevel="1"/>
    <col min="21" max="21" width="8.88671875" collapsed="1"/>
  </cols>
  <sheetData>
    <row r="1" spans="1:21">
      <c r="A1" t="str" cm="1">
        <f t="array" aca="1" ref="A1" ca="1">MID(CELL("filename",$A$1),FIND("]",CELL("filename",$A$1))+1,31)</f>
        <v>expense</v>
      </c>
      <c r="C1" s="18" t="s">
        <v>31</v>
      </c>
      <c r="D1" s="10" t="str" cm="1">
        <f t="array" ref="D1">_xlfn.XLOOKUP(C1,language[code],_xlfn.XLOOKUP(C1,language[#Headers],language[]))</f>
        <v>English</v>
      </c>
      <c r="E1" s="10"/>
      <c r="F1" s="10"/>
      <c r="O1" s="5">
        <v>0.12</v>
      </c>
      <c r="P1" s="4" t="s">
        <v>9</v>
      </c>
      <c r="U1" s="2"/>
    </row>
    <row r="2" spans="1:21" ht="20.399999999999999">
      <c r="A2" s="14" t="str" cm="1">
        <f t="array" aca="1" ref="A2" ca="1">_xlfn.XLOOKUP($A$1,table_summary[table_name],
_xlfn.XLOOKUP($C$1,table_summary[#Headers],table_summary[])
)</f>
        <v>Vendor Invoice</v>
      </c>
      <c r="H2" s="14" t="str" cm="1">
        <f t="array" aca="1" ref="H2" ca="1">_xlfn.XLOOKUP($A$1,table_summary[table_name],
_xlfn.XLOOKUP($C$1,table_summary[#Headers],table_summary[])
)</f>
        <v>Vendor Invoice</v>
      </c>
      <c r="U2" s="3"/>
    </row>
    <row r="3" spans="1:21">
      <c r="U3" s="4"/>
    </row>
    <row r="6" spans="1:21" ht="58.2" thickBot="1">
      <c r="C6" s="74" t="str" cm="1">
        <f t="array" ref="C6">_xlfn.XLOOKUP(C7,field_list[field_name],
_xlfn.XLOOKUP($C$1,field_list[#Headers],field_list[]))</f>
        <v>Reference</v>
      </c>
      <c r="D6" s="74" t="str" cm="1">
        <f t="array" ref="D6">_xlfn.XLOOKUP(D7,field_list[field_name],
_xlfn.XLOOKUP($C$1,field_list[#Headers],field_list[]))</f>
        <v>Invoice Date
(mm/dd/yyyy)</v>
      </c>
      <c r="E6" s="74" t="str" cm="1">
        <f t="array" ref="E6">_xlfn.XLOOKUP(E7,field_list[field_name],
_xlfn.XLOOKUP($C$1,field_list[#Headers],field_list[]))</f>
        <v>Invoice Number</v>
      </c>
      <c r="F6" s="74" t="str" cm="1">
        <f t="array" ref="F6">_xlfn.XLOOKUP(F7,field_list[field_name],
_xlfn.XLOOKUP($C$1,field_list[#Headers],field_list[]))</f>
        <v>Vendor Ref</v>
      </c>
      <c r="G6" s="74" t="str" cm="1">
        <f t="array" ref="G6">_xlfn.XLOOKUP(G7,field_list[field_name],
_xlfn.XLOOKUP($C$1,field_list[#Headers],field_list[]))</f>
        <v>Vendor</v>
      </c>
      <c r="H6" s="74" t="str" cm="1">
        <f t="array" ref="H6">_xlfn.XLOOKUP(H7,field_list[field_name],
_xlfn.XLOOKUP($C$1,field_list[#Headers],field_list[]))</f>
        <v>Description</v>
      </c>
      <c r="I6" s="74" t="str" cm="1">
        <f t="array" ref="I6">_xlfn.XLOOKUP(I7,field_list[field_name],
_xlfn.XLOOKUP($C$1,field_list[#Headers],field_list[]))</f>
        <v>Expense Item Reference</v>
      </c>
      <c r="J6" s="74" t="str" cm="1">
        <f t="array" ref="J6">_xlfn.XLOOKUP(J7,field_list[field_name],
_xlfn.XLOOKUP($C$1,field_list[#Headers],field_list[]))</f>
        <v>Invoice Amount
(Net Of Discount
(Before Tax)</v>
      </c>
      <c r="K6" s="74" t="str" cm="1">
        <f t="array" ref="K6">_xlfn.XLOOKUP(K7,field_list[field_name],
_xlfn.XLOOKUP($C$1,field_list[#Headers],field_list[]))</f>
        <v>Tax Amount</v>
      </c>
      <c r="L6" s="74" t="str" cm="1">
        <f t="array" ref="L6">_xlfn.XLOOKUP(L7,field_list[field_name],
_xlfn.XLOOKUP($C$1,field_list[#Headers],field_list[]))</f>
        <v>Net</v>
      </c>
      <c r="M6" s="75" t="str" cm="1">
        <f t="array" ref="M6">_xlfn.XLOOKUP(M7,field_list[field_name],
_xlfn.XLOOKUP($C$1,field_list[#Headers],field_list[]))</f>
        <v>Payment Date
(mm/dd/yyyy)</v>
      </c>
      <c r="N6" s="74" t="str" cm="1">
        <f t="array" ref="N6">_xlfn.XLOOKUP(N7,field_list[field_name],
_xlfn.XLOOKUP($C$1,field_list[#Headers],field_list[]))</f>
        <v>Amount settled
 (if any)
on the invoice date</v>
      </c>
      <c r="O6" s="74" t="str" cm="1">
        <f t="array" ref="O6">_xlfn.XLOOKUP(O7,field_list[field_name],
_xlfn.XLOOKUP($C$1,field_list[#Headers],field_list[]))</f>
        <v>Bank (Withdrawal)</v>
      </c>
    </row>
    <row r="7" spans="1:21" hidden="1" outlineLevel="1">
      <c r="C7" s="1" t="s">
        <v>0</v>
      </c>
      <c r="D7" s="1" t="s">
        <v>153</v>
      </c>
      <c r="E7" s="1" t="s">
        <v>248</v>
      </c>
      <c r="F7" s="1" t="s">
        <v>254</v>
      </c>
      <c r="G7" s="1" t="s">
        <v>2</v>
      </c>
      <c r="H7" s="1" t="s">
        <v>1</v>
      </c>
      <c r="I7" s="1" t="s">
        <v>271</v>
      </c>
      <c r="J7" s="1" t="s">
        <v>3</v>
      </c>
      <c r="K7" s="1" t="s">
        <v>4</v>
      </c>
      <c r="L7" s="1" t="s">
        <v>5</v>
      </c>
      <c r="M7" s="57" t="s">
        <v>202</v>
      </c>
      <c r="N7" s="1" t="s">
        <v>279</v>
      </c>
      <c r="O7" s="1" t="s">
        <v>18</v>
      </c>
      <c r="P7" s="1" t="s">
        <v>104</v>
      </c>
      <c r="Q7" s="1" t="s">
        <v>106</v>
      </c>
      <c r="R7" s="1" t="s">
        <v>109</v>
      </c>
      <c r="S7" s="1" t="s">
        <v>110</v>
      </c>
      <c r="T7" s="1" t="s">
        <v>111</v>
      </c>
    </row>
    <row r="8" spans="1:21" ht="21.6" collapsed="1" thickTop="1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IF(vendor_invoice[[#This Row],[invoice_date]]&lt;&gt;"",ROWS($C$8:C8),"-")</f>
        <v>1</v>
      </c>
      <c r="D8" s="44" t="s">
        <v>205</v>
      </c>
      <c r="E8">
        <f>IF(vendor_invoice[[#This Row],[invoice_date]]="","-",1000+vendor_invoice[[#This Row],[ref]])</f>
        <v>1001</v>
      </c>
      <c r="F8" s="33" t="str">
        <f>IFERROR(LEFT(vendor_invoice[[#This Row],[vendor_name]],FIND("_",vendor_invoice[[#This Row],[vendor_name]])-1),"-")</f>
        <v>1</v>
      </c>
      <c r="G8" s="2" t="s">
        <v>260</v>
      </c>
      <c r="H8" s="34" t="s">
        <v>274</v>
      </c>
      <c r="I8" t="str">
        <f>IFERROR(LEFT(vendor_invoice[[#This Row],[description]],FIND("|",vendor_invoice[[#This Row],[description]])-1),"-")</f>
        <v>9060</v>
      </c>
      <c r="J8" s="34">
        <v>100</v>
      </c>
      <c r="K8" s="6">
        <f>$O$1*vendor_invoice[[#This Row],[inv_amt]]</f>
        <v>12</v>
      </c>
      <c r="L8">
        <f>vendor_invoice[[#This Row],[inv_amt]]-vendor_invoice[[#This Row],[tax_amt]]</f>
        <v>88</v>
      </c>
      <c r="M8" s="37" t="str">
        <f>vendor_invoice[[#This Row],[invoice_date]]</f>
        <v>06/01/2020</v>
      </c>
      <c r="O8" s="34"/>
      <c r="P8" s="4">
        <f>vendor_invoice[[#This Row],[net_amt]]</f>
        <v>88</v>
      </c>
      <c r="Q8" s="4">
        <f>vendor_invoice[[#This Row],[tax_amt]]</f>
        <v>12</v>
      </c>
      <c r="R8" s="4">
        <f>-vendor_invoice[[#This Row],[inv_amt]]</f>
        <v>-100</v>
      </c>
      <c r="S8" s="4"/>
      <c r="T8" s="4"/>
    </row>
    <row r="9" spans="1:21" ht="21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IF(vendor_invoice[[#This Row],[invoice_date]]&lt;&gt;"",ROWS($C$8:C9),"-")</f>
        <v>2</v>
      </c>
      <c r="D9" s="44" t="s">
        <v>206</v>
      </c>
      <c r="E9">
        <f>IF(vendor_invoice[[#This Row],[invoice_date]]="","-",1000+vendor_invoice[[#This Row],[ref]])</f>
        <v>1002</v>
      </c>
      <c r="F9" s="45" t="str">
        <f>IFERROR(LEFT(vendor_invoice[[#This Row],[vendor_name]],FIND("_",vendor_invoice[[#This Row],[vendor_name]])-1),"-")</f>
        <v>2</v>
      </c>
      <c r="G9" s="2" t="s">
        <v>261</v>
      </c>
      <c r="H9" s="34" t="s">
        <v>276</v>
      </c>
      <c r="I9" t="str">
        <f>IFERROR(LEFT(vendor_invoice[[#This Row],[description]],FIND("|",vendor_invoice[[#This Row],[description]])-1),"-")</f>
        <v>9200</v>
      </c>
      <c r="J9" s="34">
        <v>200</v>
      </c>
      <c r="K9" s="6">
        <f>$O$1*vendor_invoice[[#This Row],[inv_amt]]</f>
        <v>24</v>
      </c>
      <c r="L9">
        <f>vendor_invoice[[#This Row],[inv_amt]]-vendor_invoice[[#This Row],[tax_amt]]</f>
        <v>176</v>
      </c>
      <c r="M9" s="37" t="str">
        <f>vendor_invoice[[#This Row],[invoice_date]]</f>
        <v>05/31/2020</v>
      </c>
      <c r="N9">
        <v>200</v>
      </c>
      <c r="O9" s="34" t="s">
        <v>369</v>
      </c>
      <c r="P9" s="4">
        <f>vendor_invoice[[#This Row],[net_amt]]</f>
        <v>176</v>
      </c>
      <c r="Q9" s="4">
        <f>vendor_invoice[[#This Row],[tax_amt]]</f>
        <v>24</v>
      </c>
      <c r="R9" s="4">
        <f>-vendor_invoice[[#This Row],[inv_amt]]</f>
        <v>-200</v>
      </c>
      <c r="S9" s="4"/>
      <c r="T9" s="4"/>
    </row>
    <row r="10" spans="1:21" ht="21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IF(vendor_invoice[[#This Row],[invoice_date]]&lt;&gt;"",ROWS($C$8:C10),"-")</f>
        <v>3</v>
      </c>
      <c r="D10" s="44" t="s">
        <v>207</v>
      </c>
      <c r="E10">
        <f>IF(vendor_invoice[[#This Row],[invoice_date]]="","-",1000+vendor_invoice[[#This Row],[ref]])</f>
        <v>1003</v>
      </c>
      <c r="F10" s="45" t="str">
        <f>IFERROR(LEFT(vendor_invoice[[#This Row],[vendor_name]],FIND("_",vendor_invoice[[#This Row],[vendor_name]])-1),"-")</f>
        <v>3</v>
      </c>
      <c r="G10" s="2" t="s">
        <v>262</v>
      </c>
      <c r="H10" s="34" t="s">
        <v>277</v>
      </c>
      <c r="I10" t="str">
        <f>IFERROR(LEFT(vendor_invoice[[#This Row],[description]],FIND("|",vendor_invoice[[#This Row],[description]])-1),"-")</f>
        <v>8523</v>
      </c>
      <c r="J10" s="34">
        <v>300</v>
      </c>
      <c r="K10" s="6">
        <f>$O$1*vendor_invoice[[#This Row],[inv_amt]]</f>
        <v>36</v>
      </c>
      <c r="L10">
        <f>vendor_invoice[[#This Row],[inv_amt]]-vendor_invoice[[#This Row],[tax_amt]]</f>
        <v>264</v>
      </c>
      <c r="M10" s="37" t="str">
        <f>vendor_invoice[[#This Row],[invoice_date]]</f>
        <v>05/30/2020</v>
      </c>
      <c r="N10">
        <v>100</v>
      </c>
      <c r="O10" s="34" t="s">
        <v>338</v>
      </c>
      <c r="P10" s="4">
        <f>vendor_invoice[[#This Row],[net_amt]]</f>
        <v>264</v>
      </c>
      <c r="Q10" s="4">
        <f>vendor_invoice[[#This Row],[tax_amt]]</f>
        <v>36</v>
      </c>
      <c r="R10" s="4">
        <f>-vendor_invoice[[#This Row],[inv_amt]]</f>
        <v>-300</v>
      </c>
      <c r="S10" s="4"/>
      <c r="T10" s="4"/>
    </row>
    <row r="11" spans="1:21" ht="21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>
        <f>IF(vendor_invoice[[#This Row],[invoice_date]]&lt;&gt;"",ROWS($C$8:C11),"-")</f>
        <v>4</v>
      </c>
      <c r="D11" s="44" t="s">
        <v>208</v>
      </c>
      <c r="E11">
        <f>IF(vendor_invoice[[#This Row],[invoice_date]]="","-",1000+vendor_invoice[[#This Row],[ref]])</f>
        <v>1004</v>
      </c>
      <c r="F11" s="45" t="str">
        <f>IFERROR(LEFT(vendor_invoice[[#This Row],[vendor_name]],FIND("_",vendor_invoice[[#This Row],[vendor_name]])-1),"-")</f>
        <v>1</v>
      </c>
      <c r="G11" s="2" t="s">
        <v>260</v>
      </c>
      <c r="H11" s="34" t="s">
        <v>275</v>
      </c>
      <c r="I11" t="str">
        <f>IFERROR(LEFT(vendor_invoice[[#This Row],[description]],FIND("|",vendor_invoice[[#This Row],[description]])-1),"-")</f>
        <v>9060</v>
      </c>
      <c r="J11" s="34">
        <v>400</v>
      </c>
      <c r="K11" s="6">
        <f>$O$1*vendor_invoice[[#This Row],[inv_amt]]</f>
        <v>48</v>
      </c>
      <c r="L11">
        <f>vendor_invoice[[#This Row],[inv_amt]]-vendor_invoice[[#This Row],[tax_amt]]</f>
        <v>352</v>
      </c>
      <c r="M11" s="37" t="str">
        <f>vendor_invoice[[#This Row],[invoice_date]]</f>
        <v>05/29/2020</v>
      </c>
      <c r="N11">
        <v>100</v>
      </c>
      <c r="O11" s="34" t="s">
        <v>339</v>
      </c>
      <c r="P11" s="4">
        <f>vendor_invoice[[#This Row],[net_amt]]</f>
        <v>352</v>
      </c>
      <c r="Q11" s="4">
        <f>vendor_invoice[[#This Row],[tax_amt]]</f>
        <v>48</v>
      </c>
      <c r="R11" s="4">
        <f>-vendor_invoice[[#This Row],[inv_amt]]</f>
        <v>-400</v>
      </c>
      <c r="S11" s="4"/>
      <c r="T11" s="4"/>
    </row>
    <row r="12" spans="1:21" ht="21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IF(vendor_invoice[[#This Row],[invoice_date]]&lt;&gt;"",ROWS($C$8:C12),"-")</f>
        <v>5</v>
      </c>
      <c r="D12" s="52" t="s">
        <v>205</v>
      </c>
      <c r="E12">
        <f>IF(vendor_invoice[[#This Row],[invoice_date]]="","-",1000+vendor_invoice[[#This Row],[ref]])</f>
        <v>1005</v>
      </c>
      <c r="F12" s="45" t="str">
        <f>IFERROR(LEFT(vendor_invoice[[#This Row],[vendor_name]],FIND("_",vendor_invoice[[#This Row],[vendor_name]])-1),"-")</f>
        <v>2</v>
      </c>
      <c r="G12" s="2" t="s">
        <v>261</v>
      </c>
      <c r="H12" s="34" t="s">
        <v>291</v>
      </c>
      <c r="I12" t="str">
        <f>IFERROR(LEFT(vendor_invoice[[#This Row],[description]],FIND("|",vendor_invoice[[#This Row],[description]])-1),"-")</f>
        <v>8520</v>
      </c>
      <c r="J12" s="34">
        <v>500</v>
      </c>
      <c r="K12" s="6">
        <f>$O$1*vendor_invoice[[#This Row],[inv_amt]]</f>
        <v>60</v>
      </c>
      <c r="L12">
        <f>vendor_invoice[[#This Row],[inv_amt]]-vendor_invoice[[#This Row],[tax_amt]]</f>
        <v>440</v>
      </c>
      <c r="M12" s="37" t="str">
        <f>vendor_invoice[[#This Row],[invoice_date]]</f>
        <v>06/01/2020</v>
      </c>
      <c r="N12">
        <v>450</v>
      </c>
      <c r="O12" s="34" t="s">
        <v>338</v>
      </c>
      <c r="P12" s="4">
        <f>vendor_invoice[[#This Row],[net_amt]]</f>
        <v>440</v>
      </c>
      <c r="Q12" s="4">
        <f>vendor_invoice[[#This Row],[tax_amt]]</f>
        <v>60</v>
      </c>
      <c r="R12" s="4">
        <f>-vendor_invoice[[#This Row],[inv_amt]]</f>
        <v>-500</v>
      </c>
      <c r="S12" s="4"/>
      <c r="T12" s="4"/>
    </row>
    <row r="13" spans="1:21" ht="21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 t="str">
        <f>IF(vendor_invoice[[#This Row],[invoice_date]]&lt;&gt;"",ROWS($C$8:C13),"-")</f>
        <v>-</v>
      </c>
      <c r="D13" s="44"/>
      <c r="E13" t="str">
        <f>IF(vendor_invoice[[#This Row],[invoice_date]]="","-",1000+vendor_invoice[[#This Row],[ref]])</f>
        <v>-</v>
      </c>
      <c r="F13" s="45" t="str">
        <f>IFERROR(LEFT(vendor_invoice[[#This Row],[vendor_name]],FIND("_",vendor_invoice[[#This Row],[vendor_name]])-1),"-")</f>
        <v>-</v>
      </c>
      <c r="G13" s="2"/>
      <c r="H13" s="34"/>
      <c r="I13" s="33" t="str">
        <f>IFERROR(LEFT(vendor_invoice[[#This Row],[description]],FIND("|",vendor_invoice[[#This Row],[description]])-1),"-")</f>
        <v>-</v>
      </c>
      <c r="J13" s="34"/>
      <c r="K13" s="51">
        <f>$O$1*vendor_invoice[[#This Row],[inv_amt]]</f>
        <v>0</v>
      </c>
      <c r="L13" s="33">
        <f>vendor_invoice[[#This Row],[inv_amt]]-vendor_invoice[[#This Row],[tax_amt]]</f>
        <v>0</v>
      </c>
      <c r="M13" s="56">
        <f>vendor_invoice[[#This Row],[invoice_date]]</f>
        <v>0</v>
      </c>
      <c r="O13" s="34"/>
      <c r="P13" s="36">
        <f>vendor_invoice[[#This Row],[net_amt]]</f>
        <v>0</v>
      </c>
      <c r="Q13" s="36">
        <f>vendor_invoice[[#This Row],[tax_amt]]</f>
        <v>0</v>
      </c>
      <c r="R13" s="36">
        <f>-vendor_invoice[[#This Row],[inv_amt]]</f>
        <v>0</v>
      </c>
      <c r="S13" s="4"/>
      <c r="T13" s="4"/>
    </row>
    <row r="14" spans="1:21" ht="21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 t="str">
        <f>IF(vendor_invoice[[#This Row],[invoice_date]]&lt;&gt;"",ROWS($C$8:C14),"-")</f>
        <v>-</v>
      </c>
      <c r="D14" s="44"/>
      <c r="E14" t="str">
        <f>IF(vendor_invoice[[#This Row],[invoice_date]]="","-",1000+vendor_invoice[[#This Row],[ref]])</f>
        <v>-</v>
      </c>
      <c r="F14" s="45" t="str">
        <f>IFERROR(LEFT(vendor_invoice[[#This Row],[vendor_name]],FIND("_",vendor_invoice[[#This Row],[vendor_name]])-1),"-")</f>
        <v>-</v>
      </c>
      <c r="G14" s="2"/>
      <c r="H14" s="34"/>
      <c r="I14" s="33" t="str">
        <f>IFERROR(LEFT(vendor_invoice[[#This Row],[description]],FIND("|",vendor_invoice[[#This Row],[description]])-1),"-")</f>
        <v>-</v>
      </c>
      <c r="J14" s="34"/>
      <c r="K14" s="51">
        <f>$O$1*vendor_invoice[[#This Row],[inv_amt]]</f>
        <v>0</v>
      </c>
      <c r="L14" s="33">
        <f>vendor_invoice[[#This Row],[inv_amt]]-vendor_invoice[[#This Row],[tax_amt]]</f>
        <v>0</v>
      </c>
      <c r="M14" s="56">
        <f>vendor_invoice[[#This Row],[invoice_date]]</f>
        <v>0</v>
      </c>
      <c r="O14" s="34"/>
      <c r="P14" s="36">
        <f>vendor_invoice[[#This Row],[net_amt]]</f>
        <v>0</v>
      </c>
      <c r="Q14" s="36">
        <f>vendor_invoice[[#This Row],[tax_amt]]</f>
        <v>0</v>
      </c>
      <c r="R14" s="36">
        <f>-vendor_invoice[[#This Row],[inv_amt]]</f>
        <v>0</v>
      </c>
      <c r="S14" s="4"/>
      <c r="T14" s="4"/>
    </row>
    <row r="15" spans="1:21" ht="21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 t="str">
        <f>IF(vendor_invoice[[#This Row],[invoice_date]]&lt;&gt;"",ROWS($C$8:C15),"-")</f>
        <v>-</v>
      </c>
      <c r="D15" s="44"/>
      <c r="E15" t="str">
        <f>IF(vendor_invoice[[#This Row],[invoice_date]]="","-",1000+vendor_invoice[[#This Row],[ref]])</f>
        <v>-</v>
      </c>
      <c r="F15" s="45" t="str">
        <f>IFERROR(LEFT(vendor_invoice[[#This Row],[vendor_name]],FIND("_",vendor_invoice[[#This Row],[vendor_name]])-1),"-")</f>
        <v>-</v>
      </c>
      <c r="G15" s="2"/>
      <c r="H15" s="34"/>
      <c r="I15" s="33" t="str">
        <f>IFERROR(LEFT(vendor_invoice[[#This Row],[description]],FIND("|",vendor_invoice[[#This Row],[description]])-1),"-")</f>
        <v>-</v>
      </c>
      <c r="J15" s="34"/>
      <c r="K15" s="51">
        <f>$O$1*vendor_invoice[[#This Row],[inv_amt]]</f>
        <v>0</v>
      </c>
      <c r="L15" s="33">
        <f>vendor_invoice[[#This Row],[inv_amt]]-vendor_invoice[[#This Row],[tax_amt]]</f>
        <v>0</v>
      </c>
      <c r="M15" s="56">
        <f>vendor_invoice[[#This Row],[invoice_date]]</f>
        <v>0</v>
      </c>
      <c r="O15" s="34"/>
      <c r="P15" s="36">
        <f>vendor_invoice[[#This Row],[net_amt]]</f>
        <v>0</v>
      </c>
      <c r="Q15" s="36">
        <f>vendor_invoice[[#This Row],[tax_amt]]</f>
        <v>0</v>
      </c>
      <c r="R15" s="36">
        <f>-vendor_invoice[[#This Row],[inv_amt]]</f>
        <v>0</v>
      </c>
      <c r="S15" s="4"/>
      <c r="T15" s="4"/>
    </row>
    <row r="16" spans="1:21" ht="21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 t="str">
        <f>IF(vendor_invoice[[#This Row],[invoice_date]]&lt;&gt;"",ROWS($C$8:C16),"-")</f>
        <v>-</v>
      </c>
      <c r="D16" s="44"/>
      <c r="E16" t="str">
        <f>IF(vendor_invoice[[#This Row],[invoice_date]]="","-",1000+vendor_invoice[[#This Row],[ref]])</f>
        <v>-</v>
      </c>
      <c r="F16" s="45" t="str">
        <f>IFERROR(LEFT(vendor_invoice[[#This Row],[vendor_name]],FIND("_",vendor_invoice[[#This Row],[vendor_name]])-1),"-")</f>
        <v>-</v>
      </c>
      <c r="G16" s="2"/>
      <c r="H16" s="34"/>
      <c r="I16" s="33" t="str">
        <f>IFERROR(LEFT(vendor_invoice[[#This Row],[description]],FIND("|",vendor_invoice[[#This Row],[description]])-1),"-")</f>
        <v>-</v>
      </c>
      <c r="J16" s="34"/>
      <c r="K16" s="51">
        <f>$O$1*vendor_invoice[[#This Row],[inv_amt]]</f>
        <v>0</v>
      </c>
      <c r="L16" s="33">
        <f>vendor_invoice[[#This Row],[inv_amt]]-vendor_invoice[[#This Row],[tax_amt]]</f>
        <v>0</v>
      </c>
      <c r="M16" s="56">
        <f>vendor_invoice[[#This Row],[invoice_date]]</f>
        <v>0</v>
      </c>
      <c r="O16" s="34"/>
      <c r="P16" s="36">
        <f>vendor_invoice[[#This Row],[net_amt]]</f>
        <v>0</v>
      </c>
      <c r="Q16" s="36">
        <f>vendor_invoice[[#This Row],[tax_amt]]</f>
        <v>0</v>
      </c>
      <c r="R16" s="36">
        <f>-vendor_invoice[[#This Row],[inv_amt]]</f>
        <v>0</v>
      </c>
      <c r="S16" s="4"/>
      <c r="T16" s="4"/>
    </row>
    <row r="17" spans="1:20" ht="42">
      <c r="A17" s="22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 t="str">
        <f>IF(vendor_invoice[[#This Row],[invoice_date]]&lt;&gt;"",ROWS($C$8:C17),"-")</f>
        <v>-</v>
      </c>
      <c r="D17" s="44"/>
      <c r="E17" t="str">
        <f>IF(vendor_invoice[[#This Row],[invoice_date]]="","-",1000+vendor_invoice[[#This Row],[ref]])</f>
        <v>-</v>
      </c>
      <c r="F17" s="45" t="str">
        <f>IFERROR(LEFT(vendor_invoice[[#This Row],[vendor_name]],FIND("_",vendor_invoice[[#This Row],[vendor_name]])-1),"-")</f>
        <v>-</v>
      </c>
      <c r="G17" s="2"/>
      <c r="H17" s="34"/>
      <c r="I17" s="33" t="str">
        <f>IFERROR(LEFT(vendor_invoice[[#This Row],[description]],FIND("|",vendor_invoice[[#This Row],[description]])-1),"-")</f>
        <v>-</v>
      </c>
      <c r="J17" s="34"/>
      <c r="K17" s="51">
        <f>$O$1*vendor_invoice[[#This Row],[inv_amt]]</f>
        <v>0</v>
      </c>
      <c r="L17" s="33">
        <f>vendor_invoice[[#This Row],[inv_amt]]-vendor_invoice[[#This Row],[tax_amt]]</f>
        <v>0</v>
      </c>
      <c r="M17" s="56">
        <f>vendor_invoice[[#This Row],[invoice_date]]</f>
        <v>0</v>
      </c>
      <c r="O17" s="34"/>
      <c r="P17" s="36">
        <f>vendor_invoice[[#This Row],[net_amt]]</f>
        <v>0</v>
      </c>
      <c r="Q17" s="36">
        <f>vendor_invoice[[#This Row],[tax_amt]]</f>
        <v>0</v>
      </c>
      <c r="R17" s="36">
        <f>-vendor_invoice[[#This Row],[inv_amt]]</f>
        <v>0</v>
      </c>
      <c r="S17" s="4"/>
      <c r="T17" s="4"/>
    </row>
    <row r="18" spans="1:20" ht="42">
      <c r="A18" s="22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 t="str">
        <f>IF(vendor_invoice[[#This Row],[invoice_date]]&lt;&gt;"",ROWS($C$8:C18),"-")</f>
        <v>-</v>
      </c>
      <c r="D18" s="44"/>
      <c r="E18" t="str">
        <f>IF(vendor_invoice[[#This Row],[invoice_date]]="","-",1000+vendor_invoice[[#This Row],[ref]])</f>
        <v>-</v>
      </c>
      <c r="F18" s="45" t="str">
        <f>IFERROR(LEFT(vendor_invoice[[#This Row],[vendor_name]],FIND("_",vendor_invoice[[#This Row],[vendor_name]])-1),"-")</f>
        <v>-</v>
      </c>
      <c r="G18" s="2"/>
      <c r="H18" s="34"/>
      <c r="I18" s="33" t="str">
        <f>IFERROR(LEFT(vendor_invoice[[#This Row],[description]],FIND("|",vendor_invoice[[#This Row],[description]])-1),"-")</f>
        <v>-</v>
      </c>
      <c r="J18" s="34"/>
      <c r="K18" s="51">
        <f>$O$1*vendor_invoice[[#This Row],[inv_amt]]</f>
        <v>0</v>
      </c>
      <c r="L18" s="33">
        <f>vendor_invoice[[#This Row],[inv_amt]]-vendor_invoice[[#This Row],[tax_amt]]</f>
        <v>0</v>
      </c>
      <c r="M18" s="56">
        <f>vendor_invoice[[#This Row],[invoice_date]]</f>
        <v>0</v>
      </c>
      <c r="O18" s="34"/>
      <c r="P18" s="36">
        <f>vendor_invoice[[#This Row],[net_amt]]</f>
        <v>0</v>
      </c>
      <c r="Q18" s="36">
        <f>vendor_invoice[[#This Row],[tax_amt]]</f>
        <v>0</v>
      </c>
      <c r="R18" s="36">
        <f>-vendor_invoice[[#This Row],[inv_amt]]</f>
        <v>0</v>
      </c>
      <c r="S18" s="4"/>
      <c r="T18" s="4"/>
    </row>
    <row r="19" spans="1:20" ht="21">
      <c r="A19" s="22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 t="str">
        <f>IF(vendor_invoice[[#This Row],[invoice_date]]&lt;&gt;"",ROWS($C$8:C19),"-")</f>
        <v>-</v>
      </c>
      <c r="D19" s="44"/>
      <c r="E19" t="str">
        <f>IF(vendor_invoice[[#This Row],[invoice_date]]="","-",1000+vendor_invoice[[#This Row],[ref]])</f>
        <v>-</v>
      </c>
      <c r="F19" s="45" t="str">
        <f>IFERROR(LEFT(vendor_invoice[[#This Row],[vendor_name]],FIND("_",vendor_invoice[[#This Row],[vendor_name]])-1),"-")</f>
        <v>-</v>
      </c>
      <c r="G19" s="2"/>
      <c r="H19" s="34"/>
      <c r="I19" s="33" t="str">
        <f>IFERROR(LEFT(vendor_invoice[[#This Row],[description]],FIND("|",vendor_invoice[[#This Row],[description]])-1),"-")</f>
        <v>-</v>
      </c>
      <c r="J19" s="34"/>
      <c r="K19" s="51">
        <f>$O$1*vendor_invoice[[#This Row],[inv_amt]]</f>
        <v>0</v>
      </c>
      <c r="L19" s="33">
        <f>vendor_invoice[[#This Row],[inv_amt]]-vendor_invoice[[#This Row],[tax_amt]]</f>
        <v>0</v>
      </c>
      <c r="M19" s="56">
        <f>vendor_invoice[[#This Row],[invoice_date]]</f>
        <v>0</v>
      </c>
      <c r="O19" s="34"/>
      <c r="P19" s="36">
        <f>vendor_invoice[[#This Row],[net_amt]]</f>
        <v>0</v>
      </c>
      <c r="Q19" s="36">
        <f>vendor_invoice[[#This Row],[tax_amt]]</f>
        <v>0</v>
      </c>
      <c r="R19" s="36">
        <f>-vendor_invoice[[#This Row],[inv_amt]]</f>
        <v>0</v>
      </c>
      <c r="S19" s="4"/>
      <c r="T19" s="4"/>
    </row>
    <row r="20" spans="1:20" ht="21">
      <c r="A20" s="22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 t="str">
        <f>IF(vendor_invoice[[#This Row],[invoice_date]]&lt;&gt;"",ROWS($C$8:C20),"-")</f>
        <v>-</v>
      </c>
      <c r="D20" s="44"/>
      <c r="E20" t="str">
        <f>IF(vendor_invoice[[#This Row],[invoice_date]]="","-",1000+vendor_invoice[[#This Row],[ref]])</f>
        <v>-</v>
      </c>
      <c r="F20" s="45" t="str">
        <f>IFERROR(LEFT(vendor_invoice[[#This Row],[vendor_name]],FIND("_",vendor_invoice[[#This Row],[vendor_name]])-1),"-")</f>
        <v>-</v>
      </c>
      <c r="G20" s="2"/>
      <c r="H20" s="34"/>
      <c r="I20" s="33" t="str">
        <f>IFERROR(LEFT(vendor_invoice[[#This Row],[description]],FIND("|",vendor_invoice[[#This Row],[description]])-1),"-")</f>
        <v>-</v>
      </c>
      <c r="J20" s="34"/>
      <c r="K20" s="51">
        <f>$O$1*vendor_invoice[[#This Row],[inv_amt]]</f>
        <v>0</v>
      </c>
      <c r="L20" s="33">
        <f>vendor_invoice[[#This Row],[inv_amt]]-vendor_invoice[[#This Row],[tax_amt]]</f>
        <v>0</v>
      </c>
      <c r="M20" s="56">
        <f>vendor_invoice[[#This Row],[invoice_date]]</f>
        <v>0</v>
      </c>
      <c r="O20" s="34"/>
      <c r="P20" s="36">
        <f>vendor_invoice[[#This Row],[net_amt]]</f>
        <v>0</v>
      </c>
      <c r="Q20" s="36">
        <f>vendor_invoice[[#This Row],[tax_amt]]</f>
        <v>0</v>
      </c>
      <c r="R20" s="36">
        <f>-vendor_invoice[[#This Row],[inv_amt]]</f>
        <v>0</v>
      </c>
      <c r="S20" s="4"/>
      <c r="T20" s="4"/>
    </row>
    <row r="21" spans="1:20" ht="21">
      <c r="A21" s="22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 t="str">
        <f>IF(vendor_invoice[[#This Row],[invoice_date]]&lt;&gt;"",ROWS($C$8:C21),"-")</f>
        <v>-</v>
      </c>
      <c r="D21" s="44"/>
      <c r="E21" t="str">
        <f>IF(vendor_invoice[[#This Row],[invoice_date]]="","-",1000+vendor_invoice[[#This Row],[ref]])</f>
        <v>-</v>
      </c>
      <c r="F21" s="45" t="str">
        <f>IFERROR(LEFT(vendor_invoice[[#This Row],[vendor_name]],FIND("_",vendor_invoice[[#This Row],[vendor_name]])-1),"-")</f>
        <v>-</v>
      </c>
      <c r="G21" s="2"/>
      <c r="H21" s="34"/>
      <c r="I21" s="33" t="str">
        <f>IFERROR(LEFT(vendor_invoice[[#This Row],[description]],FIND("|",vendor_invoice[[#This Row],[description]])-1),"-")</f>
        <v>-</v>
      </c>
      <c r="J21" s="34"/>
      <c r="K21" s="51">
        <f>$O$1*vendor_invoice[[#This Row],[inv_amt]]</f>
        <v>0</v>
      </c>
      <c r="L21" s="33">
        <f>vendor_invoice[[#This Row],[inv_amt]]-vendor_invoice[[#This Row],[tax_amt]]</f>
        <v>0</v>
      </c>
      <c r="M21" s="56">
        <f>vendor_invoice[[#This Row],[invoice_date]]</f>
        <v>0</v>
      </c>
      <c r="O21" s="34"/>
      <c r="P21" s="36">
        <f>vendor_invoice[[#This Row],[net_amt]]</f>
        <v>0</v>
      </c>
      <c r="Q21" s="36">
        <f>vendor_invoice[[#This Row],[tax_amt]]</f>
        <v>0</v>
      </c>
      <c r="R21" s="36">
        <f>-vendor_invoice[[#This Row],[inv_amt]]</f>
        <v>0</v>
      </c>
      <c r="S21" s="4"/>
      <c r="T21" s="4"/>
    </row>
    <row r="22" spans="1:20" ht="21">
      <c r="A22" s="22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C22" t="str">
        <f>IF(vendor_invoice[[#This Row],[invoice_date]]&lt;&gt;"",ROWS($C$8:C22),"-")</f>
        <v>-</v>
      </c>
      <c r="D22" s="44"/>
      <c r="E22" t="str">
        <f>IF(vendor_invoice[[#This Row],[invoice_date]]="","-",1000+vendor_invoice[[#This Row],[ref]])</f>
        <v>-</v>
      </c>
      <c r="F22" s="45" t="str">
        <f>IFERROR(LEFT(vendor_invoice[[#This Row],[vendor_name]],FIND("_",vendor_invoice[[#This Row],[vendor_name]])-1),"-")</f>
        <v>-</v>
      </c>
      <c r="G22" s="2"/>
      <c r="H22" s="34"/>
      <c r="I22" s="33" t="str">
        <f>IFERROR(LEFT(vendor_invoice[[#This Row],[description]],FIND("|",vendor_invoice[[#This Row],[description]])-1),"-")</f>
        <v>-</v>
      </c>
      <c r="J22" s="34"/>
      <c r="K22" s="51">
        <f>$O$1*vendor_invoice[[#This Row],[inv_amt]]</f>
        <v>0</v>
      </c>
      <c r="L22" s="33">
        <f>vendor_invoice[[#This Row],[inv_amt]]-vendor_invoice[[#This Row],[tax_amt]]</f>
        <v>0</v>
      </c>
      <c r="M22" s="56">
        <f>vendor_invoice[[#This Row],[invoice_date]]</f>
        <v>0</v>
      </c>
      <c r="O22" s="34"/>
      <c r="P22" s="36">
        <f>vendor_invoice[[#This Row],[net_amt]]</f>
        <v>0</v>
      </c>
      <c r="Q22" s="36">
        <f>vendor_invoice[[#This Row],[tax_amt]]</f>
        <v>0</v>
      </c>
      <c r="R22" s="36">
        <f>-vendor_invoice[[#This Row],[inv_amt]]</f>
        <v>0</v>
      </c>
      <c r="S22" s="4"/>
      <c r="T22" s="4"/>
    </row>
  </sheetData>
  <conditionalFormatting sqref="A8:A22">
    <cfRule type="expression" dxfId="175" priority="6">
      <formula>A8=0</formula>
    </cfRule>
    <cfRule type="expression" dxfId="174" priority="7">
      <formula>A8=$A$2</formula>
    </cfRule>
  </conditionalFormatting>
  <conditionalFormatting sqref="H8:H22">
    <cfRule type="expression" dxfId="173" priority="4">
      <formula>G8&lt;&gt;""</formula>
    </cfRule>
  </conditionalFormatting>
  <conditionalFormatting sqref="J8:J22">
    <cfRule type="expression" dxfId="172" priority="3">
      <formula>AND(D8&gt;0,LEN(D8)=10)</formula>
    </cfRule>
  </conditionalFormatting>
  <conditionalFormatting sqref="N8:N22">
    <cfRule type="expression" dxfId="171" priority="2">
      <formula>AND($D8&gt;0,LEN($D8)=10,LEN($G8)&gt;0)</formula>
    </cfRule>
    <cfRule type="expression" dxfId="170" priority="5">
      <formula>$H8&lt;&gt;""</formula>
    </cfRule>
  </conditionalFormatting>
  <conditionalFormatting sqref="O8:O22">
    <cfRule type="expression" dxfId="169" priority="1">
      <formula>$N8&gt;0</formula>
    </cfRule>
  </conditionalFormatting>
  <dataValidations count="8">
    <dataValidation type="list" allowBlank="1" showInputMessage="1" showErrorMessage="1" promptTitle="Language setting" prompt="Changing this language will also affect the payment interface" sqref="C1" xr:uid="{44088BB3-C543-4EAC-8C9B-E4546EC8C7F3}">
      <formula1>select_lang_code</formula1>
    </dataValidation>
    <dataValidation type="textLength" operator="equal" allowBlank="1" showInputMessage="1" showErrorMessage="1" errorTitle="Date " error="Please enter in format 'mm/dd/yyyy'" promptTitle="Date" prompt="Please input your date in format 'mm/dd/yyyy'_x000a_e.g. '05/31/2020" sqref="D8:D22" xr:uid="{6387D418-A581-4AD6-A35B-CEB11CDB4677}">
      <formula1>10</formula1>
    </dataValidation>
    <dataValidation type="list" allowBlank="1" showInputMessage="1" showErrorMessage="1" errorTitle="Select Vendor" error="You have to select the vendor that appears on the Vendor List" promptTitle="Select Vendor" prompt="Add a new vendor from the Vendor List _x000a_if you don't see a vendor from selection" sqref="G8:G22" xr:uid="{C057A63D-46DE-4B4C-83DB-31B01CB977F1}">
      <formula1>selectVendor</formula1>
    </dataValidation>
    <dataValidation operator="equal" allowBlank="1" showInputMessage="1" showErrorMessage="1" sqref="F9:F12" xr:uid="{E8ABD95D-386A-42FA-8740-CF763D1C92D1}"/>
    <dataValidation type="decimal" operator="greaterThanOrEqual" allowBlank="1" showInputMessage="1" showErrorMessage="1" error="Please enter a number that is more than or equal to 0" promptTitle="Invoice Amount" prompt="Please enter amount that is at least 0" sqref="J8:J22" xr:uid="{4B7AA69E-E682-4230-AC30-B37BA68865C9}">
      <formula1>0</formula1>
    </dataValidation>
    <dataValidation type="decimal" allowBlank="1" showInputMessage="1" showErrorMessage="1" errorTitle="Amount Settled On Invoice Date" error="Enter a positive amount that is not more than the invoice amount" promptTitle="Payment Made On Invoice Date" prompt="Please enter a positive amount that is not more than the invoice amount" sqref="N8:N22" xr:uid="{EE759FDA-400B-483F-9DE4-689B15F93ABD}">
      <formula1>0</formula1>
      <formula2>J8</formula2>
    </dataValidation>
    <dataValidation type="list" allowBlank="1" showInputMessage="1" showErrorMessage="1" promptTitle="Expense Item" prompt="You can only select the expense item that exists on the Chart Of Account;_x000a_Create one if you don't see the expense item you need" sqref="H8:H22" xr:uid="{D6D84AA9-B576-4005-88EF-C92DBCD339FA}">
      <formula1>selectExpense</formula1>
    </dataValidation>
    <dataValidation type="list" allowBlank="1" showInputMessage="1" showErrorMessage="1" error="You can only select bank accounts that are listed on the Bank Account List" promptTitle="Select Payment Bank Account" prompt="Select only bank accounts that are listed on the Bank Account List" sqref="O8:O22" xr:uid="{4B48438C-8D71-4763-91F0-2D7680C3B817}">
      <formula1>selectWithdrawalBank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76AB-1C5F-4C70-8E51-D26D9A7B3821}">
  <sheetPr>
    <tabColor rgb="FFFF66CC"/>
  </sheetPr>
  <dimension ref="A1:M22"/>
  <sheetViews>
    <sheetView showGridLines="0" workbookViewId="0">
      <pane xSplit="7" ySplit="10" topLeftCell="H11" activePane="bottomRight" state="frozen"/>
      <selection pane="topRight" activeCell="H1" sqref="H1"/>
      <selection pane="bottomLeft" activeCell="A11" sqref="A11"/>
      <selection pane="bottomRight" activeCell="A16" sqref="A16"/>
    </sheetView>
  </sheetViews>
  <sheetFormatPr defaultRowHeight="14.4" outlineLevelRow="1"/>
  <cols>
    <col min="1" max="1" width="36.21875" customWidth="1"/>
    <col min="3" max="3" width="10.5546875" customWidth="1"/>
    <col min="4" max="4" width="27.21875" bestFit="1" customWidth="1"/>
    <col min="5" max="5" width="18.21875" customWidth="1"/>
    <col min="6" max="6" width="21.6640625" bestFit="1" customWidth="1"/>
    <col min="7" max="7" width="12.77734375" bestFit="1" customWidth="1"/>
    <col min="8" max="8" width="15.21875" bestFit="1" customWidth="1"/>
    <col min="9" max="10" width="21.21875" customWidth="1"/>
    <col min="11" max="11" width="19.33203125" bestFit="1" customWidth="1"/>
    <col min="12" max="12" width="21.21875" customWidth="1"/>
    <col min="13" max="13" width="19.5546875" bestFit="1" customWidth="1"/>
  </cols>
  <sheetData>
    <row r="1" spans="1:13" ht="18">
      <c r="A1" t="str" cm="1">
        <f t="array" aca="1" ref="A1" ca="1">MID(CELL("filename",$A$1),FIND("]",CELL("filename",$A$1))+1,31)</f>
        <v>payment</v>
      </c>
      <c r="C1" s="46" t="str">
        <f>expense!C1</f>
        <v>eng</v>
      </c>
      <c r="D1" s="59" t="str" cm="1">
        <f t="array" aca="1" ref="D1" ca="1">HYPERLINK(_xlfn.XLOOKUP(expense!$A$1,table_summary[table_name],table_summary[link_location]),
_xlfn.XLOOKUP($C$1,language[code],
_xlfn.XLOOKUP($C$1,language[#Headers],language[]))
)</f>
        <v>English</v>
      </c>
      <c r="E1" s="59"/>
    </row>
    <row r="2" spans="1:13" ht="20.399999999999999">
      <c r="A2" s="14" t="str" cm="1">
        <f t="array" aca="1" ref="A2" ca="1">_xlfn.XLOOKUP($A$1,table_summary[table_name],
_xlfn.XLOOKUP($C$1,table_summary[#Headers],table_summary[])
)</f>
        <v>Payment (Cash Paid)</v>
      </c>
    </row>
    <row r="6" spans="1:13" s="15" customFormat="1" ht="43.8" thickBot="1">
      <c r="C6" s="74" t="str" cm="1">
        <f t="array" ref="C6">_xlfn.XLOOKUP(C7,field_list[field_name],
_xlfn.XLOOKUP($C$1,field_list[#Headers],field_list[])
)</f>
        <v>Reference</v>
      </c>
      <c r="D6" s="74" t="str" cm="1">
        <f t="array" ref="D6">_xlfn.XLOOKUP(D7,field_list[field_name],
_xlfn.XLOOKUP($C$1,field_list[#Headers],field_list[])
)</f>
        <v>Payment Date
(mm/dd/yyyy)</v>
      </c>
      <c r="E6" s="74" t="str" cm="1">
        <f t="array" ref="E6">_xlfn.XLOOKUP(E7,field_list[field_name],
_xlfn.XLOOKUP($C$1,field_list[#Headers],field_list[])
)</f>
        <v>Invoice Number</v>
      </c>
      <c r="F6" s="74" t="str" cm="1">
        <f t="array" ref="F6">_xlfn.XLOOKUP(F7,field_list[field_name],
_xlfn.XLOOKUP($C$1,field_list[#Headers],field_list[])
)</f>
        <v>Bank (Withdrawal)</v>
      </c>
      <c r="G6" s="74" t="str" cm="1">
        <f t="array" ref="G6">_xlfn.XLOOKUP(G7,field_list[field_name],
_xlfn.XLOOKUP($C$1,field_list[#Headers],field_list[])
)</f>
        <v>Vendor Ref</v>
      </c>
      <c r="H6" s="74" t="str" cm="1">
        <f t="array" ref="H6">_xlfn.XLOOKUP(H7,field_list[field_name],
_xlfn.XLOOKUP($C$1,field_list[#Headers],field_list[])
)</f>
        <v>Vendor</v>
      </c>
      <c r="I6" s="74" t="str" cm="1">
        <f t="array" ref="I6">_xlfn.XLOOKUP(I7,field_list[field_name],
_xlfn.XLOOKUP($C$1,field_list[#Headers],field_list[])
)</f>
        <v>Invoice Amount
(Net Of Discount
(Before Tax)</v>
      </c>
      <c r="J6" s="74" t="str" cm="1">
        <f t="array" ref="J6">_xlfn.XLOOKUP(J7,field_list[field_name],
_xlfn.XLOOKUP($C$1,field_list[#Headers],field_list[])
)</f>
        <v>Amount settled
 (if any)
on the invoice date</v>
      </c>
      <c r="K6" s="74" t="str" cm="1">
        <f t="array" ref="K6">_xlfn.XLOOKUP(K7,field_list[field_name],
_xlfn.XLOOKUP($C$1,field_list[#Headers],field_list[])
)</f>
        <v>Balance Due 
(Before Payment)</v>
      </c>
      <c r="L6" s="74" t="str" cm="1">
        <f t="array" ref="L6">_xlfn.XLOOKUP(L7,field_list[field_name],
_xlfn.XLOOKUP($C$1,field_list[#Headers],field_list[])
)</f>
        <v>Amount 
(Payment)</v>
      </c>
      <c r="M6" s="74" t="str" cm="1">
        <f t="array" ref="M6">_xlfn.XLOOKUP(M7,field_list[field_name],
_xlfn.XLOOKUP($C$1,field_list[#Headers],field_list[])
)</f>
        <v>Balance Due
(After Payment)</v>
      </c>
    </row>
    <row r="7" spans="1:13" hidden="1" outlineLevel="1">
      <c r="C7" t="s">
        <v>0</v>
      </c>
      <c r="D7" t="s">
        <v>202</v>
      </c>
      <c r="E7" t="s">
        <v>248</v>
      </c>
      <c r="F7" t="s">
        <v>18</v>
      </c>
      <c r="G7" t="s">
        <v>254</v>
      </c>
      <c r="H7" t="s">
        <v>2</v>
      </c>
      <c r="I7" t="s">
        <v>3</v>
      </c>
      <c r="J7" t="s">
        <v>279</v>
      </c>
      <c r="K7" t="s">
        <v>285</v>
      </c>
      <c r="L7" t="s">
        <v>23</v>
      </c>
      <c r="M7" t="s">
        <v>286</v>
      </c>
    </row>
    <row r="8" spans="1:13" ht="21.6" collapsed="1" thickTop="1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IF(payment[[#This Row],[payment_date]]&lt;&gt;"",MAX(vendor_invoice[ref])+ROWS($C$8:C8),"-")</f>
        <v>6</v>
      </c>
      <c r="D8" s="50" t="s">
        <v>284</v>
      </c>
      <c r="E8" s="49">
        <v>1003</v>
      </c>
      <c r="F8" s="58" t="s">
        <v>337</v>
      </c>
      <c r="G8" s="33" t="str">
        <f>IFERROR(_xlfn.XLOOKUP(payment[[#This Row],[inv_num]],vendor_invoice[inv_num],vendor_invoice[vendor_ref]),"-")</f>
        <v>3</v>
      </c>
      <c r="H8" t="str">
        <f>IFERROR(_xlfn.XLOOKUP(VALUE(payment[[#This Row],[vendor_ref]]),vendor[ref],vendor[display_name]),"-")</f>
        <v>3_vendor 3</v>
      </c>
      <c r="I8">
        <f>IFERROR(_xlfn.XLOOKUP(payment[[#This Row],[inv_num]],vendor_invoice[inv_num],vendor_invoice[inv_amt]),"-")</f>
        <v>300</v>
      </c>
      <c r="J8">
        <f>IFERROR(_xlfn.XLOOKUP(payment[[#This Row],[inv_num]],vendor_invoice[inv_num],vendor_invoice[first_settle]),"-")</f>
        <v>100</v>
      </c>
      <c r="K8">
        <f>IFERROR(payment[[#This Row],[inv_amt]]-payment[[#This Row],[first_settle]]-SUMIF($E$8:E8,payment[[#This Row],[inv_num]],$L$8:L8)+payment[[#This Row],[pay_amt]],"-")</f>
        <v>200</v>
      </c>
      <c r="L8">
        <v>100</v>
      </c>
      <c r="M8" s="33">
        <f>IFERROR(payment[[#This Row],[balance_due_before]]-payment[[#This Row],[pay_amt]],"-")</f>
        <v>100</v>
      </c>
    </row>
    <row r="9" spans="1:13" ht="21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IF(payment[[#This Row],[payment_date]]&lt;&gt;"",MAX(vendor_invoice[ref])+ROWS($C$8:C9),"-")</f>
        <v>7</v>
      </c>
      <c r="D9" s="50" t="s">
        <v>208</v>
      </c>
      <c r="E9" s="49">
        <v>1002</v>
      </c>
      <c r="F9" s="58" t="s">
        <v>338</v>
      </c>
      <c r="G9" s="33" t="str">
        <f>IFERROR(_xlfn.XLOOKUP(payment[[#This Row],[inv_num]],vendor_invoice[inv_num],vendor_invoice[vendor_ref]),"-")</f>
        <v>2</v>
      </c>
      <c r="H9" t="str">
        <f>IFERROR(_xlfn.XLOOKUP(VALUE(payment[[#This Row],[vendor_ref]]),vendor[ref],vendor[display_name]),"-")</f>
        <v>2_vendor 2</v>
      </c>
      <c r="I9">
        <f>IFERROR(_xlfn.XLOOKUP(payment[[#This Row],[inv_num]],vendor_invoice[inv_num],vendor_invoice[inv_amt]),"-")</f>
        <v>200</v>
      </c>
      <c r="J9">
        <f>IFERROR(_xlfn.XLOOKUP(payment[[#This Row],[inv_num]],vendor_invoice[inv_num],vendor_invoice[first_settle]),"-")</f>
        <v>200</v>
      </c>
      <c r="K9">
        <f>IFERROR(payment[[#This Row],[inv_amt]]-payment[[#This Row],[first_settle]]-SUMIF($E$8:E9,payment[[#This Row],[inv_num]],$L$8:L9)+payment[[#This Row],[pay_amt]],"-")</f>
        <v>0</v>
      </c>
      <c r="M9" s="33">
        <f>IFERROR(payment[[#This Row],[balance_due_before]]-payment[[#This Row],[pay_amt]],"-")</f>
        <v>0</v>
      </c>
    </row>
    <row r="10" spans="1:13" ht="21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IF(payment[[#This Row],[payment_date]]&lt;&gt;"",MAX(vendor_invoice[ref])+ROWS($C$8:C10),"-")</f>
        <v>8</v>
      </c>
      <c r="D10" s="50" t="s">
        <v>295</v>
      </c>
      <c r="E10" s="49">
        <v>1003</v>
      </c>
      <c r="F10" s="58" t="s">
        <v>339</v>
      </c>
      <c r="G10" s="33" t="str">
        <f>IFERROR(_xlfn.XLOOKUP(payment[[#This Row],[inv_num]],vendor_invoice[inv_num],vendor_invoice[vendor_ref]),"-")</f>
        <v>3</v>
      </c>
      <c r="H10" t="str">
        <f>IFERROR(_xlfn.XLOOKUP(VALUE(payment[[#This Row],[vendor_ref]]),vendor[ref],vendor[display_name]),"-")</f>
        <v>3_vendor 3</v>
      </c>
      <c r="I10">
        <f>IFERROR(_xlfn.XLOOKUP(payment[[#This Row],[inv_num]],vendor_invoice[inv_num],vendor_invoice[inv_amt]),"-")</f>
        <v>300</v>
      </c>
      <c r="J10">
        <f>IFERROR(_xlfn.XLOOKUP(payment[[#This Row],[inv_num]],vendor_invoice[inv_num],vendor_invoice[first_settle]),"-")</f>
        <v>100</v>
      </c>
      <c r="K10">
        <f>IFERROR(payment[[#This Row],[inv_amt]]-payment[[#This Row],[first_settle]]-SUMIF($E$8:E10,payment[[#This Row],[inv_num]],$L$8:L10)+payment[[#This Row],[pay_amt]],"-")</f>
        <v>100</v>
      </c>
      <c r="L10">
        <v>60</v>
      </c>
      <c r="M10" s="33">
        <f>IFERROR(payment[[#This Row],[balance_due_before]]-payment[[#This Row],[pay_amt]],"-")</f>
        <v>40</v>
      </c>
    </row>
    <row r="11" spans="1:13" ht="21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>
        <f>IF(payment[[#This Row],[payment_date]]&lt;&gt;"",MAX(vendor_invoice[ref])+ROWS($C$8:C11),"-")</f>
        <v>9</v>
      </c>
      <c r="D11" s="50" t="s">
        <v>296</v>
      </c>
      <c r="E11" s="49">
        <v>1001</v>
      </c>
      <c r="F11" s="58" t="s">
        <v>337</v>
      </c>
      <c r="G11" s="33" t="str">
        <f>IFERROR(_xlfn.XLOOKUP(payment[[#This Row],[inv_num]],vendor_invoice[inv_num],vendor_invoice[vendor_ref]),"-")</f>
        <v>1</v>
      </c>
      <c r="H11" t="str">
        <f>IFERROR(_xlfn.XLOOKUP(VALUE(payment[[#This Row],[vendor_ref]]),vendor[ref],vendor[display_name]),"-")</f>
        <v>1_vendor 1</v>
      </c>
      <c r="I11">
        <f>IFERROR(_xlfn.XLOOKUP(payment[[#This Row],[inv_num]],vendor_invoice[inv_num],vendor_invoice[inv_amt]),"-")</f>
        <v>100</v>
      </c>
      <c r="J11">
        <f>IFERROR(_xlfn.XLOOKUP(payment[[#This Row],[inv_num]],vendor_invoice[inv_num],vendor_invoice[first_settle]),"-")</f>
        <v>0</v>
      </c>
      <c r="K11">
        <f>IFERROR(payment[[#This Row],[inv_amt]]-payment[[#This Row],[first_settle]]-SUMIF($E$8:E11,payment[[#This Row],[inv_num]],$L$8:L11)+payment[[#This Row],[pay_amt]],"-")</f>
        <v>100</v>
      </c>
      <c r="L11">
        <v>50</v>
      </c>
      <c r="M11" s="33">
        <f>IFERROR(payment[[#This Row],[balance_due_before]]-payment[[#This Row],[pay_amt]],"-")</f>
        <v>50</v>
      </c>
    </row>
    <row r="12" spans="1:13" ht="21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IF(payment[[#This Row],[payment_date]]&lt;&gt;"",MAX(vendor_invoice[ref])+ROWS($C$8:C12),"-")</f>
        <v>10</v>
      </c>
      <c r="D12" s="50" t="s">
        <v>297</v>
      </c>
      <c r="E12" s="49">
        <v>1002</v>
      </c>
      <c r="F12" s="58" t="s">
        <v>338</v>
      </c>
      <c r="G12" s="33" t="str">
        <f>IFERROR(_xlfn.XLOOKUP(payment[[#This Row],[inv_num]],vendor_invoice[inv_num],vendor_invoice[vendor_ref]),"-")</f>
        <v>2</v>
      </c>
      <c r="H12" t="str">
        <f>IFERROR(_xlfn.XLOOKUP(VALUE(payment[[#This Row],[vendor_ref]]),vendor[ref],vendor[display_name]),"-")</f>
        <v>2_vendor 2</v>
      </c>
      <c r="I12">
        <f>IFERROR(_xlfn.XLOOKUP(payment[[#This Row],[inv_num]],vendor_invoice[inv_num],vendor_invoice[inv_amt]),"-")</f>
        <v>200</v>
      </c>
      <c r="J12">
        <f>IFERROR(_xlfn.XLOOKUP(payment[[#This Row],[inv_num]],vendor_invoice[inv_num],vendor_invoice[first_settle]),"-")</f>
        <v>200</v>
      </c>
      <c r="K12">
        <f>IFERROR(payment[[#This Row],[inv_amt]]-payment[[#This Row],[first_settle]]-SUMIF($E$8:E12,payment[[#This Row],[inv_num]],$L$8:L12)+payment[[#This Row],[pay_amt]],"-")</f>
        <v>0</v>
      </c>
      <c r="M12" s="33">
        <f>IFERROR(payment[[#This Row],[balance_due_before]]-payment[[#This Row],[pay_amt]],"-")</f>
        <v>0</v>
      </c>
    </row>
    <row r="13" spans="1:13" ht="21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>
        <f>IF(payment[[#This Row],[payment_date]]&lt;&gt;"",MAX(vendor_invoice[ref])+ROWS($C$8:C13),"-")</f>
        <v>11</v>
      </c>
      <c r="D13" s="50" t="s">
        <v>205</v>
      </c>
      <c r="E13" s="49">
        <v>1003</v>
      </c>
      <c r="F13" s="58" t="s">
        <v>337</v>
      </c>
      <c r="G13" s="33" t="str">
        <f>IFERROR(_xlfn.XLOOKUP(payment[[#This Row],[inv_num]],vendor_invoice[inv_num],vendor_invoice[vendor_ref]),"-")</f>
        <v>3</v>
      </c>
      <c r="H13" t="str">
        <f>IFERROR(_xlfn.XLOOKUP(VALUE(payment[[#This Row],[vendor_ref]]),vendor[ref],vendor[display_name]),"-")</f>
        <v>3_vendor 3</v>
      </c>
      <c r="I13">
        <f>IFERROR(_xlfn.XLOOKUP(payment[[#This Row],[inv_num]],vendor_invoice[inv_num],vendor_invoice[inv_amt]),"-")</f>
        <v>300</v>
      </c>
      <c r="J13">
        <f>IFERROR(_xlfn.XLOOKUP(payment[[#This Row],[inv_num]],vendor_invoice[inv_num],vendor_invoice[first_settle]),"-")</f>
        <v>100</v>
      </c>
      <c r="K13">
        <f>IFERROR(payment[[#This Row],[inv_amt]]-payment[[#This Row],[first_settle]]-SUMIF($E$8:E13,payment[[#This Row],[inv_num]],$L$8:L13)+payment[[#This Row],[pay_amt]],"-")</f>
        <v>40</v>
      </c>
      <c r="L13">
        <v>10</v>
      </c>
      <c r="M13" s="33">
        <f>IFERROR(payment[[#This Row],[balance_due_before]]-payment[[#This Row],[pay_amt]],"-")</f>
        <v>30</v>
      </c>
    </row>
    <row r="14" spans="1:13" ht="21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>
        <f>IF(payment[[#This Row],[payment_date]]&lt;&gt;"",MAX(vendor_invoice[ref])+ROWS($C$8:C14),"-")</f>
        <v>12</v>
      </c>
      <c r="D14" s="50" t="s">
        <v>206</v>
      </c>
      <c r="E14" s="49">
        <v>1004</v>
      </c>
      <c r="F14" s="58" t="s">
        <v>337</v>
      </c>
      <c r="G14" s="33" t="str">
        <f>IFERROR(_xlfn.XLOOKUP(payment[[#This Row],[inv_num]],vendor_invoice[inv_num],vendor_invoice[vendor_ref]),"-")</f>
        <v>1</v>
      </c>
      <c r="H14" t="str">
        <f>IFERROR(_xlfn.XLOOKUP(VALUE(payment[[#This Row],[vendor_ref]]),vendor[ref],vendor[display_name]),"-")</f>
        <v>1_vendor 1</v>
      </c>
      <c r="I14">
        <f>IFERROR(_xlfn.XLOOKUP(payment[[#This Row],[inv_num]],vendor_invoice[inv_num],vendor_invoice[inv_amt]),"-")</f>
        <v>400</v>
      </c>
      <c r="J14">
        <f>IFERROR(_xlfn.XLOOKUP(payment[[#This Row],[inv_num]],vendor_invoice[inv_num],vendor_invoice[first_settle]),"-")</f>
        <v>100</v>
      </c>
      <c r="K14">
        <f>IFERROR(payment[[#This Row],[inv_amt]]-payment[[#This Row],[first_settle]]-SUMIF($E$8:E14,payment[[#This Row],[inv_num]],$L$8:L14)+payment[[#This Row],[pay_amt]],"-")</f>
        <v>300</v>
      </c>
      <c r="L14">
        <v>1</v>
      </c>
      <c r="M14" s="33">
        <f>IFERROR(payment[[#This Row],[balance_due_before]]-payment[[#This Row],[pay_amt]],"-")</f>
        <v>299</v>
      </c>
    </row>
    <row r="15" spans="1:13" ht="21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>
        <f>IF(payment[[#This Row],[payment_date]]&lt;&gt;"",MAX(vendor_invoice[ref])+ROWS($C$8:C15),"-")</f>
        <v>13</v>
      </c>
      <c r="D15" s="50" t="s">
        <v>322</v>
      </c>
      <c r="E15" s="49">
        <v>1003</v>
      </c>
      <c r="F15" s="58" t="s">
        <v>339</v>
      </c>
      <c r="G15" s="33" t="str">
        <f>IFERROR(_xlfn.XLOOKUP(payment[[#This Row],[inv_num]],vendor_invoice[inv_num],vendor_invoice[vendor_ref]),"-")</f>
        <v>3</v>
      </c>
      <c r="H15" t="str">
        <f>IFERROR(_xlfn.XLOOKUP(VALUE(payment[[#This Row],[vendor_ref]]),vendor[ref],vendor[display_name]),"-")</f>
        <v>3_vendor 3</v>
      </c>
      <c r="I15">
        <f>IFERROR(_xlfn.XLOOKUP(payment[[#This Row],[inv_num]],vendor_invoice[inv_num],vendor_invoice[inv_amt]),"-")</f>
        <v>300</v>
      </c>
      <c r="J15">
        <f>IFERROR(_xlfn.XLOOKUP(payment[[#This Row],[inv_num]],vendor_invoice[inv_num],vendor_invoice[first_settle]),"-")</f>
        <v>100</v>
      </c>
      <c r="K15">
        <f>IFERROR(payment[[#This Row],[inv_amt]]-payment[[#This Row],[first_settle]]-SUMIF($E$8:E15,payment[[#This Row],[inv_num]],$L$8:L15)+payment[[#This Row],[pay_amt]],"-")</f>
        <v>30</v>
      </c>
      <c r="L15">
        <v>25</v>
      </c>
      <c r="M15" s="33">
        <f>IFERROR(payment[[#This Row],[balance_due_before]]-payment[[#This Row],[pay_amt]],"-")</f>
        <v>5</v>
      </c>
    </row>
    <row r="16" spans="1:13" ht="21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 t="str">
        <f>IF(payment[[#This Row],[payment_date]]&lt;&gt;"",MAX(vendor_invoice[ref])+ROWS($C$8:C16),"-")</f>
        <v>-</v>
      </c>
      <c r="E16" s="49"/>
      <c r="F16" s="58"/>
      <c r="G16" s="33" t="str">
        <f>IFERROR(_xlfn.XLOOKUP(payment[[#This Row],[inv_num]],vendor_invoice[inv_num],vendor_invoice[vendor_ref]),"-")</f>
        <v>-</v>
      </c>
      <c r="H16" t="str">
        <f>IFERROR(_xlfn.XLOOKUP(VALUE(payment[[#This Row],[vendor_ref]]),vendor[ref],vendor[display_name]),"-")</f>
        <v>-</v>
      </c>
      <c r="I16" t="str">
        <f>IFERROR(_xlfn.XLOOKUP(payment[[#This Row],[inv_num]],vendor_invoice[inv_num],vendor_invoice[inv_amt]),"-")</f>
        <v>-</v>
      </c>
      <c r="J16" t="str">
        <f>IFERROR(_xlfn.XLOOKUP(payment[[#This Row],[inv_num]],vendor_invoice[inv_num],vendor_invoice[first_settle]),"-")</f>
        <v>-</v>
      </c>
      <c r="K16" t="str">
        <f>IFERROR(payment[[#This Row],[inv_amt]]-payment[[#This Row],[first_settle]]-SUMIF($E$8:E16,payment[[#This Row],[inv_num]],$L$8:L16)+payment[[#This Row],[pay_amt]],"-")</f>
        <v>-</v>
      </c>
      <c r="M16" s="33" t="str">
        <f>IFERROR(payment[[#This Row],[balance_due_before]]-payment[[#This Row],[pay_amt]],"-")</f>
        <v>-</v>
      </c>
    </row>
    <row r="17" spans="1:13" ht="21">
      <c r="A17" s="22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 t="str">
        <f>IF(payment[[#This Row],[payment_date]]&lt;&gt;"",MAX(vendor_invoice[ref])+ROWS($C$8:C17),"-")</f>
        <v>-</v>
      </c>
      <c r="E17" s="49"/>
      <c r="F17" s="58"/>
      <c r="G17" s="33" t="str">
        <f>IFERROR(_xlfn.XLOOKUP(payment[[#This Row],[inv_num]],vendor_invoice[inv_num],vendor_invoice[vendor_ref]),"-")</f>
        <v>-</v>
      </c>
      <c r="H17" t="str">
        <f>IFERROR(_xlfn.XLOOKUP(VALUE(payment[[#This Row],[vendor_ref]]),vendor[ref],vendor[display_name]),"-")</f>
        <v>-</v>
      </c>
      <c r="I17" t="str">
        <f>IFERROR(_xlfn.XLOOKUP(payment[[#This Row],[inv_num]],vendor_invoice[inv_num],vendor_invoice[inv_amt]),"-")</f>
        <v>-</v>
      </c>
      <c r="J17" t="str">
        <f>IFERROR(_xlfn.XLOOKUP(payment[[#This Row],[inv_num]],vendor_invoice[inv_num],vendor_invoice[first_settle]),"-")</f>
        <v>-</v>
      </c>
      <c r="K17" t="str">
        <f>IFERROR(payment[[#This Row],[inv_amt]]-payment[[#This Row],[first_settle]]-SUMIF($E$8:E17,payment[[#This Row],[inv_num]],$L$8:L17)+payment[[#This Row],[pay_amt]],"-")</f>
        <v>-</v>
      </c>
      <c r="M17" s="33" t="str">
        <f>IFERROR(payment[[#This Row],[balance_due_before]]-payment[[#This Row],[pay_amt]],"-")</f>
        <v>-</v>
      </c>
    </row>
    <row r="18" spans="1:13" ht="21">
      <c r="A18" s="22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 t="str">
        <f>IF(payment[[#This Row],[payment_date]]&lt;&gt;"",MAX(vendor_invoice[ref])+ROWS($C$8:C18),"-")</f>
        <v>-</v>
      </c>
      <c r="E18" s="49"/>
      <c r="F18" s="58"/>
      <c r="G18" s="33" t="str">
        <f>IFERROR(_xlfn.XLOOKUP(payment[[#This Row],[inv_num]],vendor_invoice[inv_num],vendor_invoice[vendor_ref]),"-")</f>
        <v>-</v>
      </c>
      <c r="H18" t="str">
        <f>IFERROR(_xlfn.XLOOKUP(VALUE(payment[[#This Row],[vendor_ref]]),vendor[ref],vendor[display_name]),"-")</f>
        <v>-</v>
      </c>
      <c r="I18" t="str">
        <f>IFERROR(_xlfn.XLOOKUP(payment[[#This Row],[inv_num]],vendor_invoice[inv_num],vendor_invoice[inv_amt]),"-")</f>
        <v>-</v>
      </c>
      <c r="J18" t="str">
        <f>IFERROR(_xlfn.XLOOKUP(payment[[#This Row],[inv_num]],vendor_invoice[inv_num],vendor_invoice[first_settle]),"-")</f>
        <v>-</v>
      </c>
      <c r="K18" t="str">
        <f>IFERROR(payment[[#This Row],[inv_amt]]-payment[[#This Row],[first_settle]]-SUMIF($E$8:E18,payment[[#This Row],[inv_num]],$L$8:L18)+payment[[#This Row],[pay_amt]],"-")</f>
        <v>-</v>
      </c>
      <c r="M18" s="33" t="str">
        <f>IFERROR(payment[[#This Row],[balance_due_before]]-payment[[#This Row],[pay_amt]],"-")</f>
        <v>-</v>
      </c>
    </row>
    <row r="19" spans="1:13" ht="21">
      <c r="A19" s="22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 t="str">
        <f>IF(payment[[#This Row],[payment_date]]&lt;&gt;"",MAX(vendor_invoice[ref])+ROWS($C$8:C19),"-")</f>
        <v>-</v>
      </c>
      <c r="E19" s="49"/>
      <c r="F19" s="58"/>
      <c r="G19" s="33" t="str">
        <f>IFERROR(_xlfn.XLOOKUP(payment[[#This Row],[inv_num]],vendor_invoice[inv_num],vendor_invoice[vendor_ref]),"-")</f>
        <v>-</v>
      </c>
      <c r="H19" t="str">
        <f>IFERROR(_xlfn.XLOOKUP(VALUE(payment[[#This Row],[vendor_ref]]),vendor[ref],vendor[display_name]),"-")</f>
        <v>-</v>
      </c>
      <c r="I19" t="str">
        <f>IFERROR(_xlfn.XLOOKUP(payment[[#This Row],[inv_num]],vendor_invoice[inv_num],vendor_invoice[inv_amt]),"-")</f>
        <v>-</v>
      </c>
      <c r="J19" t="str">
        <f>IFERROR(_xlfn.XLOOKUP(payment[[#This Row],[inv_num]],vendor_invoice[inv_num],vendor_invoice[first_settle]),"-")</f>
        <v>-</v>
      </c>
      <c r="K19" t="str">
        <f>IFERROR(payment[[#This Row],[inv_amt]]-payment[[#This Row],[first_settle]]-SUMIF($E$8:E19,payment[[#This Row],[inv_num]],$L$8:L19)+payment[[#This Row],[pay_amt]],"-")</f>
        <v>-</v>
      </c>
      <c r="M19" s="33" t="str">
        <f>IFERROR(payment[[#This Row],[balance_due_before]]-payment[[#This Row],[pay_amt]],"-")</f>
        <v>-</v>
      </c>
    </row>
    <row r="20" spans="1:13" ht="21">
      <c r="A20" s="22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 t="str">
        <f>IF(payment[[#This Row],[payment_date]]&lt;&gt;"",MAX(vendor_invoice[ref])+ROWS($C$8:C20),"-")</f>
        <v>-</v>
      </c>
      <c r="E20" s="49"/>
      <c r="F20" s="58"/>
      <c r="G20" s="33" t="str">
        <f>IFERROR(_xlfn.XLOOKUP(payment[[#This Row],[inv_num]],vendor_invoice[inv_num],vendor_invoice[vendor_ref]),"-")</f>
        <v>-</v>
      </c>
      <c r="H20" t="str">
        <f>IFERROR(_xlfn.XLOOKUP(VALUE(payment[[#This Row],[vendor_ref]]),vendor[ref],vendor[display_name]),"-")</f>
        <v>-</v>
      </c>
      <c r="I20" t="str">
        <f>IFERROR(_xlfn.XLOOKUP(payment[[#This Row],[inv_num]],vendor_invoice[inv_num],vendor_invoice[inv_amt]),"-")</f>
        <v>-</v>
      </c>
      <c r="J20" t="str">
        <f>IFERROR(_xlfn.XLOOKUP(payment[[#This Row],[inv_num]],vendor_invoice[inv_num],vendor_invoice[first_settle]),"-")</f>
        <v>-</v>
      </c>
      <c r="K20" t="str">
        <f>IFERROR(payment[[#This Row],[inv_amt]]-payment[[#This Row],[first_settle]]-SUMIF($E$8:E20,payment[[#This Row],[inv_num]],$L$8:L20)+payment[[#This Row],[pay_amt]],"-")</f>
        <v>-</v>
      </c>
      <c r="M20" s="33" t="str">
        <f>IFERROR(payment[[#This Row],[balance_due_before]]-payment[[#This Row],[pay_amt]],"-")</f>
        <v>-</v>
      </c>
    </row>
    <row r="21" spans="1:13" ht="21">
      <c r="A21" s="22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 t="str">
        <f>IF(payment[[#This Row],[payment_date]]&lt;&gt;"",MAX(vendor_invoice[ref])+ROWS($C$8:C21),"-")</f>
        <v>-</v>
      </c>
      <c r="E21" s="49"/>
      <c r="F21" s="58"/>
      <c r="G21" s="33" t="str">
        <f>IFERROR(_xlfn.XLOOKUP(payment[[#This Row],[inv_num]],vendor_invoice[inv_num],vendor_invoice[vendor_ref]),"-")</f>
        <v>-</v>
      </c>
      <c r="H21" t="str">
        <f>IFERROR(_xlfn.XLOOKUP(VALUE(payment[[#This Row],[vendor_ref]]),vendor[ref],vendor[display_name]),"-")</f>
        <v>-</v>
      </c>
      <c r="I21" t="str">
        <f>IFERROR(_xlfn.XLOOKUP(payment[[#This Row],[inv_num]],vendor_invoice[inv_num],vendor_invoice[inv_amt]),"-")</f>
        <v>-</v>
      </c>
      <c r="J21" t="str">
        <f>IFERROR(_xlfn.XLOOKUP(payment[[#This Row],[inv_num]],vendor_invoice[inv_num],vendor_invoice[first_settle]),"-")</f>
        <v>-</v>
      </c>
      <c r="K21" t="str">
        <f>IFERROR(payment[[#This Row],[inv_amt]]-payment[[#This Row],[first_settle]]-SUMIF($E$8:E21,payment[[#This Row],[inv_num]],$L$8:L21)+payment[[#This Row],[pay_amt]],"-")</f>
        <v>-</v>
      </c>
      <c r="M21" s="33" t="str">
        <f>IFERROR(payment[[#This Row],[balance_due_before]]-payment[[#This Row],[pay_amt]],"-")</f>
        <v>-</v>
      </c>
    </row>
    <row r="22" spans="1:13" ht="21">
      <c r="A22" s="22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C22" t="str">
        <f>IF(payment[[#This Row],[payment_date]]&lt;&gt;"",MAX(vendor_invoice[ref])+ROWS($C$8:C22),"-")</f>
        <v>-</v>
      </c>
      <c r="E22" s="49"/>
      <c r="F22" s="58"/>
      <c r="G22" s="33" t="str">
        <f>IFERROR(_xlfn.XLOOKUP(payment[[#This Row],[inv_num]],vendor_invoice[inv_num],vendor_invoice[vendor_ref]),"-")</f>
        <v>-</v>
      </c>
      <c r="H22" t="str">
        <f>IFERROR(_xlfn.XLOOKUP(VALUE(payment[[#This Row],[vendor_ref]]),vendor[ref],vendor[display_name]),"-")</f>
        <v>-</v>
      </c>
      <c r="I22" t="str">
        <f>IFERROR(_xlfn.XLOOKUP(payment[[#This Row],[inv_num]],vendor_invoice[inv_num],vendor_invoice[inv_amt]),"-")</f>
        <v>-</v>
      </c>
      <c r="J22" t="str">
        <f>IFERROR(_xlfn.XLOOKUP(payment[[#This Row],[inv_num]],vendor_invoice[inv_num],vendor_invoice[first_settle]),"-")</f>
        <v>-</v>
      </c>
      <c r="K22" t="str">
        <f>IFERROR(payment[[#This Row],[inv_amt]]-payment[[#This Row],[first_settle]]-SUMIF($E$8:E22,payment[[#This Row],[inv_num]],$L$8:L22)+payment[[#This Row],[pay_amt]],"-")</f>
        <v>-</v>
      </c>
      <c r="M22" s="33" t="str">
        <f>IFERROR(payment[[#This Row],[balance_due_before]]-payment[[#This Row],[pay_amt]],"-")</f>
        <v>-</v>
      </c>
    </row>
  </sheetData>
  <phoneticPr fontId="10" type="noConversion"/>
  <conditionalFormatting sqref="A8:A22">
    <cfRule type="expression" dxfId="150" priority="8">
      <formula>A8=0</formula>
    </cfRule>
    <cfRule type="expression" dxfId="149" priority="9">
      <formula>A8=$A$2</formula>
    </cfRule>
  </conditionalFormatting>
  <conditionalFormatting sqref="D8:D22">
    <cfRule type="expression" dxfId="148" priority="7">
      <formula>$E8&lt;&gt;""</formula>
    </cfRule>
  </conditionalFormatting>
  <conditionalFormatting sqref="L8:L22">
    <cfRule type="expression" dxfId="147" priority="5">
      <formula>$K8=0</formula>
    </cfRule>
    <cfRule type="expression" dxfId="146" priority="6">
      <formula>$E8&lt;&gt;""</formula>
    </cfRule>
  </conditionalFormatting>
  <conditionalFormatting sqref="F8:F22">
    <cfRule type="expression" dxfId="145" priority="4">
      <formula>$E8&lt;&gt;""</formula>
    </cfRule>
  </conditionalFormatting>
  <conditionalFormatting sqref="K8:K22">
    <cfRule type="expression" dxfId="144" priority="3">
      <formula>K8&lt;0</formula>
    </cfRule>
  </conditionalFormatting>
  <conditionalFormatting sqref="M8:M22">
    <cfRule type="expression" dxfId="143" priority="2">
      <formula>M8&lt;0</formula>
    </cfRule>
  </conditionalFormatting>
  <dataValidations count="7">
    <dataValidation type="list" allowBlank="1" showInputMessage="1" showErrorMessage="1" error="You can only select the invoice that exists in the Vendor Invoice interface" promptTitle="Select Invoice To Pay" prompt="Select invoice to pay" sqref="E8:E22" xr:uid="{38A05F98-B543-4D7F-8CA7-F53C000DF72C}">
      <formula1>selectExpenseInvoice</formula1>
    </dataValidation>
    <dataValidation type="textLength" operator="equal" allowBlank="1" showInputMessage="1" showErrorMessage="1" errorTitle="Date " error="Please enter in format 'mm/dd/yyyy'" promptTitle="Date" prompt="Please input your date in format 'mm/dd/yyyy'_x000a_e.g. '05/31/2020" sqref="D8:D22" xr:uid="{3823D0E8-F062-4154-8532-8C123B89A59C}">
      <formula1>10</formula1>
    </dataValidation>
    <dataValidation type="list" allowBlank="1" showInputMessage="1" showErrorMessage="1" error="You can only select bank accounts that are listed on the Bank Account List" promptTitle="Select Payment Bank Account" prompt="Select only bank accounts that are listed on the Bank Account List" sqref="F8:F22" xr:uid="{618EDFEA-532D-44B9-BCBB-2C1C4A12B429}">
      <formula1>selectWithdrawalBank</formula1>
    </dataValidation>
    <dataValidation allowBlank="1" showInputMessage="1" showErrorMessage="1" error="you can only change language in the vendor invoice interface" promptTitle="Payment Interface Language" prompt="click this to change the language in the vendor invoice interface" sqref="D1" xr:uid="{26C42B35-EF61-4690-9013-531619949639}"/>
    <dataValidation type="decimal" allowBlank="1" showInputMessage="1" showErrorMessage="1" errorTitle="Cannot Be More Than Balance Due" error="This has to a postive amount that is less than the Balance Due Before" promptTitle="Individual Payment To Vendors" prompt="Please enter a positive amount that is not more than Balance Due (before this payment)" sqref="L8:L22" xr:uid="{C2137031-0873-44C2-B229-7626D872650B}">
      <formula1>0</formula1>
      <formula2>K8</formula2>
    </dataValidation>
    <dataValidation operator="greaterThanOrEqual" allowBlank="1" showInputMessage="1" showErrorMessage="1" error="Balance Due (Before) has to be at least 0" promptTitle="Balance Due (Before)" prompt="This amount has to be at least 0" sqref="K8:K22" xr:uid="{6853D7FE-C8C6-4C48-92B1-7D1886407E5F}"/>
    <dataValidation allowBlank="1" showInputMessage="1" showErrorMessage="1" errorTitle="Balance less than 0" error="This amount has to be at least 0" promptTitle="Balance Due After" prompt="This amount has to be at least 0" sqref="M8:M22" xr:uid="{89CFD28E-9CF8-4652-90AC-D0F01B3CFBFC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768A-F825-498B-9644-5CC16CEC798E}">
  <sheetPr codeName="Sheet3">
    <tabColor rgb="FF0070C0"/>
  </sheetPr>
  <dimension ref="A1:V22"/>
  <sheetViews>
    <sheetView showGridLines="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A9" sqref="A9"/>
    </sheetView>
  </sheetViews>
  <sheetFormatPr defaultRowHeight="14.4" outlineLevelRow="1" outlineLevelCol="1"/>
  <cols>
    <col min="1" max="1" width="29.77734375" bestFit="1" customWidth="1"/>
    <col min="2" max="2" width="9.33203125" customWidth="1"/>
    <col min="3" max="3" width="14.109375" bestFit="1" customWidth="1"/>
    <col min="4" max="5" width="14.109375" customWidth="1"/>
    <col min="6" max="6" width="14.109375" hidden="1" customWidth="1" outlineLevel="1"/>
    <col min="7" max="7" width="17.21875" bestFit="1" customWidth="1" collapsed="1"/>
    <col min="8" max="8" width="35" bestFit="1" customWidth="1"/>
    <col min="9" max="9" width="22.77734375" hidden="1" customWidth="1" outlineLevel="1"/>
    <col min="10" max="10" width="15.44140625" bestFit="1" customWidth="1" collapsed="1"/>
    <col min="11" max="11" width="11.5546875" customWidth="1"/>
    <col min="12" max="12" width="12.6640625" customWidth="1"/>
    <col min="13" max="13" width="15.77734375" bestFit="1" customWidth="1"/>
    <col min="14" max="14" width="12.6640625" customWidth="1"/>
    <col min="15" max="15" width="36.88671875" bestFit="1" customWidth="1"/>
    <col min="16" max="17" width="8.88671875" hidden="1" customWidth="1" outlineLevel="1"/>
    <col min="18" max="18" width="15" hidden="1" customWidth="1" outlineLevel="1"/>
    <col min="19" max="20" width="8.88671875" hidden="1" customWidth="1" outlineLevel="1"/>
    <col min="21" max="21" width="8.88671875" collapsed="1"/>
    <col min="22" max="22" width="15.44140625" customWidth="1"/>
  </cols>
  <sheetData>
    <row r="1" spans="1:22" s="15" customFormat="1" ht="28.8">
      <c r="A1" s="15" t="str" cm="1">
        <f t="array" aca="1" ref="A1" ca="1">MID(CELL("filename",$A$1),FIND("]",CELL("filename",$A$1))+1,31)</f>
        <v>income</v>
      </c>
      <c r="C1" s="26" t="s">
        <v>31</v>
      </c>
      <c r="D1" s="16" t="str" cm="1">
        <f t="array" ref="D1">_xlfn.XLOOKUP(C1,language[code],_xlfn.XLOOKUP(C1,language[#Headers],language[]))</f>
        <v>English</v>
      </c>
      <c r="E1" s="16"/>
      <c r="F1" s="16"/>
      <c r="O1" s="31">
        <v>0.12</v>
      </c>
      <c r="P1" s="28" t="s">
        <v>11</v>
      </c>
      <c r="U1" s="30"/>
      <c r="V1" s="15" t="s">
        <v>6</v>
      </c>
    </row>
    <row r="2" spans="1:22" s="15" customFormat="1" ht="28.8">
      <c r="A2" s="14" t="str" cm="1">
        <f t="array" aca="1" ref="A2" ca="1">_xlfn.XLOOKUP($A$1,table_summary[table_name],
_xlfn.XLOOKUP($C$1,table_summary[#Headers],table_summary[])
)</f>
        <v>Customer Invoice</v>
      </c>
      <c r="H2" s="14" t="str" cm="1">
        <f t="array" aca="1" ref="H2" ca="1">_xlfn.XLOOKUP($A$1,table_summary[table_name],
_xlfn.XLOOKUP($C$1,table_summary[#Headers],table_summary[])
)</f>
        <v>Customer Invoice</v>
      </c>
      <c r="U2" s="29"/>
      <c r="V2" s="15" t="s">
        <v>7</v>
      </c>
    </row>
    <row r="3" spans="1:22">
      <c r="U3" s="4"/>
      <c r="V3" t="s">
        <v>8</v>
      </c>
    </row>
    <row r="6" spans="1:22" s="15" customFormat="1" ht="72.599999999999994" thickBot="1">
      <c r="C6" s="74" t="str" cm="1">
        <f t="array" ref="C6">_xlfn.XLOOKUP(C7,field_list[field_name],
_xlfn.XLOOKUP($C$1,field_list[#Headers],field_list[]))</f>
        <v>Reference</v>
      </c>
      <c r="D6" s="74" t="str" cm="1">
        <f t="array" ref="D6">_xlfn.XLOOKUP(D7,field_list[field_name],
_xlfn.XLOOKUP($C$1,field_list[#Headers],field_list[]))</f>
        <v>Invoice Date
(mm/dd/yyyy)</v>
      </c>
      <c r="E6" s="74" t="str" cm="1">
        <f t="array" ref="E6">_xlfn.XLOOKUP(E7,field_list[field_name],
_xlfn.XLOOKUP($C$1,field_list[#Headers],field_list[]))</f>
        <v>Invoice Number</v>
      </c>
      <c r="F6" s="74" t="str" cm="1">
        <f t="array" ref="F6">_xlfn.XLOOKUP(F7,field_list[field_name],
_xlfn.XLOOKUP($C$1,field_list[#Headers],field_list[]))</f>
        <v>Customer Ref</v>
      </c>
      <c r="G6" s="74" t="str" cm="1">
        <f t="array" ref="G6">_xlfn.XLOOKUP(G7,field_list[field_name],
_xlfn.XLOOKUP($C$1,field_list[#Headers],field_list[]))</f>
        <v>Customer</v>
      </c>
      <c r="H6" s="74" t="str" cm="1">
        <f t="array" ref="H6">_xlfn.XLOOKUP(H7,field_list[field_name],
_xlfn.XLOOKUP($C$1,field_list[#Headers],field_list[]))</f>
        <v>Description</v>
      </c>
      <c r="I6" s="74" t="str" cm="1">
        <f t="array" ref="I6">_xlfn.XLOOKUP(I7,field_list[field_name],
_xlfn.XLOOKUP($C$1,field_list[#Headers],field_list[]))</f>
        <v>Revenue Item Reference</v>
      </c>
      <c r="J6" s="74" t="str" cm="1">
        <f t="array" ref="J6">_xlfn.XLOOKUP(J7,field_list[field_name],
_xlfn.XLOOKUP($C$1,field_list[#Headers],field_list[]))</f>
        <v>Invoice Amount
(Net Of Discount
(Before Tax)</v>
      </c>
      <c r="K6" s="74" t="str" cm="1">
        <f t="array" ref="K6">_xlfn.XLOOKUP(K7,field_list[field_name],
_xlfn.XLOOKUP($C$1,field_list[#Headers],field_list[]))</f>
        <v>Tax Amount</v>
      </c>
      <c r="L6" s="74" t="str" cm="1">
        <f t="array" ref="L6">_xlfn.XLOOKUP(L7,field_list[field_name],
_xlfn.XLOOKUP($C$1,field_list[#Headers],field_list[]))</f>
        <v>Net</v>
      </c>
      <c r="M6" s="75" t="str" cm="1">
        <f t="array" ref="M6">_xlfn.XLOOKUP(M7,field_list[field_name],
_xlfn.XLOOKUP($C$1,field_list[#Headers],field_list[]))</f>
        <v>Payment Date
(mm/dd/yyyy)</v>
      </c>
      <c r="N6" s="74" t="str" cm="1">
        <f t="array" ref="N6">_xlfn.XLOOKUP(N7,field_list[field_name],
_xlfn.XLOOKUP($C$1,field_list[#Headers],field_list[]))</f>
        <v>Amount settled
 (if any)
on the invoice date</v>
      </c>
      <c r="O6" s="74" t="str" cm="1">
        <f t="array" ref="O6">_xlfn.XLOOKUP(O7,field_list[field_name],
_xlfn.XLOOKUP($C$1,field_list[#Headers],field_list[]))</f>
        <v>Bank (Deposit)</v>
      </c>
      <c r="P6" s="35"/>
      <c r="Q6" s="35"/>
      <c r="R6" s="35"/>
      <c r="S6" s="35"/>
      <c r="T6" s="35"/>
    </row>
    <row r="7" spans="1:22" hidden="1" outlineLevel="1">
      <c r="C7" s="11" t="s">
        <v>0</v>
      </c>
      <c r="D7" s="11" t="s">
        <v>153</v>
      </c>
      <c r="E7" s="11" t="s">
        <v>248</v>
      </c>
      <c r="F7" s="11" t="s">
        <v>255</v>
      </c>
      <c r="G7" s="11" t="s">
        <v>10</v>
      </c>
      <c r="H7" s="11" t="s">
        <v>1</v>
      </c>
      <c r="I7" s="11" t="s">
        <v>270</v>
      </c>
      <c r="J7" s="11" t="s">
        <v>3</v>
      </c>
      <c r="K7" s="11" t="s">
        <v>4</v>
      </c>
      <c r="L7" s="11" t="s">
        <v>5</v>
      </c>
      <c r="M7" s="55" t="s">
        <v>202</v>
      </c>
      <c r="N7" s="11" t="s">
        <v>279</v>
      </c>
      <c r="O7" s="11" t="s">
        <v>20</v>
      </c>
      <c r="P7" s="11" t="s">
        <v>105</v>
      </c>
      <c r="Q7" s="11" t="s">
        <v>107</v>
      </c>
      <c r="R7" s="11" t="s">
        <v>108</v>
      </c>
      <c r="S7" s="11" t="s">
        <v>110</v>
      </c>
      <c r="T7" s="11" t="s">
        <v>111</v>
      </c>
    </row>
    <row r="8" spans="1:22" ht="21.6" collapsed="1" thickTop="1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IF(customer_invoice[[#This Row],[invoice_date]]&lt;&gt;"",MAX(payment[ref])+ROWS($C$8:C8),"-")</f>
        <v>14</v>
      </c>
      <c r="D8" s="47" t="s">
        <v>206</v>
      </c>
      <c r="E8" s="34">
        <f>IF(customer_invoice[[#This Row],[invoice_date]]="","-",1000+ROWS($E$8:E8))</f>
        <v>1001</v>
      </c>
      <c r="F8" s="34" t="str">
        <f>IFERROR(LEFT(customer_invoice[[#This Row],[customer_name]],FIND("_",customer_invoice[[#This Row],[customer_name]])-1),"-")</f>
        <v>1</v>
      </c>
      <c r="G8" s="2" t="s">
        <v>268</v>
      </c>
      <c r="H8" s="34" t="s">
        <v>273</v>
      </c>
      <c r="I8" s="34" t="str">
        <f>IFERROR(LEFT(customer_invoice[[#This Row],[description]],FIND("|",customer_invoice[[#This Row],[description]])-1),"-")</f>
        <v>8000</v>
      </c>
      <c r="J8" s="34">
        <v>1000</v>
      </c>
      <c r="K8" s="6">
        <f>$O$1*customer_invoice[[#This Row],[inv_amt]]</f>
        <v>120</v>
      </c>
      <c r="L8">
        <f>customer_invoice[[#This Row],[inv_amt]]-customer_invoice[[#This Row],[tax_amt]]</f>
        <v>880</v>
      </c>
      <c r="M8" s="37" t="str">
        <f>IF(customer_invoice[[#This Row],[invoice_date]]="","-",customer_invoice[[#This Row],[invoice_date]])</f>
        <v>05/31/2020</v>
      </c>
      <c r="N8">
        <v>1000</v>
      </c>
      <c r="O8" t="s">
        <v>337</v>
      </c>
      <c r="P8" s="4">
        <f>-customer_invoice[[#This Row],[net_amt]]</f>
        <v>-880</v>
      </c>
      <c r="Q8" s="4">
        <f>-customer_invoice[[#This Row],[tax_amt]]</f>
        <v>-120</v>
      </c>
      <c r="R8" s="4">
        <f>customer_invoice[[#This Row],[inv_amt]]</f>
        <v>1000</v>
      </c>
      <c r="S8" s="4"/>
      <c r="T8" s="4"/>
    </row>
    <row r="9" spans="1:22" ht="21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IF(customer_invoice[[#This Row],[invoice_date]]&lt;&gt;"",MAX(payment[ref])+ROWS($C$8:C9),"-")</f>
        <v>15</v>
      </c>
      <c r="D9" s="47" t="s">
        <v>251</v>
      </c>
      <c r="E9" s="34">
        <f>IF(customer_invoice[[#This Row],[invoice_date]]="","-",1000+ROWS($E$8:E9))</f>
        <v>1002</v>
      </c>
      <c r="F9" s="34" t="str">
        <f>IFERROR(LEFT(customer_invoice[[#This Row],[customer_name]],FIND("_",customer_invoice[[#This Row],[customer_name]])-1),"-")</f>
        <v>2</v>
      </c>
      <c r="G9" s="2" t="s">
        <v>267</v>
      </c>
      <c r="H9" s="34" t="s">
        <v>269</v>
      </c>
      <c r="I9" s="34" t="str">
        <f>IFERROR(LEFT(customer_invoice[[#This Row],[description]],FIND("|",customer_invoice[[#This Row],[description]])-1),"-")</f>
        <v>8000</v>
      </c>
      <c r="J9" s="34">
        <v>2000</v>
      </c>
      <c r="K9" s="6">
        <f>$O$1*customer_invoice[[#This Row],[inv_amt]]</f>
        <v>240</v>
      </c>
      <c r="L9">
        <f>customer_invoice[[#This Row],[inv_amt]]-customer_invoice[[#This Row],[tax_amt]]</f>
        <v>1760</v>
      </c>
      <c r="M9" s="37" t="str">
        <f>IF(customer_invoice[[#This Row],[invoice_date]]="","-",customer_invoice[[#This Row],[invoice_date]])</f>
        <v>11/12/2019</v>
      </c>
      <c r="N9">
        <v>800</v>
      </c>
      <c r="O9" t="s">
        <v>340</v>
      </c>
      <c r="P9" s="4">
        <f>-customer_invoice[[#This Row],[net_amt]]</f>
        <v>-1760</v>
      </c>
      <c r="Q9" s="4">
        <f>-customer_invoice[[#This Row],[tax_amt]]</f>
        <v>-240</v>
      </c>
      <c r="R9" s="4">
        <f>customer_invoice[[#This Row],[inv_amt]]</f>
        <v>2000</v>
      </c>
      <c r="S9" s="4"/>
      <c r="T9" s="4"/>
    </row>
    <row r="10" spans="1:22" ht="21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IF(customer_invoice[[#This Row],[invoice_date]]&lt;&gt;"",MAX(payment[ref])+ROWS($C$8:C10),"-")</f>
        <v>16</v>
      </c>
      <c r="D10" s="47" t="s">
        <v>252</v>
      </c>
      <c r="E10" s="34">
        <f>IF(customer_invoice[[#This Row],[invoice_date]]="","-",1000+ROWS($E$8:E10))</f>
        <v>1003</v>
      </c>
      <c r="F10" s="34" t="str">
        <f>IFERROR(LEFT(customer_invoice[[#This Row],[customer_name]],FIND("_",customer_invoice[[#This Row],[customer_name]])-1),"-")</f>
        <v>3</v>
      </c>
      <c r="G10" s="2" t="s">
        <v>278</v>
      </c>
      <c r="H10" s="34" t="s">
        <v>272</v>
      </c>
      <c r="I10" s="34" t="str">
        <f>IFERROR(LEFT(customer_invoice[[#This Row],[description]],FIND("|",customer_invoice[[#This Row],[description]])-1),"-")</f>
        <v>8230</v>
      </c>
      <c r="J10" s="34">
        <v>3000</v>
      </c>
      <c r="K10" s="6">
        <f>$O$1*customer_invoice[[#This Row],[inv_amt]]</f>
        <v>360</v>
      </c>
      <c r="L10">
        <f>customer_invoice[[#This Row],[inv_amt]]-customer_invoice[[#This Row],[tax_amt]]</f>
        <v>2640</v>
      </c>
      <c r="M10" s="37" t="str">
        <f>IF(customer_invoice[[#This Row],[invoice_date]]="","-",customer_invoice[[#This Row],[invoice_date]])</f>
        <v>12/13/2019</v>
      </c>
      <c r="N10">
        <v>3000</v>
      </c>
      <c r="O10" t="s">
        <v>339</v>
      </c>
      <c r="P10" s="4">
        <f>-customer_invoice[[#This Row],[net_amt]]</f>
        <v>-2640</v>
      </c>
      <c r="Q10" s="4">
        <f>-customer_invoice[[#This Row],[tax_amt]]</f>
        <v>-360</v>
      </c>
      <c r="R10" s="4">
        <f>customer_invoice[[#This Row],[inv_amt]]</f>
        <v>3000</v>
      </c>
      <c r="S10" s="4"/>
      <c r="T10" s="4"/>
    </row>
    <row r="11" spans="1:22" ht="21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>
        <f>IF(customer_invoice[[#This Row],[invoice_date]]&lt;&gt;"",MAX(payment[ref])+ROWS($C$8:C11),"-")</f>
        <v>17</v>
      </c>
      <c r="D11" s="47" t="s">
        <v>253</v>
      </c>
      <c r="E11" s="34">
        <f>IF(customer_invoice[[#This Row],[invoice_date]]="","-",1000+ROWS($E$8:E11))</f>
        <v>1004</v>
      </c>
      <c r="F11" s="34" t="str">
        <f>IFERROR(LEFT(customer_invoice[[#This Row],[customer_name]],FIND("_",customer_invoice[[#This Row],[customer_name]])-1),"-")</f>
        <v>1</v>
      </c>
      <c r="G11" s="2" t="s">
        <v>268</v>
      </c>
      <c r="H11" s="34" t="s">
        <v>269</v>
      </c>
      <c r="I11" s="34" t="str">
        <f>IFERROR(LEFT(customer_invoice[[#This Row],[description]],FIND("|",customer_invoice[[#This Row],[description]])-1),"-")</f>
        <v>8000</v>
      </c>
      <c r="J11" s="34">
        <v>4000</v>
      </c>
      <c r="K11" s="6">
        <f>$O$1*customer_invoice[[#This Row],[inv_amt]]</f>
        <v>480</v>
      </c>
      <c r="L11">
        <f>customer_invoice[[#This Row],[inv_amt]]-customer_invoice[[#This Row],[tax_amt]]</f>
        <v>3520</v>
      </c>
      <c r="M11" s="37" t="str">
        <f>IF(customer_invoice[[#This Row],[invoice_date]]="","-",customer_invoice[[#This Row],[invoice_date]])</f>
        <v>04/08/2019</v>
      </c>
      <c r="N11">
        <v>4000</v>
      </c>
      <c r="O11" t="s">
        <v>338</v>
      </c>
      <c r="P11" s="4">
        <f>-customer_invoice[[#This Row],[net_amt]]</f>
        <v>-3520</v>
      </c>
      <c r="Q11" s="4">
        <f>-customer_invoice[[#This Row],[tax_amt]]</f>
        <v>-480</v>
      </c>
      <c r="R11" s="4">
        <f>customer_invoice[[#This Row],[inv_amt]]</f>
        <v>4000</v>
      </c>
      <c r="S11" s="4"/>
      <c r="T11" s="4"/>
    </row>
    <row r="12" spans="1:22" ht="21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IF(customer_invoice[[#This Row],[invoice_date]]&lt;&gt;"",MAX(payment[ref])+ROWS($C$8:C12),"-")</f>
        <v>18</v>
      </c>
      <c r="D12" s="47" t="s">
        <v>205</v>
      </c>
      <c r="E12" s="34">
        <f>IF(customer_invoice[[#This Row],[invoice_date]]="","-",1000+ROWS($E$8:E12))</f>
        <v>1005</v>
      </c>
      <c r="F12" s="45" t="str">
        <f>IFERROR(LEFT(customer_invoice[[#This Row],[customer_name]],FIND("_",customer_invoice[[#This Row],[customer_name]])-1),"-")</f>
        <v>2</v>
      </c>
      <c r="G12" s="2" t="s">
        <v>267</v>
      </c>
      <c r="H12" s="34" t="s">
        <v>272</v>
      </c>
      <c r="I12" s="34" t="str">
        <f>IFERROR(LEFT(customer_invoice[[#This Row],[description]],FIND("|",customer_invoice[[#This Row],[description]])-1),"-")</f>
        <v>8230</v>
      </c>
      <c r="J12" s="34">
        <v>5000</v>
      </c>
      <c r="K12" s="51">
        <f>$O$1*customer_invoice[[#This Row],[inv_amt]]</f>
        <v>600</v>
      </c>
      <c r="L12" s="33">
        <f>customer_invoice[[#This Row],[inv_amt]]-customer_invoice[[#This Row],[tax_amt]]</f>
        <v>4400</v>
      </c>
      <c r="M12" s="56" t="str">
        <f>IF(customer_invoice[[#This Row],[invoice_date]]="","-",customer_invoice[[#This Row],[invoice_date]])</f>
        <v>06/01/2020</v>
      </c>
      <c r="N12">
        <v>500</v>
      </c>
      <c r="O12" t="s">
        <v>337</v>
      </c>
      <c r="P12" s="36">
        <f>-customer_invoice[[#This Row],[net_amt]]</f>
        <v>-4400</v>
      </c>
      <c r="Q12" s="36">
        <f>-customer_invoice[[#This Row],[tax_amt]]</f>
        <v>-600</v>
      </c>
      <c r="R12" s="36">
        <f>customer_invoice[[#This Row],[inv_amt]]</f>
        <v>5000</v>
      </c>
      <c r="S12" s="4"/>
      <c r="T12" s="4"/>
    </row>
    <row r="13" spans="1:22" ht="21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>
        <f>IF(customer_invoice[[#This Row],[invoice_date]]&lt;&gt;"",MAX(payment[ref])+ROWS($C$8:C13),"-")</f>
        <v>19</v>
      </c>
      <c r="D13" s="47" t="s">
        <v>206</v>
      </c>
      <c r="E13" s="34">
        <f>IF(customer_invoice[[#This Row],[invoice_date]]="","-",1000+ROWS($E$8:E13))</f>
        <v>1006</v>
      </c>
      <c r="F13" s="34" t="str">
        <f>IFERROR(LEFT(customer_invoice[[#This Row],[customer_name]],FIND("_",customer_invoice[[#This Row],[customer_name]])-1),"-")</f>
        <v>1</v>
      </c>
      <c r="G13" s="2" t="s">
        <v>268</v>
      </c>
      <c r="H13" s="34" t="s">
        <v>269</v>
      </c>
      <c r="I13" s="34" t="str">
        <f>IFERROR(LEFT(customer_invoice[[#This Row],[description]],FIND("|",customer_invoice[[#This Row],[description]])-1),"-")</f>
        <v>8000</v>
      </c>
      <c r="J13" s="34">
        <v>6000</v>
      </c>
      <c r="K13" s="6">
        <f>$O$1*customer_invoice[[#This Row],[inv_amt]]</f>
        <v>720</v>
      </c>
      <c r="L13">
        <f>customer_invoice[[#This Row],[inv_amt]]-customer_invoice[[#This Row],[tax_amt]]</f>
        <v>5280</v>
      </c>
      <c r="M13" s="37" t="str">
        <f>IF(customer_invoice[[#This Row],[invoice_date]]="","-",customer_invoice[[#This Row],[invoice_date]])</f>
        <v>05/31/2020</v>
      </c>
      <c r="P13" s="4">
        <f>-customer_invoice[[#This Row],[net_amt]]</f>
        <v>-5280</v>
      </c>
      <c r="Q13" s="4">
        <f>-customer_invoice[[#This Row],[tax_amt]]</f>
        <v>-720</v>
      </c>
      <c r="R13" s="4">
        <f>customer_invoice[[#This Row],[inv_amt]]</f>
        <v>6000</v>
      </c>
      <c r="S13" s="4"/>
      <c r="T13" s="4"/>
    </row>
    <row r="14" spans="1:22" ht="21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 t="str">
        <f>IF(customer_invoice[[#This Row],[invoice_date]]&lt;&gt;"",MAX(payment[ref])+ROWS($C$8:C14),"-")</f>
        <v>-</v>
      </c>
      <c r="D14" s="2"/>
      <c r="E14" s="34" t="str">
        <f>IF(customer_invoice[[#This Row],[invoice_date]]="","-",1000+ROWS($E$8:E14))</f>
        <v>-</v>
      </c>
      <c r="F14" s="45" t="str">
        <f>IFERROR(LEFT(customer_invoice[[#This Row],[customer_name]],FIND("_",customer_invoice[[#This Row],[customer_name]])-1),"-")</f>
        <v>-</v>
      </c>
      <c r="G14" s="2"/>
      <c r="H14" s="34"/>
      <c r="I14" t="str">
        <f>IFERROR(LEFT(customer_invoice[[#This Row],[description]],FIND("|",customer_invoice[[#This Row],[description]])-1),"-")</f>
        <v>-</v>
      </c>
      <c r="J14" s="34"/>
      <c r="K14" s="51">
        <f>$O$1*customer_invoice[[#This Row],[inv_amt]]</f>
        <v>0</v>
      </c>
      <c r="L14" s="33">
        <f>customer_invoice[[#This Row],[inv_amt]]-customer_invoice[[#This Row],[tax_amt]]</f>
        <v>0</v>
      </c>
      <c r="M14" s="56" t="str">
        <f>IF(customer_invoice[[#This Row],[invoice_date]]="","-",customer_invoice[[#This Row],[invoice_date]])</f>
        <v>-</v>
      </c>
      <c r="P14" s="36">
        <f>-customer_invoice[[#This Row],[net_amt]]</f>
        <v>0</v>
      </c>
      <c r="Q14" s="36">
        <f>-customer_invoice[[#This Row],[tax_amt]]</f>
        <v>0</v>
      </c>
      <c r="R14" s="36">
        <f>customer_invoice[[#This Row],[inv_amt]]</f>
        <v>0</v>
      </c>
      <c r="S14" s="4"/>
      <c r="T14" s="4"/>
    </row>
    <row r="15" spans="1:22" ht="21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 t="str">
        <f>IF(customer_invoice[[#This Row],[invoice_date]]&lt;&gt;"",MAX(payment[ref])+ROWS($C$8:C15),"-")</f>
        <v>-</v>
      </c>
      <c r="D15" s="2"/>
      <c r="E15" s="34" t="str">
        <f>IF(customer_invoice[[#This Row],[invoice_date]]="","-",1000+ROWS($E$8:E15))</f>
        <v>-</v>
      </c>
      <c r="F15" s="45" t="str">
        <f>IFERROR(LEFT(customer_invoice[[#This Row],[customer_name]],FIND("_",customer_invoice[[#This Row],[customer_name]])-1),"-")</f>
        <v>-</v>
      </c>
      <c r="G15" s="2"/>
      <c r="H15" s="34"/>
      <c r="I15" t="str">
        <f>IFERROR(LEFT(customer_invoice[[#This Row],[description]],FIND("|",customer_invoice[[#This Row],[description]])-1),"-")</f>
        <v>-</v>
      </c>
      <c r="J15" s="34"/>
      <c r="K15" s="51">
        <f>$O$1*customer_invoice[[#This Row],[inv_amt]]</f>
        <v>0</v>
      </c>
      <c r="L15" s="33">
        <f>customer_invoice[[#This Row],[inv_amt]]-customer_invoice[[#This Row],[tax_amt]]</f>
        <v>0</v>
      </c>
      <c r="M15" s="56" t="str">
        <f>IF(customer_invoice[[#This Row],[invoice_date]]="","-",customer_invoice[[#This Row],[invoice_date]])</f>
        <v>-</v>
      </c>
      <c r="P15" s="36">
        <f>-customer_invoice[[#This Row],[net_amt]]</f>
        <v>0</v>
      </c>
      <c r="Q15" s="36">
        <f>-customer_invoice[[#This Row],[tax_amt]]</f>
        <v>0</v>
      </c>
      <c r="R15" s="36">
        <f>customer_invoice[[#This Row],[inv_amt]]</f>
        <v>0</v>
      </c>
      <c r="S15" s="4"/>
      <c r="T15" s="4"/>
    </row>
    <row r="16" spans="1:22" ht="21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 t="str">
        <f>IF(customer_invoice[[#This Row],[invoice_date]]&lt;&gt;"",MAX(payment[ref])+ROWS($C$8:C16),"-")</f>
        <v>-</v>
      </c>
      <c r="D16" s="2"/>
      <c r="E16" s="34" t="str">
        <f>IF(customer_invoice[[#This Row],[invoice_date]]="","-",1000+ROWS($E$8:E16))</f>
        <v>-</v>
      </c>
      <c r="F16" s="45" t="str">
        <f>IFERROR(LEFT(customer_invoice[[#This Row],[customer_name]],FIND("_",customer_invoice[[#This Row],[customer_name]])-1),"-")</f>
        <v>-</v>
      </c>
      <c r="G16" s="2"/>
      <c r="H16" s="34"/>
      <c r="I16" t="str">
        <f>IFERROR(LEFT(customer_invoice[[#This Row],[description]],FIND("|",customer_invoice[[#This Row],[description]])-1),"-")</f>
        <v>-</v>
      </c>
      <c r="J16" s="34"/>
      <c r="K16" s="51">
        <f>$O$1*customer_invoice[[#This Row],[inv_amt]]</f>
        <v>0</v>
      </c>
      <c r="L16" s="33">
        <f>customer_invoice[[#This Row],[inv_amt]]-customer_invoice[[#This Row],[tax_amt]]</f>
        <v>0</v>
      </c>
      <c r="M16" s="56" t="str">
        <f>IF(customer_invoice[[#This Row],[invoice_date]]="","-",customer_invoice[[#This Row],[invoice_date]])</f>
        <v>-</v>
      </c>
      <c r="P16" s="36">
        <f>-customer_invoice[[#This Row],[net_amt]]</f>
        <v>0</v>
      </c>
      <c r="Q16" s="36">
        <f>-customer_invoice[[#This Row],[tax_amt]]</f>
        <v>0</v>
      </c>
      <c r="R16" s="36">
        <f>customer_invoice[[#This Row],[inv_amt]]</f>
        <v>0</v>
      </c>
      <c r="S16" s="4"/>
      <c r="T16" s="4"/>
    </row>
    <row r="17" spans="1:20" ht="21">
      <c r="A17" s="22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 t="str">
        <f>IF(customer_invoice[[#This Row],[invoice_date]]&lt;&gt;"",MAX(payment[ref])+ROWS($C$8:C17),"-")</f>
        <v>-</v>
      </c>
      <c r="D17" s="2"/>
      <c r="E17" s="34" t="str">
        <f>IF(customer_invoice[[#This Row],[invoice_date]]="","-",1000+ROWS($E$8:E17))</f>
        <v>-</v>
      </c>
      <c r="F17" s="45" t="str">
        <f>IFERROR(LEFT(customer_invoice[[#This Row],[customer_name]],FIND("_",customer_invoice[[#This Row],[customer_name]])-1),"-")</f>
        <v>-</v>
      </c>
      <c r="G17" s="2"/>
      <c r="H17" s="34"/>
      <c r="I17" t="str">
        <f>IFERROR(LEFT(customer_invoice[[#This Row],[description]],FIND("|",customer_invoice[[#This Row],[description]])-1),"-")</f>
        <v>-</v>
      </c>
      <c r="J17" s="34"/>
      <c r="K17" s="51">
        <f>$O$1*customer_invoice[[#This Row],[inv_amt]]</f>
        <v>0</v>
      </c>
      <c r="L17" s="33">
        <f>customer_invoice[[#This Row],[inv_amt]]-customer_invoice[[#This Row],[tax_amt]]</f>
        <v>0</v>
      </c>
      <c r="M17" s="56" t="str">
        <f>IF(customer_invoice[[#This Row],[invoice_date]]="","-",customer_invoice[[#This Row],[invoice_date]])</f>
        <v>-</v>
      </c>
      <c r="P17" s="36">
        <f>-customer_invoice[[#This Row],[net_amt]]</f>
        <v>0</v>
      </c>
      <c r="Q17" s="36">
        <f>-customer_invoice[[#This Row],[tax_amt]]</f>
        <v>0</v>
      </c>
      <c r="R17" s="36">
        <f>customer_invoice[[#This Row],[inv_amt]]</f>
        <v>0</v>
      </c>
      <c r="S17" s="4"/>
      <c r="T17" s="4"/>
    </row>
    <row r="18" spans="1:20" ht="42">
      <c r="A18" s="22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 t="str">
        <f>IF(customer_invoice[[#This Row],[invoice_date]]&lt;&gt;"",MAX(payment[ref])+ROWS($C$8:C18),"-")</f>
        <v>-</v>
      </c>
      <c r="D18" s="2"/>
      <c r="E18" s="34" t="str">
        <f>IF(customer_invoice[[#This Row],[invoice_date]]="","-",1000+ROWS($E$8:E18))</f>
        <v>-</v>
      </c>
      <c r="F18" s="45" t="str">
        <f>IFERROR(LEFT(customer_invoice[[#This Row],[customer_name]],FIND("_",customer_invoice[[#This Row],[customer_name]])-1),"-")</f>
        <v>-</v>
      </c>
      <c r="G18" s="2"/>
      <c r="H18" s="34"/>
      <c r="I18" t="str">
        <f>IFERROR(LEFT(customer_invoice[[#This Row],[description]],FIND("|",customer_invoice[[#This Row],[description]])-1),"-")</f>
        <v>-</v>
      </c>
      <c r="J18" s="34"/>
      <c r="K18" s="51">
        <f>$O$1*customer_invoice[[#This Row],[inv_amt]]</f>
        <v>0</v>
      </c>
      <c r="L18" s="33">
        <f>customer_invoice[[#This Row],[inv_amt]]-customer_invoice[[#This Row],[tax_amt]]</f>
        <v>0</v>
      </c>
      <c r="M18" s="56" t="str">
        <f>IF(customer_invoice[[#This Row],[invoice_date]]="","-",customer_invoice[[#This Row],[invoice_date]])</f>
        <v>-</v>
      </c>
      <c r="P18" s="36">
        <f>-customer_invoice[[#This Row],[net_amt]]</f>
        <v>0</v>
      </c>
      <c r="Q18" s="36">
        <f>-customer_invoice[[#This Row],[tax_amt]]</f>
        <v>0</v>
      </c>
      <c r="R18" s="36">
        <f>customer_invoice[[#This Row],[inv_amt]]</f>
        <v>0</v>
      </c>
      <c r="S18" s="4"/>
      <c r="T18" s="4"/>
    </row>
    <row r="19" spans="1:20" ht="21">
      <c r="A19" s="22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 t="str">
        <f>IF(customer_invoice[[#This Row],[invoice_date]]&lt;&gt;"",MAX(payment[ref])+ROWS($C$8:C19),"-")</f>
        <v>-</v>
      </c>
      <c r="D19" s="2"/>
      <c r="E19" s="34" t="str">
        <f>IF(customer_invoice[[#This Row],[invoice_date]]="","-",1000+ROWS($E$8:E19))</f>
        <v>-</v>
      </c>
      <c r="F19" s="45" t="str">
        <f>IFERROR(LEFT(customer_invoice[[#This Row],[customer_name]],FIND("_",customer_invoice[[#This Row],[customer_name]])-1),"-")</f>
        <v>-</v>
      </c>
      <c r="G19" s="2"/>
      <c r="H19" s="34"/>
      <c r="I19" t="str">
        <f>IFERROR(LEFT(customer_invoice[[#This Row],[description]],FIND("|",customer_invoice[[#This Row],[description]])-1),"-")</f>
        <v>-</v>
      </c>
      <c r="J19" s="34"/>
      <c r="K19" s="51">
        <f>$O$1*customer_invoice[[#This Row],[inv_amt]]</f>
        <v>0</v>
      </c>
      <c r="L19" s="33">
        <f>customer_invoice[[#This Row],[inv_amt]]-customer_invoice[[#This Row],[tax_amt]]</f>
        <v>0</v>
      </c>
      <c r="M19" s="56" t="str">
        <f>IF(customer_invoice[[#This Row],[invoice_date]]="","-",customer_invoice[[#This Row],[invoice_date]])</f>
        <v>-</v>
      </c>
      <c r="P19" s="36">
        <f>-customer_invoice[[#This Row],[net_amt]]</f>
        <v>0</v>
      </c>
      <c r="Q19" s="36">
        <f>-customer_invoice[[#This Row],[tax_amt]]</f>
        <v>0</v>
      </c>
      <c r="R19" s="36">
        <f>customer_invoice[[#This Row],[inv_amt]]</f>
        <v>0</v>
      </c>
      <c r="S19" s="4"/>
      <c r="T19" s="4"/>
    </row>
    <row r="20" spans="1:20" ht="21">
      <c r="A20" s="22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 t="str">
        <f>IF(customer_invoice[[#This Row],[invoice_date]]&lt;&gt;"",MAX(payment[ref])+ROWS($C$8:C20),"-")</f>
        <v>-</v>
      </c>
      <c r="D20" s="2"/>
      <c r="E20" s="34" t="str">
        <f>IF(customer_invoice[[#This Row],[invoice_date]]="","-",1000+ROWS($E$8:E20))</f>
        <v>-</v>
      </c>
      <c r="F20" s="45" t="str">
        <f>IFERROR(LEFT(customer_invoice[[#This Row],[customer_name]],FIND("_",customer_invoice[[#This Row],[customer_name]])-1),"-")</f>
        <v>-</v>
      </c>
      <c r="G20" s="2"/>
      <c r="H20" s="34"/>
      <c r="I20" t="str">
        <f>IFERROR(LEFT(customer_invoice[[#This Row],[description]],FIND("|",customer_invoice[[#This Row],[description]])-1),"-")</f>
        <v>-</v>
      </c>
      <c r="J20" s="34"/>
      <c r="K20" s="51">
        <f>$O$1*customer_invoice[[#This Row],[inv_amt]]</f>
        <v>0</v>
      </c>
      <c r="L20" s="33">
        <f>customer_invoice[[#This Row],[inv_amt]]-customer_invoice[[#This Row],[tax_amt]]</f>
        <v>0</v>
      </c>
      <c r="M20" s="56" t="str">
        <f>IF(customer_invoice[[#This Row],[invoice_date]]="","-",customer_invoice[[#This Row],[invoice_date]])</f>
        <v>-</v>
      </c>
      <c r="P20" s="36">
        <f>-customer_invoice[[#This Row],[net_amt]]</f>
        <v>0</v>
      </c>
      <c r="Q20" s="36">
        <f>-customer_invoice[[#This Row],[tax_amt]]</f>
        <v>0</v>
      </c>
      <c r="R20" s="36">
        <f>customer_invoice[[#This Row],[inv_amt]]</f>
        <v>0</v>
      </c>
      <c r="S20" s="4"/>
      <c r="T20" s="4"/>
    </row>
    <row r="21" spans="1:20" ht="21">
      <c r="A21" s="22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 t="str">
        <f>IF(customer_invoice[[#This Row],[invoice_date]]&lt;&gt;"",MAX(payment[ref])+ROWS($C$8:C21),"-")</f>
        <v>-</v>
      </c>
      <c r="D21" s="2"/>
      <c r="E21" s="34" t="str">
        <f>IF(customer_invoice[[#This Row],[invoice_date]]="","-",1000+ROWS($E$8:E21))</f>
        <v>-</v>
      </c>
      <c r="F21" s="45" t="str">
        <f>IFERROR(LEFT(customer_invoice[[#This Row],[customer_name]],FIND("_",customer_invoice[[#This Row],[customer_name]])-1),"-")</f>
        <v>-</v>
      </c>
      <c r="G21" s="2"/>
      <c r="H21" s="34"/>
      <c r="I21" t="str">
        <f>IFERROR(LEFT(customer_invoice[[#This Row],[description]],FIND("|",customer_invoice[[#This Row],[description]])-1),"-")</f>
        <v>-</v>
      </c>
      <c r="J21" s="34"/>
      <c r="K21" s="51">
        <f>$O$1*customer_invoice[[#This Row],[inv_amt]]</f>
        <v>0</v>
      </c>
      <c r="L21" s="33">
        <f>customer_invoice[[#This Row],[inv_amt]]-customer_invoice[[#This Row],[tax_amt]]</f>
        <v>0</v>
      </c>
      <c r="M21" s="56" t="str">
        <f>IF(customer_invoice[[#This Row],[invoice_date]]="","-",customer_invoice[[#This Row],[invoice_date]])</f>
        <v>-</v>
      </c>
      <c r="P21" s="36">
        <f>-customer_invoice[[#This Row],[net_amt]]</f>
        <v>0</v>
      </c>
      <c r="Q21" s="36">
        <f>-customer_invoice[[#This Row],[tax_amt]]</f>
        <v>0</v>
      </c>
      <c r="R21" s="36">
        <f>customer_invoice[[#This Row],[inv_amt]]</f>
        <v>0</v>
      </c>
      <c r="S21" s="4"/>
      <c r="T21" s="4"/>
    </row>
    <row r="22" spans="1:20" ht="21">
      <c r="A22" s="22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C22" t="str">
        <f>IF(customer_invoice[[#This Row],[invoice_date]]&lt;&gt;"",MAX(payment[ref])+ROWS($C$8:C22),"-")</f>
        <v>-</v>
      </c>
      <c r="D22" s="2"/>
      <c r="E22" s="34" t="str">
        <f>IF(customer_invoice[[#This Row],[invoice_date]]="","-",1000+ROWS($E$8:E22))</f>
        <v>-</v>
      </c>
      <c r="F22" s="45" t="str">
        <f>IFERROR(LEFT(customer_invoice[[#This Row],[customer_name]],FIND("_",customer_invoice[[#This Row],[customer_name]])-1),"-")</f>
        <v>-</v>
      </c>
      <c r="G22" s="2"/>
      <c r="H22" s="34"/>
      <c r="I22" t="str">
        <f>IFERROR(LEFT(customer_invoice[[#This Row],[description]],FIND("|",customer_invoice[[#This Row],[description]])-1),"-")</f>
        <v>-</v>
      </c>
      <c r="J22" s="34"/>
      <c r="K22" s="51">
        <f>$O$1*customer_invoice[[#This Row],[inv_amt]]</f>
        <v>0</v>
      </c>
      <c r="L22" s="33">
        <f>customer_invoice[[#This Row],[inv_amt]]-customer_invoice[[#This Row],[tax_amt]]</f>
        <v>0</v>
      </c>
      <c r="M22" s="56" t="str">
        <f>IF(customer_invoice[[#This Row],[invoice_date]]="","-",customer_invoice[[#This Row],[invoice_date]])</f>
        <v>-</v>
      </c>
      <c r="P22" s="36">
        <f>-customer_invoice[[#This Row],[net_amt]]</f>
        <v>0</v>
      </c>
      <c r="Q22" s="36">
        <f>-customer_invoice[[#This Row],[tax_amt]]</f>
        <v>0</v>
      </c>
      <c r="R22" s="36">
        <f>customer_invoice[[#This Row],[inv_amt]]</f>
        <v>0</v>
      </c>
      <c r="S22" s="4"/>
      <c r="T22" s="4"/>
    </row>
  </sheetData>
  <conditionalFormatting sqref="A8:A22">
    <cfRule type="expression" dxfId="132" priority="5">
      <formula>A8=0</formula>
    </cfRule>
    <cfRule type="expression" dxfId="131" priority="6">
      <formula>A8=$A$2</formula>
    </cfRule>
  </conditionalFormatting>
  <conditionalFormatting sqref="H8:H22">
    <cfRule type="expression" dxfId="130" priority="4">
      <formula>G8&lt;&gt;""</formula>
    </cfRule>
  </conditionalFormatting>
  <conditionalFormatting sqref="J8:J22">
    <cfRule type="expression" dxfId="129" priority="3">
      <formula>G8&lt;&gt;""</formula>
    </cfRule>
  </conditionalFormatting>
  <conditionalFormatting sqref="N8:N22">
    <cfRule type="expression" dxfId="128" priority="2">
      <formula>G8&lt;&gt;""</formula>
    </cfRule>
  </conditionalFormatting>
  <conditionalFormatting sqref="O8:O22">
    <cfRule type="expression" dxfId="127" priority="1">
      <formula>$N8&gt;0</formula>
    </cfRule>
  </conditionalFormatting>
  <dataValidations disablePrompts="1" count="7">
    <dataValidation type="list" allowBlank="1" showInputMessage="1" showErrorMessage="1" error="Changing language here will also affect the language set in Receipt interface" promptTitle="Change Language" prompt="Changing language here will also affect the receipt interface" sqref="C1" xr:uid="{B36E445F-A742-44A5-AF70-1AA3834EBB77}">
      <formula1>select_lang_code</formula1>
    </dataValidation>
    <dataValidation type="textLength" operator="equal" allowBlank="1" showInputMessage="1" showErrorMessage="1" errorTitle="Date " error="Please enter in format 'mm/dd/yyyy'" promptTitle="Date" prompt="Please input your date in format 'mm/dd/yyyy'_x000a_e.g. '05/31/2020" sqref="D8:D22" xr:uid="{FBAF49A8-6160-4BE5-97F1-A88F45D6674B}">
      <formula1>10</formula1>
    </dataValidation>
    <dataValidation type="list" allowBlank="1" showInputMessage="1" showErrorMessage="1" errorTitle="Select Customer" error="You have to select the customer that appears on the Customer List" promptTitle="Select Customer" prompt="Add a new customer from the Customer List _x000a_if you don't see a customer from selection" sqref="G8:G22" xr:uid="{8B26B9B5-88E1-4159-8955-2F4F47AA2913}">
      <formula1>selectCustomer</formula1>
    </dataValidation>
    <dataValidation type="decimal" operator="greaterThanOrEqual" allowBlank="1" showInputMessage="1" showErrorMessage="1" errorTitle="Amount Paid" error="Amount paid must be at least 0" promptTitle="Amount Paid On Invoice Date" prompt="Fill in the amount paid on invoice date" sqref="N8:N22" xr:uid="{1CAE7520-2D96-43F4-9A0B-FA6AB206B322}">
      <formula1>0</formula1>
    </dataValidation>
    <dataValidation type="list" allowBlank="1" showInputMessage="1" showErrorMessage="1" promptTitle="Income Item" prompt="You can only select the income item that exists on the Chart Of Account;_x000a_Create one if you don't see the income item you need" sqref="H8:H22" xr:uid="{40ADAABA-A016-4711-B022-CF39B19FFB32}">
      <formula1>selectIncome</formula1>
    </dataValidation>
    <dataValidation type="decimal" operator="greaterThanOrEqual" allowBlank="1" showInputMessage="1" showErrorMessage="1" error="Please enter a number that is more than or equal to 0" promptTitle="Invoice Amount" prompt="Please enter amount that is at least 0" sqref="J8:J22" xr:uid="{E8A20862-753A-4295-95D5-DC9B45868D50}">
      <formula1>0</formula1>
    </dataValidation>
    <dataValidation type="list" operator="greaterThanOrEqual" allowBlank="1" showInputMessage="1" showErrorMessage="1" promptTitle="Deposit Bank Account" prompt="Select the deposit bank account" sqref="O8:O22" xr:uid="{A72C0EA9-09D4-4A37-8634-B72B4444DDD9}">
      <formula1>selectDepositBank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5E03-91A5-436D-8267-D43F0B40D579}">
  <sheetPr>
    <tabColor rgb="FF00B0F0"/>
  </sheetPr>
  <dimension ref="A1:M22"/>
  <sheetViews>
    <sheetView showGridLines="0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A17" sqref="A17"/>
    </sheetView>
  </sheetViews>
  <sheetFormatPr defaultRowHeight="14.4" outlineLevelRow="1"/>
  <cols>
    <col min="1" max="1" width="39.77734375" customWidth="1"/>
    <col min="3" max="3" width="10.5546875" customWidth="1"/>
    <col min="4" max="4" width="26" bestFit="1" customWidth="1"/>
    <col min="5" max="5" width="14.44140625" customWidth="1"/>
    <col min="6" max="6" width="36.109375" bestFit="1" customWidth="1"/>
    <col min="7" max="7" width="10.5546875" customWidth="1"/>
    <col min="8" max="8" width="17.21875" bestFit="1" customWidth="1"/>
    <col min="9" max="9" width="12.77734375" bestFit="1" customWidth="1"/>
    <col min="10" max="10" width="12.6640625" bestFit="1" customWidth="1"/>
    <col min="11" max="11" width="21.21875" bestFit="1" customWidth="1"/>
    <col min="12" max="12" width="17.88671875" customWidth="1"/>
    <col min="13" max="13" width="19.5546875" bestFit="1" customWidth="1"/>
  </cols>
  <sheetData>
    <row r="1" spans="1:13" ht="18">
      <c r="A1" t="str" cm="1">
        <f t="array" aca="1" ref="A1" ca="1">MID(CELL("filename",$A$1),FIND("]",CELL("filename",$A$1))+1,31)</f>
        <v>receipt</v>
      </c>
      <c r="C1" s="46" t="str">
        <f>income!$C$1</f>
        <v>eng</v>
      </c>
      <c r="D1" s="59" t="str" cm="1">
        <f t="array" aca="1" ref="D1" ca="1">HYPERLINK(_xlfn.XLOOKUP(income!$A$1,table_summary[table_name],table_summary[link_location]),
_xlfn.XLOOKUP($C$1,language[code],
_xlfn.XLOOKUP($C$1,language[#Headers],language[]))
)</f>
        <v>English</v>
      </c>
      <c r="E1" s="42"/>
    </row>
    <row r="2" spans="1:13" ht="20.399999999999999">
      <c r="A2" s="14" t="str" cm="1">
        <f t="array" aca="1" ref="A2" ca="1">_xlfn.XLOOKUP($A$1,table_summary[table_name],
_xlfn.XLOOKUP($C$1,table_summary[#Headers],table_summary[])
)</f>
        <v>Receipt (Cash Received)</v>
      </c>
    </row>
    <row r="6" spans="1:13" s="15" customFormat="1" ht="72.599999999999994" thickBot="1">
      <c r="C6" s="74" t="str" cm="1">
        <f t="array" ref="C6">_xlfn.XLOOKUP(C7,field_list[field_name],
_xlfn.XLOOKUP($C$1,field_list[#Headers],field_list[])
)</f>
        <v>Reference</v>
      </c>
      <c r="D6" s="74" t="str" cm="1">
        <f t="array" ref="D6">_xlfn.XLOOKUP(D7,field_list[field_name],
_xlfn.XLOOKUP($C$1,field_list[#Headers],field_list[])
)</f>
        <v>Payment Date
(mm/dd/yyyy)</v>
      </c>
      <c r="E6" s="74" t="str" cm="1">
        <f t="array" ref="E6">_xlfn.XLOOKUP(E7,field_list[field_name],
_xlfn.XLOOKUP($C$1,field_list[#Headers],field_list[])
)</f>
        <v>Invoice Number</v>
      </c>
      <c r="F6" s="74" t="str" cm="1">
        <f t="array" ref="F6">_xlfn.XLOOKUP(F7,field_list[field_name],
_xlfn.XLOOKUP($C$1,field_list[#Headers],field_list[])
)</f>
        <v>Bank (Deposit)</v>
      </c>
      <c r="G6" s="74" t="str" cm="1">
        <f t="array" ref="G6">_xlfn.XLOOKUP(G7,field_list[field_name],
_xlfn.XLOOKUP($C$1,field_list[#Headers],field_list[])
)</f>
        <v>Customer Ref</v>
      </c>
      <c r="H6" s="74" t="str" cm="1">
        <f t="array" ref="H6">_xlfn.XLOOKUP(H7,field_list[field_name],
_xlfn.XLOOKUP($C$1,field_list[#Headers],field_list[])
)</f>
        <v>Customer</v>
      </c>
      <c r="I6" s="74" t="str" cm="1">
        <f t="array" ref="I6">_xlfn.XLOOKUP(I7,field_list[field_name],
_xlfn.XLOOKUP($C$1,field_list[#Headers],field_list[])
)</f>
        <v>Invoice Amount
(Net Of Discount
(Before Tax)</v>
      </c>
      <c r="J6" s="74" t="str" cm="1">
        <f t="array" ref="J6">_xlfn.XLOOKUP(J7,field_list[field_name],
_xlfn.XLOOKUP($C$1,field_list[#Headers],field_list[])
)</f>
        <v>Amount settled
 (if any)
on the invoice date</v>
      </c>
      <c r="K6" s="74" t="str" cm="1">
        <f t="array" ref="K6">_xlfn.XLOOKUP(K7,field_list[field_name],
_xlfn.XLOOKUP($C$1,field_list[#Headers],field_list[])
)</f>
        <v>Balance Due 
(Before Payment)</v>
      </c>
      <c r="L6" s="74" t="str" cm="1">
        <f t="array" ref="L6">_xlfn.XLOOKUP(L7,field_list[field_name],
_xlfn.XLOOKUP($C$1,field_list[#Headers],field_list[])
)</f>
        <v>Amount
(Received)</v>
      </c>
      <c r="M6" s="74" t="str" cm="1">
        <f t="array" ref="M6">_xlfn.XLOOKUP(M7,field_list[field_name],
_xlfn.XLOOKUP($C$1,field_list[#Headers],field_list[])
)</f>
        <v>Balance Due
(After Payment)</v>
      </c>
    </row>
    <row r="7" spans="1:13" hidden="1" outlineLevel="1">
      <c r="C7" t="s">
        <v>0</v>
      </c>
      <c r="D7" t="s">
        <v>202</v>
      </c>
      <c r="E7" t="s">
        <v>248</v>
      </c>
      <c r="F7" t="s">
        <v>20</v>
      </c>
      <c r="G7" t="s">
        <v>255</v>
      </c>
      <c r="H7" t="s">
        <v>10</v>
      </c>
      <c r="I7" t="s">
        <v>3</v>
      </c>
      <c r="J7" t="s">
        <v>279</v>
      </c>
      <c r="K7" t="s">
        <v>285</v>
      </c>
      <c r="L7" t="s">
        <v>25</v>
      </c>
      <c r="M7" t="s">
        <v>286</v>
      </c>
    </row>
    <row r="8" spans="1:13" ht="21.6" collapsed="1" thickTop="1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IF(receipt[[#This Row],[payment_date]]&lt;&gt;"",MAX(customer_invoice[ref])+ROWS($C$8:C8),"-")</f>
        <v>20</v>
      </c>
      <c r="D8" s="54" t="s">
        <v>292</v>
      </c>
      <c r="E8" s="2">
        <v>1006</v>
      </c>
      <c r="F8" s="34" t="s">
        <v>337</v>
      </c>
      <c r="G8" t="str">
        <f>IFERROR(_xlfn.XLOOKUP(receipt[[#This Row],[inv_num]],customer_invoice[inv_num],customer_invoice[customer_ref]),"-")</f>
        <v>1</v>
      </c>
      <c r="H8" t="str">
        <f>IFERROR(_xlfn.XLOOKUP(VALUE(receipt[[#This Row],[customer_ref]]),customer[ref],customer[display_name]),"-")</f>
        <v>1_Customer 1</v>
      </c>
      <c r="I8">
        <f>IFERROR(_xlfn.XLOOKUP(receipt[[#This Row],[inv_num]],customer_invoice[inv_num],customer_invoice[inv_amt]),"-")</f>
        <v>6000</v>
      </c>
      <c r="J8">
        <f>IFERROR(_xlfn.XLOOKUP(receipt[[#This Row],[inv_num]],customer_invoice[inv_num],customer_invoice[first_settle]),"-")</f>
        <v>0</v>
      </c>
      <c r="K8">
        <f>IFERROR(receipt[[#This Row],[inv_amt]]-receipt[[#This Row],[first_settle]]-SUMIF($E$8:E8,receipt[[#This Row],[inv_num]],$L$8:L8)+receipt[[#This Row],[receipt_amt]],"-")</f>
        <v>6000</v>
      </c>
      <c r="L8">
        <v>5500</v>
      </c>
      <c r="M8">
        <f>IFERROR(receipt[[#This Row],[balance_due_before]]-receipt[[#This Row],[receipt_amt]],"-")</f>
        <v>500</v>
      </c>
    </row>
    <row r="9" spans="1:13" ht="21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IF(receipt[[#This Row],[payment_date]]&lt;&gt;"",MAX(customer_invoice[ref])+ROWS($C$8:C9),"-")</f>
        <v>21</v>
      </c>
      <c r="D9" s="54" t="s">
        <v>293</v>
      </c>
      <c r="E9" s="2">
        <v>1002</v>
      </c>
      <c r="F9" s="34" t="s">
        <v>338</v>
      </c>
      <c r="G9" t="str">
        <f>IFERROR(_xlfn.XLOOKUP(receipt[[#This Row],[inv_num]],customer_invoice[inv_num],customer_invoice[customer_ref]),"-")</f>
        <v>2</v>
      </c>
      <c r="H9" t="str">
        <f>IFERROR(_xlfn.XLOOKUP(VALUE(receipt[[#This Row],[customer_ref]]),customer[ref],customer[display_name]),"-")</f>
        <v>2_Customer 2</v>
      </c>
      <c r="I9">
        <f>IFERROR(_xlfn.XLOOKUP(receipt[[#This Row],[inv_num]],customer_invoice[inv_num],customer_invoice[inv_amt]),"-")</f>
        <v>2000</v>
      </c>
      <c r="J9">
        <f>IFERROR(_xlfn.XLOOKUP(receipt[[#This Row],[inv_num]],customer_invoice[inv_num],customer_invoice[first_settle]),"-")</f>
        <v>800</v>
      </c>
      <c r="K9">
        <f>IFERROR(receipt[[#This Row],[inv_amt]]-receipt[[#This Row],[first_settle]]-SUMIF($E$8:E9,receipt[[#This Row],[inv_num]],$L$8:L9)+receipt[[#This Row],[receipt_amt]],"-")</f>
        <v>1200</v>
      </c>
      <c r="L9">
        <v>1199</v>
      </c>
      <c r="M9">
        <f>IFERROR(receipt[[#This Row],[balance_due_before]]-receipt[[#This Row],[receipt_amt]],"-")</f>
        <v>1</v>
      </c>
    </row>
    <row r="10" spans="1:13" ht="21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IF(receipt[[#This Row],[payment_date]]&lt;&gt;"",MAX(customer_invoice[ref])+ROWS($C$8:C10),"-")</f>
        <v>22</v>
      </c>
      <c r="D10" s="54" t="s">
        <v>294</v>
      </c>
      <c r="E10" s="2">
        <v>1006</v>
      </c>
      <c r="F10" s="34" t="s">
        <v>338</v>
      </c>
      <c r="G10" t="str">
        <f>IFERROR(_xlfn.XLOOKUP(receipt[[#This Row],[inv_num]],customer_invoice[inv_num],customer_invoice[customer_ref]),"-")</f>
        <v>1</v>
      </c>
      <c r="H10" t="str">
        <f>IFERROR(_xlfn.XLOOKUP(VALUE(receipt[[#This Row],[customer_ref]]),customer[ref],customer[display_name]),"-")</f>
        <v>1_Customer 1</v>
      </c>
      <c r="I10">
        <f>IFERROR(_xlfn.XLOOKUP(receipt[[#This Row],[inv_num]],customer_invoice[inv_num],customer_invoice[inv_amt]),"-")</f>
        <v>6000</v>
      </c>
      <c r="J10">
        <f>IFERROR(_xlfn.XLOOKUP(receipt[[#This Row],[inv_num]],customer_invoice[inv_num],customer_invoice[first_settle]),"-")</f>
        <v>0</v>
      </c>
      <c r="K10">
        <f>IFERROR(receipt[[#This Row],[inv_amt]]-receipt[[#This Row],[first_settle]]-SUMIF($E$8:E10,receipt[[#This Row],[inv_num]],$L$8:L10)+receipt[[#This Row],[receipt_amt]],"-")</f>
        <v>500</v>
      </c>
      <c r="L10">
        <v>25</v>
      </c>
      <c r="M10">
        <f>IFERROR(receipt[[#This Row],[balance_due_before]]-receipt[[#This Row],[receipt_amt]],"-")</f>
        <v>475</v>
      </c>
    </row>
    <row r="11" spans="1:13" ht="21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>
        <f>IF(receipt[[#This Row],[payment_date]]&lt;&gt;"",MAX(customer_invoice[ref])+ROWS($C$8:C11),"-")</f>
        <v>23</v>
      </c>
      <c r="D11" s="54" t="s">
        <v>323</v>
      </c>
      <c r="E11" s="2">
        <v>1006</v>
      </c>
      <c r="F11" s="34" t="s">
        <v>337</v>
      </c>
      <c r="G11" t="str">
        <f>IFERROR(_xlfn.XLOOKUP(receipt[[#This Row],[inv_num]],customer_invoice[inv_num],customer_invoice[customer_ref]),"-")</f>
        <v>1</v>
      </c>
      <c r="H11" t="str">
        <f>IFERROR(_xlfn.XLOOKUP(VALUE(receipt[[#This Row],[customer_ref]]),customer[ref],customer[display_name]),"-")</f>
        <v>1_Customer 1</v>
      </c>
      <c r="I11">
        <f>IFERROR(_xlfn.XLOOKUP(receipt[[#This Row],[inv_num]],customer_invoice[inv_num],customer_invoice[inv_amt]),"-")</f>
        <v>6000</v>
      </c>
      <c r="J11">
        <f>IFERROR(_xlfn.XLOOKUP(receipt[[#This Row],[inv_num]],customer_invoice[inv_num],customer_invoice[first_settle]),"-")</f>
        <v>0</v>
      </c>
      <c r="K11">
        <f>IFERROR(receipt[[#This Row],[inv_amt]]-receipt[[#This Row],[first_settle]]-SUMIF($E$8:E11,receipt[[#This Row],[inv_num]],$L$8:L11)+receipt[[#This Row],[receipt_amt]],"-")</f>
        <v>475</v>
      </c>
      <c r="L11">
        <v>420</v>
      </c>
      <c r="M11">
        <f>IFERROR(receipt[[#This Row],[balance_due_before]]-receipt[[#This Row],[receipt_amt]],"-")</f>
        <v>55</v>
      </c>
    </row>
    <row r="12" spans="1:13" ht="21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IF(receipt[[#This Row],[payment_date]]&lt;&gt;"",MAX(customer_invoice[ref])+ROWS($C$8:C12),"-")</f>
        <v>24</v>
      </c>
      <c r="D12" s="54" t="s">
        <v>324</v>
      </c>
      <c r="E12" s="2">
        <v>1006</v>
      </c>
      <c r="F12" s="34" t="s">
        <v>339</v>
      </c>
      <c r="G12" t="str">
        <f>IFERROR(_xlfn.XLOOKUP(receipt[[#This Row],[inv_num]],customer_invoice[inv_num],customer_invoice[customer_ref]),"-")</f>
        <v>1</v>
      </c>
      <c r="H12" t="str">
        <f>IFERROR(_xlfn.XLOOKUP(VALUE(receipt[[#This Row],[customer_ref]]),customer[ref],customer[display_name]),"-")</f>
        <v>1_Customer 1</v>
      </c>
      <c r="I12">
        <f>IFERROR(_xlfn.XLOOKUP(receipt[[#This Row],[inv_num]],customer_invoice[inv_num],customer_invoice[inv_amt]),"-")</f>
        <v>6000</v>
      </c>
      <c r="J12">
        <f>IFERROR(_xlfn.XLOOKUP(receipt[[#This Row],[inv_num]],customer_invoice[inv_num],customer_invoice[first_settle]),"-")</f>
        <v>0</v>
      </c>
      <c r="K12">
        <f>IFERROR(receipt[[#This Row],[inv_amt]]-receipt[[#This Row],[first_settle]]-SUMIF($E$8:E12,receipt[[#This Row],[inv_num]],$L$8:L12)+receipt[[#This Row],[receipt_amt]],"-")</f>
        <v>55</v>
      </c>
      <c r="L12">
        <v>50</v>
      </c>
      <c r="M12">
        <f>IFERROR(receipt[[#This Row],[balance_due_before]]-receipt[[#This Row],[receipt_amt]],"-")</f>
        <v>5</v>
      </c>
    </row>
    <row r="13" spans="1:13" ht="21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 t="str">
        <f>IF(receipt[[#This Row],[payment_date]]&lt;&gt;"",MAX(customer_invoice[ref])+ROWS($C$8:C13),"-")</f>
        <v>-</v>
      </c>
      <c r="D13" s="53"/>
      <c r="E13" s="2"/>
      <c r="F13" s="34"/>
      <c r="G13" t="str">
        <f>IFERROR(_xlfn.XLOOKUP(receipt[[#This Row],[inv_num]],customer_invoice[inv_num],customer_invoice[customer_ref]),"-")</f>
        <v>-</v>
      </c>
      <c r="H13" t="str">
        <f>IFERROR(_xlfn.XLOOKUP(VALUE(receipt[[#This Row],[customer_ref]]),customer[ref],customer[display_name]),"-")</f>
        <v>-</v>
      </c>
      <c r="I13" t="str">
        <f>IFERROR(_xlfn.XLOOKUP(receipt[[#This Row],[inv_num]],customer_invoice[inv_num],customer_invoice[inv_amt]),"-")</f>
        <v>-</v>
      </c>
      <c r="J13" t="str">
        <f>IFERROR(_xlfn.XLOOKUP(receipt[[#This Row],[inv_num]],customer_invoice[inv_num],customer_invoice[first_settle]),"-")</f>
        <v>-</v>
      </c>
      <c r="K13" t="str">
        <f>IFERROR(receipt[[#This Row],[inv_amt]]-receipt[[#This Row],[first_settle]]-SUMIF($E$8:E13,receipt[[#This Row],[inv_num]],$L$8:L13)+receipt[[#This Row],[receipt_amt]],"-")</f>
        <v>-</v>
      </c>
      <c r="M13" t="str">
        <f>IFERROR(receipt[[#This Row],[balance_due_before]]-receipt[[#This Row],[receipt_amt]],"-")</f>
        <v>-</v>
      </c>
    </row>
    <row r="14" spans="1:13" ht="21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 t="str">
        <f>IF(receipt[[#This Row],[payment_date]]&lt;&gt;"",MAX(customer_invoice[ref])+ROWS($C$8:C14),"-")</f>
        <v>-</v>
      </c>
      <c r="D14" s="53"/>
      <c r="E14" s="2"/>
      <c r="F14" s="34"/>
      <c r="G14" t="str">
        <f>IFERROR(_xlfn.XLOOKUP(receipt[[#This Row],[inv_num]],customer_invoice[inv_num],customer_invoice[customer_ref]),"-")</f>
        <v>-</v>
      </c>
      <c r="H14" t="str">
        <f>IFERROR(_xlfn.XLOOKUP(VALUE(receipt[[#This Row],[customer_ref]]),customer[ref],customer[display_name]),"-")</f>
        <v>-</v>
      </c>
      <c r="I14" t="str">
        <f>IFERROR(_xlfn.XLOOKUP(receipt[[#This Row],[inv_num]],customer_invoice[inv_num],customer_invoice[inv_amt]),"-")</f>
        <v>-</v>
      </c>
      <c r="J14" t="str">
        <f>IFERROR(_xlfn.XLOOKUP(receipt[[#This Row],[inv_num]],customer_invoice[inv_num],customer_invoice[first_settle]),"-")</f>
        <v>-</v>
      </c>
      <c r="K14" t="str">
        <f>IFERROR(receipt[[#This Row],[inv_amt]]-receipt[[#This Row],[first_settle]]-SUMIF($E$8:E14,receipt[[#This Row],[inv_num]],$L$8:L14)+receipt[[#This Row],[receipt_amt]],"-")</f>
        <v>-</v>
      </c>
      <c r="M14" t="str">
        <f>IFERROR(receipt[[#This Row],[balance_due_before]]-receipt[[#This Row],[receipt_amt]],"-")</f>
        <v>-</v>
      </c>
    </row>
    <row r="15" spans="1:13" ht="21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 t="str">
        <f>IF(receipt[[#This Row],[payment_date]]&lt;&gt;"",MAX(customer_invoice[ref])+ROWS($C$8:C15),"-")</f>
        <v>-</v>
      </c>
      <c r="D15" s="53"/>
      <c r="E15" s="2"/>
      <c r="F15" s="34"/>
      <c r="G15" t="str">
        <f>IFERROR(_xlfn.XLOOKUP(receipt[[#This Row],[inv_num]],customer_invoice[inv_num],customer_invoice[customer_ref]),"-")</f>
        <v>-</v>
      </c>
      <c r="H15" t="str">
        <f>IFERROR(_xlfn.XLOOKUP(VALUE(receipt[[#This Row],[customer_ref]]),customer[ref],customer[display_name]),"-")</f>
        <v>-</v>
      </c>
      <c r="I15" t="str">
        <f>IFERROR(_xlfn.XLOOKUP(receipt[[#This Row],[inv_num]],customer_invoice[inv_num],customer_invoice[inv_amt]),"-")</f>
        <v>-</v>
      </c>
      <c r="J15" t="str">
        <f>IFERROR(_xlfn.XLOOKUP(receipt[[#This Row],[inv_num]],customer_invoice[inv_num],customer_invoice[first_settle]),"-")</f>
        <v>-</v>
      </c>
      <c r="K15" t="str">
        <f>IFERROR(receipt[[#This Row],[inv_amt]]-receipt[[#This Row],[first_settle]]-SUMIF($E$8:E15,receipt[[#This Row],[inv_num]],$L$8:L15)+receipt[[#This Row],[receipt_amt]],"-")</f>
        <v>-</v>
      </c>
      <c r="M15" t="str">
        <f>IFERROR(receipt[[#This Row],[balance_due_before]]-receipt[[#This Row],[receipt_amt]],"-")</f>
        <v>-</v>
      </c>
    </row>
    <row r="16" spans="1:13" ht="21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 t="str">
        <f>IF(receipt[[#This Row],[payment_date]]&lt;&gt;"",MAX(customer_invoice[ref])+ROWS($C$8:C16),"-")</f>
        <v>-</v>
      </c>
      <c r="D16" s="53"/>
      <c r="E16" s="2"/>
      <c r="F16" s="34"/>
      <c r="G16" t="str">
        <f>IFERROR(_xlfn.XLOOKUP(receipt[[#This Row],[inv_num]],customer_invoice[inv_num],customer_invoice[customer_ref]),"-")</f>
        <v>-</v>
      </c>
      <c r="H16" t="str">
        <f>IFERROR(_xlfn.XLOOKUP(VALUE(receipt[[#This Row],[customer_ref]]),customer[ref],customer[display_name]),"-")</f>
        <v>-</v>
      </c>
      <c r="I16" t="str">
        <f>IFERROR(_xlfn.XLOOKUP(receipt[[#This Row],[inv_num]],customer_invoice[inv_num],customer_invoice[inv_amt]),"-")</f>
        <v>-</v>
      </c>
      <c r="J16" t="str">
        <f>IFERROR(_xlfn.XLOOKUP(receipt[[#This Row],[inv_num]],customer_invoice[inv_num],customer_invoice[first_settle]),"-")</f>
        <v>-</v>
      </c>
      <c r="K16" t="str">
        <f>IFERROR(receipt[[#This Row],[inv_amt]]-receipt[[#This Row],[first_settle]]-SUMIF($E$8:E16,receipt[[#This Row],[inv_num]],$L$8:L16)+receipt[[#This Row],[receipt_amt]],"-")</f>
        <v>-</v>
      </c>
      <c r="M16" t="str">
        <f>IFERROR(receipt[[#This Row],[balance_due_before]]-receipt[[#This Row],[receipt_amt]],"-")</f>
        <v>-</v>
      </c>
    </row>
    <row r="17" spans="1:13" ht="21">
      <c r="A17" s="22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 t="str">
        <f>IF(receipt[[#This Row],[payment_date]]&lt;&gt;"",MAX(customer_invoice[ref])+ROWS($C$8:C17),"-")</f>
        <v>-</v>
      </c>
      <c r="D17" s="53"/>
      <c r="E17" s="2"/>
      <c r="F17" s="34"/>
      <c r="G17" t="str">
        <f>IFERROR(_xlfn.XLOOKUP(receipt[[#This Row],[inv_num]],customer_invoice[inv_num],customer_invoice[customer_ref]),"-")</f>
        <v>-</v>
      </c>
      <c r="H17" t="str">
        <f>IFERROR(_xlfn.XLOOKUP(VALUE(receipt[[#This Row],[customer_ref]]),customer[ref],customer[display_name]),"-")</f>
        <v>-</v>
      </c>
      <c r="I17" t="str">
        <f>IFERROR(_xlfn.XLOOKUP(receipt[[#This Row],[inv_num]],customer_invoice[inv_num],customer_invoice[inv_amt]),"-")</f>
        <v>-</v>
      </c>
      <c r="J17" t="str">
        <f>IFERROR(_xlfn.XLOOKUP(receipt[[#This Row],[inv_num]],customer_invoice[inv_num],customer_invoice[first_settle]),"-")</f>
        <v>-</v>
      </c>
      <c r="K17" t="str">
        <f>IFERROR(receipt[[#This Row],[inv_amt]]-receipt[[#This Row],[first_settle]]-SUMIF($E$8:E17,receipt[[#This Row],[inv_num]],$L$8:L17)+receipt[[#This Row],[receipt_amt]],"-")</f>
        <v>-</v>
      </c>
      <c r="M17" t="str">
        <f>IFERROR(receipt[[#This Row],[balance_due_before]]-receipt[[#This Row],[receipt_amt]],"-")</f>
        <v>-</v>
      </c>
    </row>
    <row r="18" spans="1:13" ht="21">
      <c r="A18" s="22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 t="str">
        <f>IF(receipt[[#This Row],[payment_date]]&lt;&gt;"",MAX(customer_invoice[ref])+ROWS($C$8:C18),"-")</f>
        <v>-</v>
      </c>
      <c r="D18" s="53"/>
      <c r="E18" s="2"/>
      <c r="F18" s="34"/>
      <c r="G18" t="str">
        <f>IFERROR(_xlfn.XLOOKUP(receipt[[#This Row],[inv_num]],customer_invoice[inv_num],customer_invoice[customer_ref]),"-")</f>
        <v>-</v>
      </c>
      <c r="H18" t="str">
        <f>IFERROR(_xlfn.XLOOKUP(VALUE(receipt[[#This Row],[customer_ref]]),customer[ref],customer[display_name]),"-")</f>
        <v>-</v>
      </c>
      <c r="I18" t="str">
        <f>IFERROR(_xlfn.XLOOKUP(receipt[[#This Row],[inv_num]],customer_invoice[inv_num],customer_invoice[inv_amt]),"-")</f>
        <v>-</v>
      </c>
      <c r="J18" t="str">
        <f>IFERROR(_xlfn.XLOOKUP(receipt[[#This Row],[inv_num]],customer_invoice[inv_num],customer_invoice[first_settle]),"-")</f>
        <v>-</v>
      </c>
      <c r="K18" t="str">
        <f>IFERROR(receipt[[#This Row],[inv_amt]]-receipt[[#This Row],[first_settle]]-SUMIF($E$8:E18,receipt[[#This Row],[inv_num]],$L$8:L18)+receipt[[#This Row],[receipt_amt]],"-")</f>
        <v>-</v>
      </c>
      <c r="M18" t="str">
        <f>IFERROR(receipt[[#This Row],[balance_due_before]]-receipt[[#This Row],[receipt_amt]],"-")</f>
        <v>-</v>
      </c>
    </row>
    <row r="19" spans="1:13" ht="21">
      <c r="A19" s="22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 t="str">
        <f>IF(receipt[[#This Row],[payment_date]]&lt;&gt;"",MAX(customer_invoice[ref])+ROWS($C$8:C19),"-")</f>
        <v>-</v>
      </c>
      <c r="D19" s="53"/>
      <c r="E19" s="2"/>
      <c r="F19" s="34"/>
      <c r="G19" t="str">
        <f>IFERROR(_xlfn.XLOOKUP(receipt[[#This Row],[inv_num]],customer_invoice[inv_num],customer_invoice[customer_ref]),"-")</f>
        <v>-</v>
      </c>
      <c r="H19" t="str">
        <f>IFERROR(_xlfn.XLOOKUP(VALUE(receipt[[#This Row],[customer_ref]]),customer[ref],customer[display_name]),"-")</f>
        <v>-</v>
      </c>
      <c r="I19" t="str">
        <f>IFERROR(_xlfn.XLOOKUP(receipt[[#This Row],[inv_num]],customer_invoice[inv_num],customer_invoice[inv_amt]),"-")</f>
        <v>-</v>
      </c>
      <c r="J19" t="str">
        <f>IFERROR(_xlfn.XLOOKUP(receipt[[#This Row],[inv_num]],customer_invoice[inv_num],customer_invoice[first_settle]),"-")</f>
        <v>-</v>
      </c>
      <c r="K19" t="str">
        <f>IFERROR(receipt[[#This Row],[inv_amt]]-receipt[[#This Row],[first_settle]]-SUMIF($E$8:E19,receipt[[#This Row],[inv_num]],$L$8:L19)+receipt[[#This Row],[receipt_amt]],"-")</f>
        <v>-</v>
      </c>
      <c r="M19" t="str">
        <f>IFERROR(receipt[[#This Row],[balance_due_before]]-receipt[[#This Row],[receipt_amt]],"-")</f>
        <v>-</v>
      </c>
    </row>
    <row r="20" spans="1:13" ht="21">
      <c r="A20" s="22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 t="str">
        <f>IF(receipt[[#This Row],[payment_date]]&lt;&gt;"",MAX(customer_invoice[ref])+ROWS($C$8:C20),"-")</f>
        <v>-</v>
      </c>
      <c r="D20" s="53"/>
      <c r="E20" s="2"/>
      <c r="F20" s="34"/>
      <c r="G20" t="str">
        <f>IFERROR(_xlfn.XLOOKUP(receipt[[#This Row],[inv_num]],customer_invoice[inv_num],customer_invoice[customer_ref]),"-")</f>
        <v>-</v>
      </c>
      <c r="H20" t="str">
        <f>IFERROR(_xlfn.XLOOKUP(VALUE(receipt[[#This Row],[customer_ref]]),customer[ref],customer[display_name]),"-")</f>
        <v>-</v>
      </c>
      <c r="I20" t="str">
        <f>IFERROR(_xlfn.XLOOKUP(receipt[[#This Row],[inv_num]],customer_invoice[inv_num],customer_invoice[inv_amt]),"-")</f>
        <v>-</v>
      </c>
      <c r="J20" t="str">
        <f>IFERROR(_xlfn.XLOOKUP(receipt[[#This Row],[inv_num]],customer_invoice[inv_num],customer_invoice[first_settle]),"-")</f>
        <v>-</v>
      </c>
      <c r="K20" t="str">
        <f>IFERROR(receipt[[#This Row],[inv_amt]]-receipt[[#This Row],[first_settle]]-SUMIF($E$8:E20,receipt[[#This Row],[inv_num]],$L$8:L20)+receipt[[#This Row],[receipt_amt]],"-")</f>
        <v>-</v>
      </c>
      <c r="M20" t="str">
        <f>IFERROR(receipt[[#This Row],[balance_due_before]]-receipt[[#This Row],[receipt_amt]],"-")</f>
        <v>-</v>
      </c>
    </row>
    <row r="21" spans="1:13" ht="21">
      <c r="A21" s="22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 t="str">
        <f>IF(receipt[[#This Row],[payment_date]]&lt;&gt;"",MAX(customer_invoice[ref])+ROWS($C$8:C21),"-")</f>
        <v>-</v>
      </c>
      <c r="D21" s="53"/>
      <c r="E21" s="2"/>
      <c r="F21" s="34"/>
      <c r="G21" t="str">
        <f>IFERROR(_xlfn.XLOOKUP(receipt[[#This Row],[inv_num]],customer_invoice[inv_num],customer_invoice[customer_ref]),"-")</f>
        <v>-</v>
      </c>
      <c r="H21" t="str">
        <f>IFERROR(_xlfn.XLOOKUP(VALUE(receipt[[#This Row],[customer_ref]]),customer[ref],customer[display_name]),"-")</f>
        <v>-</v>
      </c>
      <c r="I21" t="str">
        <f>IFERROR(_xlfn.XLOOKUP(receipt[[#This Row],[inv_num]],customer_invoice[inv_num],customer_invoice[inv_amt]),"-")</f>
        <v>-</v>
      </c>
      <c r="J21" t="str">
        <f>IFERROR(_xlfn.XLOOKUP(receipt[[#This Row],[inv_num]],customer_invoice[inv_num],customer_invoice[first_settle]),"-")</f>
        <v>-</v>
      </c>
      <c r="K21" t="str">
        <f>IFERROR(receipt[[#This Row],[inv_amt]]-receipt[[#This Row],[first_settle]]-SUMIF($E$8:E21,receipt[[#This Row],[inv_num]],$L$8:L21)+receipt[[#This Row],[receipt_amt]],"-")</f>
        <v>-</v>
      </c>
      <c r="M21" t="str">
        <f>IFERROR(receipt[[#This Row],[balance_due_before]]-receipt[[#This Row],[receipt_amt]],"-")</f>
        <v>-</v>
      </c>
    </row>
    <row r="22" spans="1:13" ht="21">
      <c r="A22" s="22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C22" t="str">
        <f>IF(receipt[[#This Row],[payment_date]]&lt;&gt;"",MAX(customer_invoice[ref])+ROWS($C$8:C22),"-")</f>
        <v>-</v>
      </c>
      <c r="D22" s="53"/>
      <c r="E22" s="2"/>
      <c r="F22" s="34"/>
      <c r="G22" t="str">
        <f>IFERROR(_xlfn.XLOOKUP(receipt[[#This Row],[inv_num]],customer_invoice[inv_num],customer_invoice[customer_ref]),"-")</f>
        <v>-</v>
      </c>
      <c r="H22" t="str">
        <f>IFERROR(_xlfn.XLOOKUP(VALUE(receipt[[#This Row],[customer_ref]]),customer[ref],customer[display_name]),"-")</f>
        <v>-</v>
      </c>
      <c r="I22" t="str">
        <f>IFERROR(_xlfn.XLOOKUP(receipt[[#This Row],[inv_num]],customer_invoice[inv_num],customer_invoice[inv_amt]),"-")</f>
        <v>-</v>
      </c>
      <c r="J22" t="str">
        <f>IFERROR(_xlfn.XLOOKUP(receipt[[#This Row],[inv_num]],customer_invoice[inv_num],customer_invoice[first_settle]),"-")</f>
        <v>-</v>
      </c>
      <c r="K22" t="str">
        <f>IFERROR(receipt[[#This Row],[inv_amt]]-receipt[[#This Row],[first_settle]]-SUMIF($E$8:E22,receipt[[#This Row],[inv_num]],$L$8:L22)+receipt[[#This Row],[receipt_amt]],"-")</f>
        <v>-</v>
      </c>
      <c r="M22" t="str">
        <f>IFERROR(receipt[[#This Row],[balance_due_before]]-receipt[[#This Row],[receipt_amt]],"-")</f>
        <v>-</v>
      </c>
    </row>
  </sheetData>
  <conditionalFormatting sqref="A8:A22">
    <cfRule type="expression" dxfId="110" priority="9">
      <formula>A8=0</formula>
    </cfRule>
    <cfRule type="expression" dxfId="109" priority="10">
      <formula>A8=$A$2</formula>
    </cfRule>
  </conditionalFormatting>
  <conditionalFormatting sqref="D8:D22">
    <cfRule type="expression" dxfId="108" priority="8">
      <formula>$E8&lt;&gt;""</formula>
    </cfRule>
  </conditionalFormatting>
  <conditionalFormatting sqref="L8:L22">
    <cfRule type="expression" dxfId="107" priority="5">
      <formula>$K8=0</formula>
    </cfRule>
    <cfRule type="expression" dxfId="106" priority="7">
      <formula>$E8&lt;&gt;""</formula>
    </cfRule>
  </conditionalFormatting>
  <conditionalFormatting sqref="F8:F22">
    <cfRule type="expression" dxfId="105" priority="6">
      <formula>$E8&lt;&gt;""</formula>
    </cfRule>
  </conditionalFormatting>
  <conditionalFormatting sqref="K8:K22">
    <cfRule type="expression" dxfId="104" priority="2">
      <formula>K8&lt;0</formula>
    </cfRule>
  </conditionalFormatting>
  <conditionalFormatting sqref="M8:M22">
    <cfRule type="expression" dxfId="103" priority="1">
      <formula>M8&lt;0</formula>
    </cfRule>
  </conditionalFormatting>
  <dataValidations count="5">
    <dataValidation type="textLength" operator="equal" allowBlank="1" showInputMessage="1" showErrorMessage="1" errorTitle="Date " error="Please enter in format 'mm/dd/yyyy'" promptTitle="Date" prompt="Please input your date in format 'mm/dd/yyyy'_x000a_e.g. '05/31/2020" sqref="D8:D22" xr:uid="{4C4D4279-3F8A-41E1-BDDB-61AB77F8C185}">
      <formula1>10</formula1>
    </dataValidation>
    <dataValidation type="list" allowBlank="1" showInputMessage="1" showErrorMessage="1" promptTitle="Select Invoice To Collect Cash" prompt="Select the invoice to collect cash " sqref="E8:E22" xr:uid="{2B78A65E-C1A8-48E4-A9A3-DEE3C340784E}">
      <formula1>selecIncomeInvoice</formula1>
    </dataValidation>
    <dataValidation type="list" allowBlank="1" showInputMessage="1" showErrorMessage="1" error="only bank accounts that are listed on the Bank Account List can be selected" promptTitle="Select Deposit Bank" prompt="Select only bank accounts that are listed on the Bank Account List" sqref="F8:F22" xr:uid="{C0A80120-1803-457C-82A3-9114448C661C}">
      <formula1>selectDepositBank</formula1>
    </dataValidation>
    <dataValidation allowBlank="1" showInputMessage="1" showErrorMessage="1" error="Balance Due (Before) must be at least 0" promptTitle="Balance Due (Before)" prompt="Balance Due (Before) must be at least 0" sqref="K8" xr:uid="{9C374E6D-BF32-452F-A617-2D053429EC62}"/>
    <dataValidation type="decimal" allowBlank="1" showInputMessage="1" showErrorMessage="1" errorTitle="Amount Collected" error="This has to be a postive amount that is less than the Balance Due Before" promptTitle="Amount Collected From Customer" prompt="Please enter positive amount that is not more than the balance due before this payment" sqref="L8:L22" xr:uid="{7A97D686-4738-448A-B5D5-7D65806D524C}">
      <formula1>0</formula1>
      <formula2>K8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877E4-A43F-4646-89E1-18BFCF05794F}">
  <sheetPr codeName="Sheet4">
    <tabColor rgb="FF7030A0"/>
  </sheetPr>
  <dimension ref="A1:S22"/>
  <sheetViews>
    <sheetView showGridLines="0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A10" sqref="A10"/>
    </sheetView>
  </sheetViews>
  <sheetFormatPr defaultRowHeight="14.4" outlineLevelRow="1" outlineLevelCol="1"/>
  <cols>
    <col min="1" max="1" width="30.44140625" bestFit="1" customWidth="1"/>
    <col min="2" max="2" width="4.77734375" customWidth="1"/>
    <col min="3" max="3" width="9.88671875" bestFit="1" customWidth="1"/>
    <col min="4" max="4" width="17.109375" bestFit="1" customWidth="1"/>
    <col min="5" max="5" width="36.88671875" bestFit="1" customWidth="1"/>
    <col min="6" max="6" width="15.44140625" customWidth="1"/>
    <col min="7" max="7" width="14.6640625" customWidth="1"/>
    <col min="8" max="8" width="15.44140625" bestFit="1" customWidth="1"/>
    <col min="9" max="9" width="12.88671875" customWidth="1"/>
    <col min="10" max="10" width="23.109375" customWidth="1"/>
    <col min="11" max="11" width="21.6640625" customWidth="1"/>
    <col min="12" max="13" width="17" customWidth="1"/>
    <col min="14" max="14" width="15.88671875" customWidth="1"/>
    <col min="15" max="15" width="8.77734375" hidden="1" customWidth="1" outlineLevel="1"/>
    <col min="16" max="16" width="14" hidden="1" customWidth="1" outlineLevel="1"/>
    <col min="17" max="17" width="17.33203125" hidden="1" customWidth="1" outlineLevel="1"/>
    <col min="18" max="18" width="22.109375" bestFit="1" customWidth="1" collapsed="1"/>
  </cols>
  <sheetData>
    <row r="1" spans="1:19" ht="28.8">
      <c r="A1" t="str" cm="1">
        <f t="array" aca="1" ref="A1" ca="1">MID(CELL("filename",$A$1),FIND("]",CELL("filename",$A$1))+1,31)</f>
        <v>bank</v>
      </c>
      <c r="C1" s="26" t="s">
        <v>31</v>
      </c>
      <c r="D1" s="16" t="str" cm="1">
        <f t="array" ref="D1">_xlfn.XLOOKUP(C1,language[code],_xlfn.XLOOKUP(C1,language[#Headers],language[]))</f>
        <v>English</v>
      </c>
      <c r="G1" s="16"/>
      <c r="R1" s="7"/>
      <c r="S1" t="s">
        <v>6</v>
      </c>
    </row>
    <row r="2" spans="1:19" ht="20.399999999999999">
      <c r="A2" s="14" t="str" cm="1">
        <f t="array" aca="1" ref="A2" ca="1">_xlfn.XLOOKUP($A$1,table_summary[table_name],
_xlfn.XLOOKUP($C$1,table_summary[#Headers],table_summary[])
)</f>
        <v>Fund Transfer</v>
      </c>
      <c r="E2" s="14" t="str" cm="1">
        <f t="array" aca="1" ref="E2" ca="1">_xlfn.XLOOKUP($A$1,table_summary[table_name],
_xlfn.XLOOKUP($C$1,table_summary[#Headers],table_summary[])
)</f>
        <v>Fund Transfer</v>
      </c>
      <c r="F2" s="14"/>
      <c r="G2" s="14"/>
      <c r="R2" s="3"/>
      <c r="S2" t="s">
        <v>7</v>
      </c>
    </row>
    <row r="3" spans="1:19">
      <c r="R3" s="8"/>
      <c r="S3" t="s">
        <v>8</v>
      </c>
    </row>
    <row r="4" spans="1:19">
      <c r="D4" s="10"/>
      <c r="E4" s="9"/>
      <c r="F4" s="61"/>
      <c r="G4" s="10"/>
    </row>
    <row r="5" spans="1:19" s="15" customFormat="1">
      <c r="D5" s="62"/>
      <c r="E5" s="27"/>
      <c r="F5" s="62"/>
      <c r="G5" s="62"/>
    </row>
    <row r="6" spans="1:19" s="15" customFormat="1" ht="58.2" customHeight="1" thickBot="1">
      <c r="C6" s="74" t="str" cm="1">
        <f t="array" ref="C6">_xlfn.XLOOKUP(C7,field_list[field_name],
_xlfn.XLOOKUP($C$1,field_list[#Headers],field_list[]))</f>
        <v>Reference</v>
      </c>
      <c r="D6" s="76" t="str" cm="1">
        <f t="array" ref="D6">_xlfn.XLOOKUP(D7,field_list[field_name],
_xlfn.XLOOKUP($C$1,field_list[#Headers],field_list[]))</f>
        <v>Reference
(Withdrawal Bank)</v>
      </c>
      <c r="E6" s="76" t="str" cm="1">
        <f t="array" ref="E6">_xlfn.XLOOKUP(E7,field_list[field_name],
_xlfn.XLOOKUP($C$1,field_list[#Headers],field_list[]))</f>
        <v>Bank (Withdrawal)</v>
      </c>
      <c r="F6" s="76" t="str" cm="1">
        <f t="array" ref="F6">_xlfn.XLOOKUP(F7,field_list[field_name],
_xlfn.XLOOKUP($C$1,field_list[#Headers],field_list[]))</f>
        <v>Bank Account Number
(English Display)</v>
      </c>
      <c r="G6" s="74" t="str" cm="1">
        <f t="array" ref="G6">_xlfn.XLOOKUP(G7,field_list[field_name],
_xlfn.XLOOKUP($C$1,field_list[#Headers],field_list[]))</f>
        <v>Transaction Reference</v>
      </c>
      <c r="H6" s="74" t="str" cm="1">
        <f t="array" ref="H6">_xlfn.XLOOKUP(H7,field_list[field_name],
_xlfn.XLOOKUP($C$1,field_list[#Headers],field_list[]))</f>
        <v>Amount （Withdrawal)</v>
      </c>
      <c r="I6" s="75" t="str" cm="1">
        <f t="array" ref="I6">_xlfn.XLOOKUP(I7,field_list[field_name],
_xlfn.XLOOKUP($C$1,field_list[#Headers],field_list[]))</f>
        <v>Reference
(Deposit Bank)</v>
      </c>
      <c r="J6" s="74" t="str" cm="1">
        <f t="array" ref="J6">_xlfn.XLOOKUP(J7,field_list[field_name],
_xlfn.XLOOKUP($C$1,field_list[#Headers],field_list[]))</f>
        <v>Bank (Deposit)</v>
      </c>
      <c r="K6" s="74" t="str" cm="1">
        <f t="array" ref="K6">_xlfn.XLOOKUP(K7,field_list[field_name],
_xlfn.XLOOKUP($C$1,field_list[#Headers],field_list[]))</f>
        <v>Warning Message</v>
      </c>
      <c r="L6" s="74" t="str" cm="1">
        <f t="array" ref="L6">_xlfn.XLOOKUP(L7,field_list[field_name],
_xlfn.XLOOKUP($C$1,field_list[#Headers],field_list[]))</f>
        <v>Bank Account Number
(English Display)</v>
      </c>
      <c r="M6" s="74" t="str" cm="1">
        <f t="array" ref="M6">_xlfn.XLOOKUP(M7,field_list[field_name],
_xlfn.XLOOKUP($C$1,field_list[#Headers],field_list[]))</f>
        <v>Transaction Reference</v>
      </c>
      <c r="N6" s="74" t="str" cm="1">
        <f t="array" ref="N6">_xlfn.XLOOKUP(N7,field_list[field_name],
_xlfn.XLOOKUP($C$1,field_list[#Headers],field_list[]))</f>
        <v>Amount (Deposit)</v>
      </c>
    </row>
    <row r="7" spans="1:19" ht="28.8" hidden="1" customHeight="1" outlineLevel="1">
      <c r="C7" s="12" t="s">
        <v>0</v>
      </c>
      <c r="D7" s="63" t="s">
        <v>329</v>
      </c>
      <c r="E7" s="13" t="s">
        <v>18</v>
      </c>
      <c r="F7" s="63" t="s">
        <v>346</v>
      </c>
      <c r="G7" s="63" t="s">
        <v>343</v>
      </c>
      <c r="H7" s="12" t="s">
        <v>19</v>
      </c>
      <c r="I7" s="64" t="s">
        <v>330</v>
      </c>
      <c r="J7" s="63" t="s">
        <v>20</v>
      </c>
      <c r="K7" s="63" t="s">
        <v>365</v>
      </c>
      <c r="L7" s="63" t="s">
        <v>347</v>
      </c>
      <c r="M7" s="63" t="s">
        <v>350</v>
      </c>
      <c r="N7" s="12" t="s">
        <v>21</v>
      </c>
      <c r="O7" s="12" t="s">
        <v>360</v>
      </c>
      <c r="P7" s="12" t="s">
        <v>364</v>
      </c>
      <c r="Q7" s="12" t="s">
        <v>361</v>
      </c>
    </row>
    <row r="8" spans="1:19" s="15" customFormat="1" ht="29.4" collapsed="1" thickTop="1">
      <c r="A8" s="22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 s="15">
        <f>IF(cash_transactions[[#This Row],[withdrawal_bank]]&lt;&gt;"",MAX(receipt[ref])+ROWS($C$8:C8),"-")</f>
        <v>25</v>
      </c>
      <c r="D8" s="66">
        <f>IFERROR(
VALUE(RIGHT(cash_transactions[[#This Row],[withdrawal_bank]],LEN(cash_transactions[[#This Row],[withdrawal_bank]])-FIND("*",cash_transactions[[#This Row],[withdrawal_bank]]))),
"-")</f>
        <v>2</v>
      </c>
      <c r="E8" s="67" t="s">
        <v>340</v>
      </c>
      <c r="F8" s="72" t="str" cm="1">
        <f t="array" ref="F8">IFERROR(_xlfn.XLOOKUP(cash_transactions[[#This Row],[withdrawal_bank_ref]],bank_acct[ref],
_xlfn.XLOOKUP("eng",bank_acct[#Headers],bank_acct[])
), "-")</f>
        <v>bmo - acct 456</v>
      </c>
      <c r="G8" s="66" t="s">
        <v>353</v>
      </c>
      <c r="H8" s="15">
        <v>500</v>
      </c>
      <c r="I8" s="68">
        <f>IFERROR(
VALUE(RIGHT(cash_transactions[[#This Row],[deposit_bank]],LEN(cash_transactions[[#This Row],[deposit_bank]])-FIND("*",cash_transactions[[#This Row],[deposit_bank]]))),
"--")</f>
        <v>3</v>
      </c>
      <c r="J8" s="62" t="s">
        <v>357</v>
      </c>
      <c r="K8" s="62" t="str">
        <f>cash_transactions[[#This Row],[interbank_dep_error_txt]]</f>
        <v>--</v>
      </c>
      <c r="L8" s="72" t="str" cm="1">
        <f t="array" ref="L8">IFERROR(_xlfn.XLOOKUP(cash_transactions[[#This Row],[deposit_bank_ref]],bank_acct[ref],
_xlfn.XLOOKUP("eng",bank_acct[#Headers],bank_acct[])
), "--")</f>
        <v>hsbc - acct 789</v>
      </c>
      <c r="M8" s="72" t="s">
        <v>368</v>
      </c>
      <c r="N8" s="15">
        <f>cash_transactions[[#This Row],[withdrawn_amt]]</f>
        <v>500</v>
      </c>
      <c r="O8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8" s="28">
        <f>--(cash_transactions[[#This Row],[deposit_bank_acct_eng]]=cash_transactions[[#This Row],[withdrawal_bank_acct_eng]])</f>
        <v>0</v>
      </c>
      <c r="Q8" s="28" t="str" cm="1">
        <f t="array" ref="Q8">IFERROR(CHOOSE(cash_transactions[[#This Row],[error_switch]],
_xlfn.XLOOKUP(cash_transactions[[#Headers],[interbank_dep_error_txt]],field_list[field_name],
_xlfn.XLOOKUP($C$1,field_list[#Headers],field_list[])
)),"--")</f>
        <v>--</v>
      </c>
    </row>
    <row r="9" spans="1:19" s="15" customFormat="1" ht="21">
      <c r="A9" s="22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 s="15">
        <f>IF(cash_transactions[[#This Row],[withdrawal_bank]]&lt;&gt;"",MAX(receipt[ref])+ROWS($C$8:C9),"-")</f>
        <v>26</v>
      </c>
      <c r="D9" s="66">
        <f>IFERROR(
VALUE(RIGHT(cash_transactions[[#This Row],[withdrawal_bank]],LEN(cash_transactions[[#This Row],[withdrawal_bank]])-FIND("*",cash_transactions[[#This Row],[withdrawal_bank]]))),
"-")</f>
        <v>2</v>
      </c>
      <c r="E9" s="67" t="s">
        <v>340</v>
      </c>
      <c r="F9" s="72" t="str" cm="1">
        <f t="array" ref="F9">IFERROR(_xlfn.XLOOKUP(cash_transactions[[#This Row],[withdrawal_bank_ref]],bank_acct[ref],
_xlfn.XLOOKUP("eng",bank_acct[#Headers],bank_acct[])
), "-")</f>
        <v>bmo - acct 456</v>
      </c>
      <c r="G9" s="66" t="s">
        <v>354</v>
      </c>
      <c r="H9" s="15">
        <v>700</v>
      </c>
      <c r="I9" s="68">
        <f>IFERROR(
VALUE(RIGHT(cash_transactions[[#This Row],[deposit_bank]],LEN(cash_transactions[[#This Row],[deposit_bank]])-FIND("*",cash_transactions[[#This Row],[deposit_bank]]))),
"--")</f>
        <v>1</v>
      </c>
      <c r="J9" s="62" t="s">
        <v>369</v>
      </c>
      <c r="K9" s="62" t="str">
        <f>cash_transactions[[#This Row],[interbank_dep_error_txt]]</f>
        <v>--</v>
      </c>
      <c r="L9" s="72" t="str" cm="1">
        <f t="array" ref="L9">IFERROR(_xlfn.XLOOKUP(cash_transactions[[#This Row],[deposit_bank_ref]],bank_acct[ref],
_xlfn.XLOOKUP("eng",bank_acct[#Headers],bank_acct[])
), "--")</f>
        <v>my own cash</v>
      </c>
      <c r="M9" s="72" t="s">
        <v>370</v>
      </c>
      <c r="N9" s="15">
        <f>cash_transactions[[#This Row],[withdrawn_amt]]</f>
        <v>700</v>
      </c>
      <c r="O9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9" s="28">
        <f>--(cash_transactions[[#This Row],[deposit_bank_acct_eng]]=cash_transactions[[#This Row],[withdrawal_bank_acct_eng]])</f>
        <v>0</v>
      </c>
      <c r="Q9" s="28" t="str" cm="1">
        <f t="array" ref="Q9">IFERROR(CHOOSE(cash_transactions[[#This Row],[error_switch]],
_xlfn.XLOOKUP(cash_transactions[[#Headers],[interbank_dep_error_txt]],field_list[field_name],
_xlfn.XLOOKUP($C$1,field_list[#Headers],field_list[])
)),"--")</f>
        <v>--</v>
      </c>
    </row>
    <row r="10" spans="1:19" s="15" customFormat="1" ht="21">
      <c r="A10" s="22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 s="15">
        <f>IF(cash_transactions[[#This Row],[withdrawal_bank]]&lt;&gt;"",MAX(receipt[ref])+ROWS($C$8:C10),"-")</f>
        <v>27</v>
      </c>
      <c r="D10" s="66">
        <f>IFERROR(
VALUE(RIGHT(cash_transactions[[#This Row],[withdrawal_bank]],LEN(cash_transactions[[#This Row],[withdrawal_bank]])-FIND("*",cash_transactions[[#This Row],[withdrawal_bank]]))),
"-")</f>
        <v>3</v>
      </c>
      <c r="E10" s="67" t="s">
        <v>357</v>
      </c>
      <c r="F10" s="72" t="str" cm="1">
        <f t="array" ref="F10">IFERROR(_xlfn.XLOOKUP(cash_transactions[[#This Row],[withdrawal_bank_ref]],bank_acct[ref],
_xlfn.XLOOKUP("eng",bank_acct[#Headers],bank_acct[])
), "-")</f>
        <v>hsbc - acct 789</v>
      </c>
      <c r="G10" s="66" t="s">
        <v>355</v>
      </c>
      <c r="H10" s="15">
        <v>900</v>
      </c>
      <c r="I10" s="68">
        <f>IFERROR(
VALUE(RIGHT(cash_transactions[[#This Row],[deposit_bank]],LEN(cash_transactions[[#This Row],[deposit_bank]])-FIND("*",cash_transactions[[#This Row],[deposit_bank]]))),
"--")</f>
        <v>1</v>
      </c>
      <c r="J10" s="62" t="s">
        <v>369</v>
      </c>
      <c r="K10" s="62" t="str">
        <f>cash_transactions[[#This Row],[interbank_dep_error_txt]]</f>
        <v>--</v>
      </c>
      <c r="L10" s="72" t="str" cm="1">
        <f t="array" ref="L10">IFERROR(_xlfn.XLOOKUP(cash_transactions[[#This Row],[deposit_bank_ref]],bank_acct[ref],
_xlfn.XLOOKUP("eng",bank_acct[#Headers],bank_acct[])
), "--")</f>
        <v>my own cash</v>
      </c>
      <c r="M10" s="72" t="s">
        <v>371</v>
      </c>
      <c r="N10" s="15">
        <f>cash_transactions[[#This Row],[withdrawn_amt]]</f>
        <v>900</v>
      </c>
      <c r="O10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0" s="28">
        <f>--(cash_transactions[[#This Row],[deposit_bank_acct_eng]]=cash_transactions[[#This Row],[withdrawal_bank_acct_eng]])</f>
        <v>0</v>
      </c>
      <c r="Q10" s="28" t="str" cm="1">
        <f t="array" ref="Q10">IFERROR(CHOOSE(cash_transactions[[#This Row],[error_switch]],
_xlfn.XLOOKUP(cash_transactions[[#Headers],[interbank_dep_error_txt]],field_list[field_name],
_xlfn.XLOOKUP($C$1,field_list[#Headers],field_list[])
)),"--")</f>
        <v>--</v>
      </c>
    </row>
    <row r="11" spans="1:19" s="15" customFormat="1" ht="21">
      <c r="A11" s="22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 s="15">
        <f>IF(cash_transactions[[#This Row],[withdrawal_bank]]&lt;&gt;"",MAX(receipt[ref])+ROWS($C$8:C11),"-")</f>
        <v>28</v>
      </c>
      <c r="D11" s="66">
        <f>IFERROR(
VALUE(RIGHT(cash_transactions[[#This Row],[withdrawal_bank]],LEN(cash_transactions[[#This Row],[withdrawal_bank]])-FIND("*",cash_transactions[[#This Row],[withdrawal_bank]]))),
"-")</f>
        <v>4</v>
      </c>
      <c r="E11" s="67" t="s">
        <v>356</v>
      </c>
      <c r="F11" s="72" t="str" cm="1">
        <f t="array" ref="F11">IFERROR(_xlfn.XLOOKUP(cash_transactions[[#This Row],[withdrawal_bank_ref]],bank_acct[ref],
_xlfn.XLOOKUP("eng",bank_acct[#Headers],bank_acct[])
), "-")</f>
        <v>hsbc - acct 123</v>
      </c>
      <c r="G11" s="66" t="s">
        <v>358</v>
      </c>
      <c r="H11" s="15">
        <v>800</v>
      </c>
      <c r="I11" s="68">
        <f>IFERROR(
VALUE(RIGHT(cash_transactions[[#This Row],[deposit_bank]],LEN(cash_transactions[[#This Row],[deposit_bank]])-FIND("*",cash_transactions[[#This Row],[deposit_bank]]))),
"--")</f>
        <v>1</v>
      </c>
      <c r="J11" s="62" t="s">
        <v>369</v>
      </c>
      <c r="K11" s="62" t="str">
        <f>cash_transactions[[#This Row],[interbank_dep_error_txt]]</f>
        <v>--</v>
      </c>
      <c r="L11" s="72" t="str" cm="1">
        <f t="array" ref="L11">IFERROR(_xlfn.XLOOKUP(cash_transactions[[#This Row],[deposit_bank_ref]],bank_acct[ref],
_xlfn.XLOOKUP("eng",bank_acct[#Headers],bank_acct[])
), "--")</f>
        <v>my own cash</v>
      </c>
      <c r="M11" s="72" t="s">
        <v>372</v>
      </c>
      <c r="N11" s="15">
        <f>cash_transactions[[#This Row],[withdrawn_amt]]</f>
        <v>800</v>
      </c>
      <c r="O11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1" s="28">
        <f>--(cash_transactions[[#This Row],[deposit_bank_acct_eng]]=cash_transactions[[#This Row],[withdrawal_bank_acct_eng]])</f>
        <v>0</v>
      </c>
      <c r="Q11" s="28" t="str" cm="1">
        <f t="array" ref="Q11">IFERROR(CHOOSE(cash_transactions[[#This Row],[error_switch]],
_xlfn.XLOOKUP(cash_transactions[[#Headers],[interbank_dep_error_txt]],field_list[field_name],
_xlfn.XLOOKUP($C$1,field_list[#Headers],field_list[])
)),"--")</f>
        <v>--</v>
      </c>
    </row>
    <row r="12" spans="1:19" s="15" customFormat="1" ht="21">
      <c r="A12" s="22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 s="15" t="str">
        <f>IF(cash_transactions[[#This Row],[withdrawal_bank]]&lt;&gt;"",MAX(receipt[ref])+ROWS($C$8:C12),"-")</f>
        <v>-</v>
      </c>
      <c r="D12" s="66" t="str">
        <f>IFERROR(
VALUE(RIGHT(cash_transactions[[#This Row],[withdrawal_bank]],LEN(cash_transactions[[#This Row],[withdrawal_bank]])-FIND("*",cash_transactions[[#This Row],[withdrawal_bank]]))),
"-")</f>
        <v>-</v>
      </c>
      <c r="E12" s="67"/>
      <c r="F12" s="72" t="str" cm="1">
        <f t="array" ref="F12">IFERROR(_xlfn.XLOOKUP(cash_transactions[[#This Row],[withdrawal_bank_ref]],bank_acct[ref],
_xlfn.XLOOKUP("eng",bank_acct[#Headers],bank_acct[])
), "-")</f>
        <v>-</v>
      </c>
      <c r="G12" s="66"/>
      <c r="I12" s="68" t="str">
        <f>IFERROR(
VALUE(RIGHT(cash_transactions[[#This Row],[deposit_bank]],LEN(cash_transactions[[#This Row],[deposit_bank]])-FIND("*",cash_transactions[[#This Row],[deposit_bank]]))),
"--")</f>
        <v>--</v>
      </c>
      <c r="J12" s="62"/>
      <c r="K12" s="62" t="str">
        <f>cash_transactions[[#This Row],[interbank_dep_error_txt]]</f>
        <v>--</v>
      </c>
      <c r="L12" s="72" t="str" cm="1">
        <f t="array" ref="L12">IFERROR(_xlfn.XLOOKUP(cash_transactions[[#This Row],[deposit_bank_ref]],bank_acct[ref],
_xlfn.XLOOKUP("eng",bank_acct[#Headers],bank_acct[])
), "--")</f>
        <v>--</v>
      </c>
      <c r="M12" s="72"/>
      <c r="N12" s="15">
        <f>cash_transactions[[#This Row],[withdrawn_amt]]</f>
        <v>0</v>
      </c>
      <c r="O12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2" s="28">
        <f>--(cash_transactions[[#This Row],[deposit_bank_acct_eng]]=cash_transactions[[#This Row],[withdrawal_bank_acct_eng]])</f>
        <v>0</v>
      </c>
      <c r="Q12" s="28" t="str" cm="1">
        <f t="array" ref="Q12">IFERROR(CHOOSE(cash_transactions[[#This Row],[error_switch]],
_xlfn.XLOOKUP(cash_transactions[[#Headers],[interbank_dep_error_txt]],field_list[field_name],
_xlfn.XLOOKUP($C$1,field_list[#Headers],field_list[])
)),"--")</f>
        <v>--</v>
      </c>
    </row>
    <row r="13" spans="1:19" s="15" customFormat="1" ht="21">
      <c r="A13" s="22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 s="15" t="str">
        <f>IF(cash_transactions[[#This Row],[withdrawal_bank]]&lt;&gt;"",MAX(receipt[ref])+ROWS($C$8:C13),"-")</f>
        <v>-</v>
      </c>
      <c r="D13" s="66" t="str">
        <f>IFERROR(
VALUE(RIGHT(cash_transactions[[#This Row],[withdrawal_bank]],LEN(cash_transactions[[#This Row],[withdrawal_bank]])-FIND("*",cash_transactions[[#This Row],[withdrawal_bank]]))),
"-")</f>
        <v>-</v>
      </c>
      <c r="E13" s="67"/>
      <c r="F13" s="72" t="str" cm="1">
        <f t="array" ref="F13">IFERROR(_xlfn.XLOOKUP(cash_transactions[[#This Row],[withdrawal_bank_ref]],bank_acct[ref],
_xlfn.XLOOKUP("eng",bank_acct[#Headers],bank_acct[])
), "-")</f>
        <v>-</v>
      </c>
      <c r="G13" s="66"/>
      <c r="H13" s="69"/>
      <c r="I13" s="68" t="str">
        <f>IFERROR(
VALUE(RIGHT(cash_transactions[[#This Row],[deposit_bank]],LEN(cash_transactions[[#This Row],[deposit_bank]])-FIND("*",cash_transactions[[#This Row],[deposit_bank]]))),
"--")</f>
        <v>--</v>
      </c>
      <c r="J13" s="62"/>
      <c r="K13" s="62" t="str">
        <f>cash_transactions[[#This Row],[interbank_dep_error_txt]]</f>
        <v>--</v>
      </c>
      <c r="L13" s="72" t="str" cm="1">
        <f t="array" ref="L13">IFERROR(_xlfn.XLOOKUP(cash_transactions[[#This Row],[deposit_bank_ref]],bank_acct[ref],
_xlfn.XLOOKUP("eng",bank_acct[#Headers],bank_acct[])
), "--")</f>
        <v>--</v>
      </c>
      <c r="M13" s="72"/>
      <c r="N13" s="69">
        <f>cash_transactions[[#This Row],[withdrawn_amt]]</f>
        <v>0</v>
      </c>
      <c r="O13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3" s="28">
        <f>--(cash_transactions[[#This Row],[deposit_bank_acct_eng]]=cash_transactions[[#This Row],[withdrawal_bank_acct_eng]])</f>
        <v>0</v>
      </c>
      <c r="Q13" s="28" t="str" cm="1">
        <f t="array" ref="Q13">IFERROR(CHOOSE(cash_transactions[[#This Row],[error_switch]],
_xlfn.XLOOKUP(cash_transactions[[#Headers],[interbank_dep_error_txt]],field_list[field_name],
_xlfn.XLOOKUP($C$1,field_list[#Headers],field_list[])
)),"--")</f>
        <v>--</v>
      </c>
    </row>
    <row r="14" spans="1:19" s="15" customFormat="1" ht="42">
      <c r="A14" s="22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 s="15" t="str">
        <f>IF(cash_transactions[[#This Row],[withdrawal_bank]]&lt;&gt;"",MAX(receipt[ref])+ROWS($C$8:C14),"-")</f>
        <v>-</v>
      </c>
      <c r="D14" s="66" t="str">
        <f>IFERROR(
VALUE(RIGHT(cash_transactions[[#This Row],[withdrawal_bank]],LEN(cash_transactions[[#This Row],[withdrawal_bank]])-FIND("*",cash_transactions[[#This Row],[withdrawal_bank]]))),
"-")</f>
        <v>-</v>
      </c>
      <c r="E14" s="67"/>
      <c r="F14" s="72" t="str" cm="1">
        <f t="array" ref="F14">IFERROR(_xlfn.XLOOKUP(cash_transactions[[#This Row],[withdrawal_bank_ref]],bank_acct[ref],
_xlfn.XLOOKUP("eng",bank_acct[#Headers],bank_acct[])
), "-")</f>
        <v>-</v>
      </c>
      <c r="G14" s="66"/>
      <c r="H14" s="69"/>
      <c r="I14" s="68" t="str">
        <f>IFERROR(
VALUE(RIGHT(cash_transactions[[#This Row],[deposit_bank]],LEN(cash_transactions[[#This Row],[deposit_bank]])-FIND("*",cash_transactions[[#This Row],[deposit_bank]]))),
"--")</f>
        <v>--</v>
      </c>
      <c r="J14" s="62"/>
      <c r="K14" s="62" t="str">
        <f>cash_transactions[[#This Row],[interbank_dep_error_txt]]</f>
        <v>--</v>
      </c>
      <c r="L14" s="72" t="str" cm="1">
        <f t="array" ref="L14">IFERROR(_xlfn.XLOOKUP(cash_transactions[[#This Row],[deposit_bank_ref]],bank_acct[ref],
_xlfn.XLOOKUP("eng",bank_acct[#Headers],bank_acct[])
), "--")</f>
        <v>--</v>
      </c>
      <c r="M14" s="72"/>
      <c r="N14" s="69">
        <f>cash_transactions[[#This Row],[withdrawn_amt]]</f>
        <v>0</v>
      </c>
      <c r="O14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4" s="28">
        <f>--(cash_transactions[[#This Row],[deposit_bank_acct_eng]]=cash_transactions[[#This Row],[withdrawal_bank_acct_eng]])</f>
        <v>0</v>
      </c>
      <c r="Q14" s="28" t="str" cm="1">
        <f t="array" ref="Q14">IFERROR(CHOOSE(cash_transactions[[#This Row],[error_switch]],
_xlfn.XLOOKUP(cash_transactions[[#Headers],[interbank_dep_error_txt]],field_list[field_name],
_xlfn.XLOOKUP($C$1,field_list[#Headers],field_list[])
)),"--")</f>
        <v>--</v>
      </c>
    </row>
    <row r="15" spans="1:19" s="15" customFormat="1" ht="42">
      <c r="A15" s="22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 s="15" t="str">
        <f>IF(cash_transactions[[#This Row],[withdrawal_bank]]&lt;&gt;"",MAX(receipt[ref])+ROWS($C$8:C15),"-")</f>
        <v>-</v>
      </c>
      <c r="D15" s="66" t="str">
        <f>IFERROR(
VALUE(RIGHT(cash_transactions[[#This Row],[withdrawal_bank]],LEN(cash_transactions[[#This Row],[withdrawal_bank]])-FIND("*",cash_transactions[[#This Row],[withdrawal_bank]]))),
"-")</f>
        <v>-</v>
      </c>
      <c r="E15" s="67"/>
      <c r="F15" s="72" t="str" cm="1">
        <f t="array" ref="F15">IFERROR(_xlfn.XLOOKUP(cash_transactions[[#This Row],[withdrawal_bank_ref]],bank_acct[ref],
_xlfn.XLOOKUP("eng",bank_acct[#Headers],bank_acct[])
), "-")</f>
        <v>-</v>
      </c>
      <c r="G15" s="66"/>
      <c r="H15" s="69"/>
      <c r="I15" s="68" t="str">
        <f>IFERROR(
VALUE(RIGHT(cash_transactions[[#This Row],[deposit_bank]],LEN(cash_transactions[[#This Row],[deposit_bank]])-FIND("*",cash_transactions[[#This Row],[deposit_bank]]))),
"--")</f>
        <v>--</v>
      </c>
      <c r="J15" s="62"/>
      <c r="K15" s="62" t="str">
        <f>cash_transactions[[#This Row],[interbank_dep_error_txt]]</f>
        <v>--</v>
      </c>
      <c r="L15" s="72" t="str" cm="1">
        <f t="array" ref="L15">IFERROR(_xlfn.XLOOKUP(cash_transactions[[#This Row],[deposit_bank_ref]],bank_acct[ref],
_xlfn.XLOOKUP("eng",bank_acct[#Headers],bank_acct[])
), "--")</f>
        <v>--</v>
      </c>
      <c r="M15" s="72"/>
      <c r="N15" s="69">
        <f>cash_transactions[[#This Row],[withdrawn_amt]]</f>
        <v>0</v>
      </c>
      <c r="O15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5" s="28">
        <f>--(cash_transactions[[#This Row],[deposit_bank_acct_eng]]=cash_transactions[[#This Row],[withdrawal_bank_acct_eng]])</f>
        <v>0</v>
      </c>
      <c r="Q15" s="28" t="str" cm="1">
        <f t="array" ref="Q15">IFERROR(CHOOSE(cash_transactions[[#This Row],[error_switch]],
_xlfn.XLOOKUP(cash_transactions[[#Headers],[interbank_dep_error_txt]],field_list[field_name],
_xlfn.XLOOKUP($C$1,field_list[#Headers],field_list[])
)),"--")</f>
        <v>--</v>
      </c>
    </row>
    <row r="16" spans="1:19" s="15" customFormat="1" ht="21">
      <c r="A16" s="22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 s="15" t="str">
        <f>IF(cash_transactions[[#This Row],[withdrawal_bank]]&lt;&gt;"",MAX(receipt[ref])+ROWS($C$8:C16),"-")</f>
        <v>-</v>
      </c>
      <c r="D16" s="66" t="str">
        <f>IFERROR(
VALUE(RIGHT(cash_transactions[[#This Row],[withdrawal_bank]],LEN(cash_transactions[[#This Row],[withdrawal_bank]])-FIND("*",cash_transactions[[#This Row],[withdrawal_bank]]))),
"-")</f>
        <v>-</v>
      </c>
      <c r="E16" s="67"/>
      <c r="F16" s="72" t="str" cm="1">
        <f t="array" ref="F16">IFERROR(_xlfn.XLOOKUP(cash_transactions[[#This Row],[withdrawal_bank_ref]],bank_acct[ref],
_xlfn.XLOOKUP("eng",bank_acct[#Headers],bank_acct[])
), "-")</f>
        <v>-</v>
      </c>
      <c r="G16" s="66"/>
      <c r="H16" s="69"/>
      <c r="I16" s="68" t="str">
        <f>IFERROR(
VALUE(RIGHT(cash_transactions[[#This Row],[deposit_bank]],LEN(cash_transactions[[#This Row],[deposit_bank]])-FIND("*",cash_transactions[[#This Row],[deposit_bank]]))),
"--")</f>
        <v>--</v>
      </c>
      <c r="J16" s="62"/>
      <c r="K16" s="62" t="str">
        <f>cash_transactions[[#This Row],[interbank_dep_error_txt]]</f>
        <v>--</v>
      </c>
      <c r="L16" s="72" t="str" cm="1">
        <f t="array" ref="L16">IFERROR(_xlfn.XLOOKUP(cash_transactions[[#This Row],[deposit_bank_ref]],bank_acct[ref],
_xlfn.XLOOKUP("eng",bank_acct[#Headers],bank_acct[])
), "--")</f>
        <v>--</v>
      </c>
      <c r="M16" s="72"/>
      <c r="N16" s="69">
        <f>cash_transactions[[#This Row],[withdrawn_amt]]</f>
        <v>0</v>
      </c>
      <c r="O16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6" s="28">
        <f>--(cash_transactions[[#This Row],[deposit_bank_acct_eng]]=cash_transactions[[#This Row],[withdrawal_bank_acct_eng]])</f>
        <v>0</v>
      </c>
      <c r="Q16" s="28" t="str" cm="1">
        <f t="array" ref="Q16">IFERROR(CHOOSE(cash_transactions[[#This Row],[error_switch]],
_xlfn.XLOOKUP(cash_transactions[[#Headers],[interbank_dep_error_txt]],field_list[field_name],
_xlfn.XLOOKUP($C$1,field_list[#Headers],field_list[])
)),"--")</f>
        <v>--</v>
      </c>
    </row>
    <row r="17" spans="1:17" s="15" customFormat="1" ht="21">
      <c r="A17" s="22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 s="15" t="str">
        <f>IF(cash_transactions[[#This Row],[withdrawal_bank]]&lt;&gt;"",MAX(receipt[ref])+ROWS($C$8:C17),"-")</f>
        <v>-</v>
      </c>
      <c r="D17" s="66" t="str">
        <f>IFERROR(
VALUE(RIGHT(cash_transactions[[#This Row],[withdrawal_bank]],LEN(cash_transactions[[#This Row],[withdrawal_bank]])-FIND("*",cash_transactions[[#This Row],[withdrawal_bank]]))),
"-")</f>
        <v>-</v>
      </c>
      <c r="E17" s="67"/>
      <c r="F17" s="72" t="str" cm="1">
        <f t="array" ref="F17">IFERROR(_xlfn.XLOOKUP(cash_transactions[[#This Row],[withdrawal_bank_ref]],bank_acct[ref],
_xlfn.XLOOKUP("eng",bank_acct[#Headers],bank_acct[])
), "-")</f>
        <v>-</v>
      </c>
      <c r="G17" s="66"/>
      <c r="H17" s="69"/>
      <c r="I17" s="68" t="str">
        <f>IFERROR(
VALUE(RIGHT(cash_transactions[[#This Row],[deposit_bank]],LEN(cash_transactions[[#This Row],[deposit_bank]])-FIND("*",cash_transactions[[#This Row],[deposit_bank]]))),
"--")</f>
        <v>--</v>
      </c>
      <c r="J17" s="62"/>
      <c r="K17" s="62" t="str">
        <f>cash_transactions[[#This Row],[interbank_dep_error_txt]]</f>
        <v>--</v>
      </c>
      <c r="L17" s="72" t="str" cm="1">
        <f t="array" ref="L17">IFERROR(_xlfn.XLOOKUP(cash_transactions[[#This Row],[deposit_bank_ref]],bank_acct[ref],
_xlfn.XLOOKUP("eng",bank_acct[#Headers],bank_acct[])
), "--")</f>
        <v>--</v>
      </c>
      <c r="M17" s="72"/>
      <c r="N17" s="69">
        <f>cash_transactions[[#This Row],[withdrawn_amt]]</f>
        <v>0</v>
      </c>
      <c r="O17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7" s="28">
        <f>--(cash_transactions[[#This Row],[deposit_bank_acct_eng]]=cash_transactions[[#This Row],[withdrawal_bank_acct_eng]])</f>
        <v>0</v>
      </c>
      <c r="Q17" s="28" t="str" cm="1">
        <f t="array" ref="Q17">IFERROR(CHOOSE(cash_transactions[[#This Row],[error_switch]],
_xlfn.XLOOKUP(cash_transactions[[#Headers],[interbank_dep_error_txt]],field_list[field_name],
_xlfn.XLOOKUP($C$1,field_list[#Headers],field_list[])
)),"--")</f>
        <v>--</v>
      </c>
    </row>
    <row r="18" spans="1:17" s="15" customFormat="1" ht="21">
      <c r="A18" s="22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 s="15" t="str">
        <f>IF(cash_transactions[[#This Row],[withdrawal_bank]]&lt;&gt;"",MAX(receipt[ref])+ROWS($C$8:C18),"-")</f>
        <v>-</v>
      </c>
      <c r="D18" s="70" t="str">
        <f>IFERROR(
VALUE(RIGHT(cash_transactions[[#This Row],[withdrawal_bank]],LEN(cash_transactions[[#This Row],[withdrawal_bank]])-FIND("*",cash_transactions[[#This Row],[withdrawal_bank]]))),
"-")</f>
        <v>-</v>
      </c>
      <c r="E18" s="67"/>
      <c r="F18" s="72" t="str" cm="1">
        <f t="array" ref="F18">IFERROR(_xlfn.XLOOKUP(cash_transactions[[#This Row],[withdrawal_bank_ref]],bank_acct[ref],
_xlfn.XLOOKUP("eng",bank_acct[#Headers],bank_acct[])
), "-")</f>
        <v>-</v>
      </c>
      <c r="G18" s="70"/>
      <c r="H18" s="69"/>
      <c r="I18" s="68" t="str">
        <f>IFERROR(
VALUE(RIGHT(cash_transactions[[#This Row],[deposit_bank]],LEN(cash_transactions[[#This Row],[deposit_bank]])-FIND("*",cash_transactions[[#This Row],[deposit_bank]]))),
"--")</f>
        <v>--</v>
      </c>
      <c r="J18" s="62"/>
      <c r="K18" s="62" t="str">
        <f>cash_transactions[[#This Row],[interbank_dep_error_txt]]</f>
        <v>--</v>
      </c>
      <c r="L18" s="72" t="str" cm="1">
        <f t="array" ref="L18">IFERROR(_xlfn.XLOOKUP(cash_transactions[[#This Row],[deposit_bank_ref]],bank_acct[ref],
_xlfn.XLOOKUP("eng",bank_acct[#Headers],bank_acct[])
), "--")</f>
        <v>--</v>
      </c>
      <c r="M18" s="72"/>
      <c r="N18" s="69">
        <f>cash_transactions[[#This Row],[withdrawn_amt]]</f>
        <v>0</v>
      </c>
      <c r="O18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8" s="28">
        <f>--(cash_transactions[[#This Row],[deposit_bank_acct_eng]]=cash_transactions[[#This Row],[withdrawal_bank_acct_eng]])</f>
        <v>0</v>
      </c>
      <c r="Q18" s="28" t="str" cm="1">
        <f t="array" ref="Q18">IFERROR(CHOOSE(cash_transactions[[#This Row],[error_switch]],
_xlfn.XLOOKUP(cash_transactions[[#Headers],[interbank_dep_error_txt]],field_list[field_name],
_xlfn.XLOOKUP($C$1,field_list[#Headers],field_list[])
)),"--")</f>
        <v>--</v>
      </c>
    </row>
    <row r="19" spans="1:17" s="15" customFormat="1" ht="21">
      <c r="A19" s="22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 s="15" t="str">
        <f>IF(cash_transactions[[#This Row],[withdrawal_bank]]&lt;&gt;"",MAX(receipt[ref])+ROWS($C$8:C19),"-")</f>
        <v>-</v>
      </c>
      <c r="D19" s="70" t="str">
        <f>IFERROR(
VALUE(RIGHT(cash_transactions[[#This Row],[withdrawal_bank]],LEN(cash_transactions[[#This Row],[withdrawal_bank]])-FIND("*",cash_transactions[[#This Row],[withdrawal_bank]]))),
"-")</f>
        <v>-</v>
      </c>
      <c r="E19" s="67"/>
      <c r="F19" s="72" t="str" cm="1">
        <f t="array" ref="F19">IFERROR(_xlfn.XLOOKUP(cash_transactions[[#This Row],[withdrawal_bank_ref]],bank_acct[ref],
_xlfn.XLOOKUP("eng",bank_acct[#Headers],bank_acct[])
), "-")</f>
        <v>-</v>
      </c>
      <c r="G19" s="70"/>
      <c r="H19" s="69"/>
      <c r="I19" s="68" t="str">
        <f>IFERROR(
VALUE(RIGHT(cash_transactions[[#This Row],[deposit_bank]],LEN(cash_transactions[[#This Row],[deposit_bank]])-FIND("*",cash_transactions[[#This Row],[deposit_bank]]))),
"--")</f>
        <v>--</v>
      </c>
      <c r="J19" s="62"/>
      <c r="K19" s="62" t="str">
        <f>cash_transactions[[#This Row],[interbank_dep_error_txt]]</f>
        <v>--</v>
      </c>
      <c r="L19" s="72" t="str" cm="1">
        <f t="array" ref="L19">IFERROR(_xlfn.XLOOKUP(cash_transactions[[#This Row],[deposit_bank_ref]],bank_acct[ref],
_xlfn.XLOOKUP("eng",bank_acct[#Headers],bank_acct[])
), "--")</f>
        <v>--</v>
      </c>
      <c r="M19" s="72"/>
      <c r="N19" s="69">
        <f>cash_transactions[[#This Row],[withdrawn_amt]]</f>
        <v>0</v>
      </c>
      <c r="O19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19" s="28">
        <f>--(cash_transactions[[#This Row],[deposit_bank_acct_eng]]=cash_transactions[[#This Row],[withdrawal_bank_acct_eng]])</f>
        <v>0</v>
      </c>
      <c r="Q19" s="28" t="str" cm="1">
        <f t="array" ref="Q19">IFERROR(CHOOSE(cash_transactions[[#This Row],[error_switch]],
_xlfn.XLOOKUP(cash_transactions[[#Headers],[interbank_dep_error_txt]],field_list[field_name],
_xlfn.XLOOKUP($C$1,field_list[#Headers],field_list[])
)),"--")</f>
        <v>--</v>
      </c>
    </row>
    <row r="20" spans="1:17" s="15" customFormat="1" ht="21">
      <c r="A20" s="22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 s="15" t="str">
        <f>IF(cash_transactions[[#This Row],[withdrawal_bank]]&lt;&gt;"",MAX(receipt[ref])+ROWS($C$8:C20),"-")</f>
        <v>-</v>
      </c>
      <c r="D20" s="71" t="str">
        <f>IFERROR(
VALUE(RIGHT(cash_transactions[[#This Row],[withdrawal_bank]],LEN(cash_transactions[[#This Row],[withdrawal_bank]])-FIND("*",cash_transactions[[#This Row],[withdrawal_bank]]))),
"-")</f>
        <v>-</v>
      </c>
      <c r="E20" s="67"/>
      <c r="F20" s="72" t="str" cm="1">
        <f t="array" ref="F20">IFERROR(_xlfn.XLOOKUP(cash_transactions[[#This Row],[withdrawal_bank_ref]],bank_acct[ref],
_xlfn.XLOOKUP("eng",bank_acct[#Headers],bank_acct[])
), "-")</f>
        <v>-</v>
      </c>
      <c r="G20" s="71"/>
      <c r="H20" s="69"/>
      <c r="I20" s="68" t="str">
        <f>IFERROR(
VALUE(RIGHT(cash_transactions[[#This Row],[deposit_bank]],LEN(cash_transactions[[#This Row],[deposit_bank]])-FIND("*",cash_transactions[[#This Row],[deposit_bank]]))),
"--")</f>
        <v>--</v>
      </c>
      <c r="J20" s="62"/>
      <c r="K20" s="62" t="str">
        <f>cash_transactions[[#This Row],[interbank_dep_error_txt]]</f>
        <v>--</v>
      </c>
      <c r="L20" s="72" t="str" cm="1">
        <f t="array" ref="L20">IFERROR(_xlfn.XLOOKUP(cash_transactions[[#This Row],[deposit_bank_ref]],bank_acct[ref],
_xlfn.XLOOKUP("eng",bank_acct[#Headers],bank_acct[])
), "--")</f>
        <v>--</v>
      </c>
      <c r="M20" s="72"/>
      <c r="N20" s="69">
        <f>cash_transactions[[#This Row],[withdrawn_amt]]</f>
        <v>0</v>
      </c>
      <c r="O20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20" s="28">
        <f>--(cash_transactions[[#This Row],[deposit_bank_acct_eng]]=cash_transactions[[#This Row],[withdrawal_bank_acct_eng]])</f>
        <v>0</v>
      </c>
      <c r="Q20" s="28" t="str" cm="1">
        <f t="array" ref="Q20">IFERROR(CHOOSE(cash_transactions[[#This Row],[error_switch]],
_xlfn.XLOOKUP(cash_transactions[[#Headers],[interbank_dep_error_txt]],field_list[field_name],
_xlfn.XLOOKUP($C$1,field_list[#Headers],field_list[])
)),"--")</f>
        <v>--</v>
      </c>
    </row>
    <row r="21" spans="1:17" s="15" customFormat="1" ht="21">
      <c r="A21" s="22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 s="15" t="str">
        <f>IF(cash_transactions[[#This Row],[withdrawal_bank]]&lt;&gt;"",MAX(receipt[ref])+ROWS($C$8:C21),"-")</f>
        <v>-</v>
      </c>
      <c r="D21" s="71" t="str">
        <f>IFERROR(
VALUE(RIGHT(cash_transactions[[#This Row],[withdrawal_bank]],LEN(cash_transactions[[#This Row],[withdrawal_bank]])-FIND("*",cash_transactions[[#This Row],[withdrawal_bank]]))),
"-")</f>
        <v>-</v>
      </c>
      <c r="E21" s="67"/>
      <c r="F21" s="72" t="str" cm="1">
        <f t="array" ref="F21">IFERROR(_xlfn.XLOOKUP(cash_transactions[[#This Row],[withdrawal_bank_ref]],bank_acct[ref],
_xlfn.XLOOKUP("eng",bank_acct[#Headers],bank_acct[])
), "-")</f>
        <v>-</v>
      </c>
      <c r="G21" s="71"/>
      <c r="H21" s="69"/>
      <c r="I21" s="68" t="str">
        <f>IFERROR(
VALUE(RIGHT(cash_transactions[[#This Row],[deposit_bank]],LEN(cash_transactions[[#This Row],[deposit_bank]])-FIND("*",cash_transactions[[#This Row],[deposit_bank]]))),
"--")</f>
        <v>--</v>
      </c>
      <c r="J21" s="62"/>
      <c r="K21" s="62" t="str">
        <f>cash_transactions[[#This Row],[interbank_dep_error_txt]]</f>
        <v>--</v>
      </c>
      <c r="L21" s="72" t="str" cm="1">
        <f t="array" ref="L21">IFERROR(_xlfn.XLOOKUP(cash_transactions[[#This Row],[deposit_bank_ref]],bank_acct[ref],
_xlfn.XLOOKUP("eng",bank_acct[#Headers],bank_acct[])
), "--")</f>
        <v>--</v>
      </c>
      <c r="M21" s="72"/>
      <c r="N21" s="69">
        <f>cash_transactions[[#This Row],[withdrawn_amt]]</f>
        <v>0</v>
      </c>
      <c r="O21" s="28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21" s="28">
        <f>--(cash_transactions[[#This Row],[deposit_bank_acct_eng]]=cash_transactions[[#This Row],[withdrawal_bank_acct_eng]])</f>
        <v>0</v>
      </c>
      <c r="Q21" s="28" t="str" cm="1">
        <f t="array" ref="Q21">IFERROR(CHOOSE(cash_transactions[[#This Row],[error_switch]],
_xlfn.XLOOKUP(cash_transactions[[#Headers],[interbank_dep_error_txt]],field_list[field_name],
_xlfn.XLOOKUP($C$1,field_list[#Headers],field_list[])
)),"--")</f>
        <v>--</v>
      </c>
    </row>
    <row r="22" spans="1:17" ht="21">
      <c r="A22" s="22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C22" t="str">
        <f>IF(cash_transactions[[#This Row],[withdrawal_bank]]&lt;&gt;"",MAX(receipt[ref])+ROWS($C$8:C22),"-")</f>
        <v>-</v>
      </c>
      <c r="D22" s="45" t="str">
        <f>IFERROR(
VALUE(RIGHT(cash_transactions[[#This Row],[withdrawal_bank]],LEN(cash_transactions[[#This Row],[withdrawal_bank]])-FIND("*",cash_transactions[[#This Row],[withdrawal_bank]]))),
"-")</f>
        <v>-</v>
      </c>
      <c r="E22" s="32"/>
      <c r="F22" s="73" t="str" cm="1">
        <f t="array" ref="F22">IFERROR(_xlfn.XLOOKUP(cash_transactions[[#This Row],[withdrawal_bank_ref]],bank_acct[ref],
_xlfn.XLOOKUP("eng",bank_acct[#Headers],bank_acct[])
), "-")</f>
        <v>-</v>
      </c>
      <c r="G22" s="45"/>
      <c r="H22" s="33"/>
      <c r="I22" s="65" t="str">
        <f>IFERROR(
VALUE(RIGHT(cash_transactions[[#This Row],[deposit_bank]],LEN(cash_transactions[[#This Row],[deposit_bank]])-FIND("*",cash_transactions[[#This Row],[deposit_bank]]))),
"--")</f>
        <v>--</v>
      </c>
      <c r="J22" s="62"/>
      <c r="K22" s="62" t="str">
        <f>cash_transactions[[#This Row],[interbank_dep_error_txt]]</f>
        <v>--</v>
      </c>
      <c r="L22" s="72" t="str" cm="1">
        <f t="array" ref="L22">IFERROR(_xlfn.XLOOKUP(cash_transactions[[#This Row],[deposit_bank_ref]],bank_acct[ref],
_xlfn.XLOOKUP("eng",bank_acct[#Headers],bank_acct[])
), "--")</f>
        <v>--</v>
      </c>
      <c r="M22" s="72"/>
      <c r="N22" s="33">
        <f>cash_transactions[[#This Row],[withdrawn_amt]]</f>
        <v>0</v>
      </c>
      <c r="O22" s="4">
        <f>--OR(
(cash_transactions[[#This Row],[withdrawal_bank_acct_eng]]&lt;&gt;"-")*(cash_transactions[[#This Row],[deposit_bank_acct_eng]]="--"),
(cash_transactions[[#This Row],[withdrawal_bank_acct_eng]]&lt;&gt;"-")*(cash_transactions[[#This Row],[deposit_bank_acct_eng]]&lt;&gt;cash_transactions[[#This Row],[deposit_bank_acct_eng]])
)</f>
        <v>0</v>
      </c>
      <c r="P22" s="4">
        <f>--(cash_transactions[[#This Row],[deposit_bank_acct_eng]]=cash_transactions[[#This Row],[withdrawal_bank_acct_eng]])</f>
        <v>0</v>
      </c>
      <c r="Q22" s="28" t="str" cm="1">
        <f t="array" ref="Q22">IFERROR(CHOOSE(cash_transactions[[#This Row],[error_switch]],
_xlfn.XLOOKUP(cash_transactions[[#Headers],[interbank_dep_error_txt]],field_list[field_name],
_xlfn.XLOOKUP($C$1,field_list[#Headers],field_list[])
)),"--")</f>
        <v>--</v>
      </c>
    </row>
  </sheetData>
  <conditionalFormatting sqref="A8:A22">
    <cfRule type="expression" dxfId="92" priority="11">
      <formula>A8=0</formula>
    </cfRule>
    <cfRule type="expression" dxfId="91" priority="12">
      <formula>A8=$A$2</formula>
    </cfRule>
  </conditionalFormatting>
  <conditionalFormatting sqref="J8:J22">
    <cfRule type="expression" dxfId="90" priority="7">
      <formula>E8&lt;&gt;""</formula>
    </cfRule>
  </conditionalFormatting>
  <conditionalFormatting sqref="G8:G22">
    <cfRule type="expression" dxfId="89" priority="6">
      <formula>F8&lt;&gt;"-"</formula>
    </cfRule>
  </conditionalFormatting>
  <conditionalFormatting sqref="M8:M22">
    <cfRule type="expression" dxfId="88" priority="5">
      <formula>L8&lt;&gt;"--"</formula>
    </cfRule>
  </conditionalFormatting>
  <conditionalFormatting sqref="L8:L22">
    <cfRule type="expression" dxfId="87" priority="4">
      <formula>AND(L8&lt;&gt;"-",L8=F8)</formula>
    </cfRule>
  </conditionalFormatting>
  <conditionalFormatting sqref="H8:H22">
    <cfRule type="expression" dxfId="86" priority="3">
      <formula>F8&lt;&gt;"-"</formula>
    </cfRule>
  </conditionalFormatting>
  <conditionalFormatting sqref="N8:N22">
    <cfRule type="expression" dxfId="85" priority="1">
      <formula>H8=""</formula>
    </cfRule>
  </conditionalFormatting>
  <dataValidations count="8">
    <dataValidation type="list" allowBlank="1" showInputMessage="1" showErrorMessage="1" sqref="C1" xr:uid="{40DAE5C3-C137-4CC1-B0F5-3C7EC9E078F8}">
      <formula1>select_lang_code</formula1>
    </dataValidation>
    <dataValidation type="list" allowBlank="1" showInputMessage="1" showErrorMessage="1" error="You can only select bank accounts that are listed on the Bank Account List" promptTitle="Select Withdrawal Bank" prompt="Select only bank accounts that are listed on the Bank Account List" sqref="E8:E22" xr:uid="{304A267E-BAAA-49DE-ACDF-6AB7C559C1E1}">
      <formula1>selectFundTransferBank</formula1>
    </dataValidation>
    <dataValidation allowBlank="1" showInputMessage="1" showErrorMessage="1" promptTitle="Bank Transaction Reference" prompt="Fill in the bank transaction reference from your withdrawal bank here" sqref="G8:G22" xr:uid="{845A56BD-21EE-4FF1-AF44-6403EB0D06D6}"/>
    <dataValidation allowBlank="1" showInputMessage="1" showErrorMessage="1" promptTitle="Bank Transaction Reference" prompt="Fill in the bank transaction reference from your deposit bank here" sqref="M8:M22" xr:uid="{424714FF-F5C2-4D59-BE1D-BC7A6630B4DD}"/>
    <dataValidation type="list" allowBlank="1" showInputMessage="1" showErrorMessage="1" error="Deposit bank account MUST BE DIFFERENT from the withdrawal bank" promptTitle="Select Deposit Bank" prompt="Please select bank account that different from the withdrawal bank" sqref="J8:J22" xr:uid="{81447927-2328-4B22-A817-404DEA1F5237}">
      <formula1>select_interbank_deposit</formula1>
    </dataValidation>
    <dataValidation operator="notEqual" allowBlank="1" showInputMessage="1" showErrorMessage="1" errorTitle="Withdrawn Amount" error="Please enter the withdrawn amoun" sqref="I8:I22" xr:uid="{D3FC9491-879E-4E58-95FD-0343B6F2B99E}"/>
    <dataValidation allowBlank="1" showInputMessage="1" showErrorMessage="1" error="Deposit bank account MUST BE DIFFERENT from the withdrawal bank" promptTitle="Select Deposit Bank" prompt="Please select bank account that different from the withdrawal bank" sqref="K8:K22" xr:uid="{EAB3A06E-CE1B-4D5C-8BC0-9117F9A94314}"/>
    <dataValidation type="decimal" operator="greaterThanOrEqual" allowBlank="1" showInputMessage="1" showErrorMessage="1" errorTitle="Withdrawn Amount" error="This must be a positive number" promptTitle="Withdrawn Amount" prompt="Enter amount that is more than 0" sqref="H8:H22" xr:uid="{E011EF4B-FD5F-4246-A6F4-D7158D6150E5}">
      <formula1>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B1EC-0665-4179-AFBB-68D980350DAC}">
  <sheetPr>
    <tabColor theme="1"/>
  </sheetPr>
  <dimension ref="A1:K22"/>
  <sheetViews>
    <sheetView showGridLines="0" workbookViewId="0">
      <selection activeCell="A18" sqref="A18"/>
    </sheetView>
  </sheetViews>
  <sheetFormatPr defaultRowHeight="14.4" outlineLevelRow="1"/>
  <cols>
    <col min="1" max="1" width="31.33203125" customWidth="1"/>
    <col min="3" max="3" width="10.5546875" customWidth="1"/>
    <col min="4" max="4" width="18.21875" bestFit="1" customWidth="1"/>
    <col min="5" max="5" width="14.109375" customWidth="1"/>
    <col min="6" max="6" width="30.21875" bestFit="1" customWidth="1"/>
    <col min="7" max="8" width="21.6640625" bestFit="1" customWidth="1"/>
    <col min="9" max="9" width="38.21875" bestFit="1" customWidth="1"/>
    <col min="10" max="10" width="17.88671875" bestFit="1" customWidth="1"/>
    <col min="11" max="11" width="31.109375" bestFit="1" customWidth="1"/>
  </cols>
  <sheetData>
    <row r="1" spans="1:11">
      <c r="A1" s="15" t="str" cm="1">
        <f t="array" aca="1" ref="A1" ca="1">MID(CELL("filename",$A$1),FIND("]",CELL("filename",$A$1))+1,31)</f>
        <v>bank_acct</v>
      </c>
      <c r="C1" s="26" t="s">
        <v>31</v>
      </c>
      <c r="D1" s="15" t="str" cm="1">
        <f t="array" ref="D1">_xlfn.XLOOKUP(C1,language[code],_xlfn.XLOOKUP(C1,language[#Headers],language[]))</f>
        <v>English</v>
      </c>
    </row>
    <row r="2" spans="1:11" ht="20.399999999999999">
      <c r="A2" s="14" t="str" cm="1">
        <f t="array" aca="1" ref="A2" ca="1">_xlfn.XLOOKUP($A$1,table_summary[table_name],
_xlfn.XLOOKUP($C$1,table_summary[#Headers],table_summary[])
)</f>
        <v>Bank Account List</v>
      </c>
    </row>
    <row r="4" spans="1:11">
      <c r="A4" s="42" t="str">
        <f>HYPERLINK(INDEX(table_summary[link_location],MATCH(ROWS($A$4:A4)-1,table_summary[ref],0)),
INDEX(table_summary[],
MATCH(ROWS($A$4:A4)-1,table_summary[ref],0),
MATCH($C$1,table_summary[#Headers],0))
)</f>
        <v>Master Table</v>
      </c>
    </row>
    <row r="6" spans="1:11" s="15" customFormat="1" ht="58.2" thickBot="1">
      <c r="C6" s="74" t="str" cm="1">
        <f t="array" ref="C6">_xlfn.XLOOKUP(C7,field_list[field_name],
_xlfn.XLOOKUP($C$1,field_list[#Headers],field_list[])
)</f>
        <v>Reference</v>
      </c>
      <c r="D6" s="74" t="str" cm="1">
        <f t="array" ref="D6">_xlfn.XLOOKUP(D7,field_list[field_name],
_xlfn.XLOOKUP($C$1,field_list[#Headers],field_list[])
)</f>
        <v>Bank Account Number (Eng)
(Bank Name - Bank Account Number)</v>
      </c>
      <c r="E6" s="74" t="str" cm="1">
        <f t="array" ref="E6">_xlfn.XLOOKUP(E7,field_list[field_name],
_xlfn.XLOOKUP($C$1,field_list[#Headers],field_list[])
)</f>
        <v>General Ledger Account
Number</v>
      </c>
      <c r="F6" s="74" t="str" cm="1">
        <f t="array" ref="F6">_xlfn.XLOOKUP(F7,field_list[field_name],
_xlfn.XLOOKUP($C$1,field_list[#Headers],field_list[])
)</f>
        <v>General Ledger Account</v>
      </c>
      <c r="G6" s="74" t="str" cm="1">
        <f t="array" ref="G6">_xlfn.XLOOKUP(G7,field_list[field_name],
_xlfn.XLOOKUP($C$1,field_list[#Headers],field_list[])
)</f>
        <v>Bank (Withdrawal)</v>
      </c>
      <c r="H6" s="74" t="str" cm="1">
        <f t="array" ref="H6">_xlfn.XLOOKUP(H7,field_list[field_name],
_xlfn.XLOOKUP($C$1,field_list[#Headers],field_list[])
)</f>
        <v>Bank (Deposit)</v>
      </c>
      <c r="I6" s="74" t="str" cm="1">
        <f t="array" ref="I6">_xlfn.XLOOKUP(I7,field_list[field_name],
_xlfn.XLOOKUP($C$1,field_list[#Headers],field_list[])
)</f>
        <v>Bank
(Fund Transfer)</v>
      </c>
      <c r="J6" s="74" t="str" cm="1">
        <f t="array" ref="J6">_xlfn.XLOOKUP(J7,field_list[field_name],
_xlfn.XLOOKUP($C$1,field_list[#Headers],field_list[])
)</f>
        <v>English</v>
      </c>
      <c r="K6" s="74" t="str" cm="1">
        <f t="array" ref="K6">_xlfn.XLOOKUP(K7,field_list[field_name],
_xlfn.XLOOKUP($C$1,field_list[#Headers],field_list[])
)</f>
        <v>Japanese</v>
      </c>
    </row>
    <row r="7" spans="1:11" hidden="1" outlineLevel="1">
      <c r="A7" s="19"/>
      <c r="C7" t="s">
        <v>0</v>
      </c>
      <c r="D7" t="s">
        <v>315</v>
      </c>
      <c r="E7" t="s">
        <v>305</v>
      </c>
      <c r="F7" t="s">
        <v>312</v>
      </c>
      <c r="G7" t="s">
        <v>18</v>
      </c>
      <c r="H7" t="s">
        <v>20</v>
      </c>
      <c r="I7" t="s">
        <v>326</v>
      </c>
      <c r="J7" t="s">
        <v>31</v>
      </c>
      <c r="K7" t="s">
        <v>43</v>
      </c>
    </row>
    <row r="8" spans="1:11" ht="15" collapsed="1" thickTop="1">
      <c r="A8" s="21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IF(bank_acct[[#This Row],[bank_num]]="","",ROWS($C$8:C8))</f>
        <v>1</v>
      </c>
      <c r="D8" s="2" t="s">
        <v>341</v>
      </c>
      <c r="E8">
        <v>1000</v>
      </c>
      <c r="F8" t="str" cm="1">
        <f t="array" ref="F8">_xlfn.XLOOKUP(bank_acct[[#This Row],[gl_acct_num]],chart_of_acct[ref],
_xlfn.XLOOKUP($C$1,chart_of_acct[#Headers],chart_of_acct[])
)</f>
        <v>Cash and deposits</v>
      </c>
      <c r="G8" t="str" cm="1">
        <f t="array" ref="G8">bank_acct[[#This Row],[gl_acct_num]]&amp;"|"&amp;_xlfn.XLOOKUP(bank_acct[[#This Row],[ref]],bank_acct[ref],
_xlfn.XLOOKUP(expense!$C$1,bank_acct[#Headers],bank_acct[])
)&amp;"*"&amp;bank_acct[[#This Row],[ref]]</f>
        <v>1000|my own cash*1</v>
      </c>
      <c r="H8" t="str" cm="1">
        <f t="array" ref="H8">bank_acct[[#This Row],[gl_acct_num]]&amp;"|"&amp;_xlfn.XLOOKUP(bank_acct[[#This Row],[ref]],bank_acct[ref],
_xlfn.XLOOKUP(income!$C$1,bank_acct[#Headers],bank_acct[])
)&amp;"*"&amp;bank_acct[[#This Row],[ref]]</f>
        <v>1000|my own cash*1</v>
      </c>
      <c r="I8" t="str" cm="1">
        <f t="array" ref="I8">bank_acct[[#This Row],[gl_acct_num]]&amp;"|"&amp;_xlfn.XLOOKUP(bank_acct[[#This Row],[ref]],bank_acct[ref],
_xlfn.XLOOKUP(bank!$C$1,bank_acct[#Headers],bank_acct[])
)&amp;"*"&amp;bank_acct[[#This Row],[ref]]</f>
        <v>1000|my own cash*1</v>
      </c>
      <c r="J8" t="str">
        <f>IF(bank_acct[[#This Row],[bank_num]]="","-",bank_acct[[#This Row],[bank_num]])</f>
        <v>my own cash</v>
      </c>
      <c r="K8" t="s">
        <v>342</v>
      </c>
    </row>
    <row r="9" spans="1:11">
      <c r="A9" s="21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IF(bank_acct[[#This Row],[bank_num]]="","",ROWS($C$8:C9))</f>
        <v>2</v>
      </c>
      <c r="D9" s="2" t="s">
        <v>318</v>
      </c>
      <c r="E9">
        <v>3260</v>
      </c>
      <c r="F9" t="str" cm="1">
        <f t="array" ref="F9">_xlfn.XLOOKUP(bank_acct[[#This Row],[gl_acct_num]],chart_of_acct[ref],
_xlfn.XLOOKUP($C$1,chart_of_acct[#Headers],chart_of_acct[])
)</f>
        <v>Due to shareholder(s)/director(s)</v>
      </c>
      <c r="G9" t="str" cm="1">
        <f t="array" ref="G9">bank_acct[[#This Row],[gl_acct_num]]&amp;"|"&amp;_xlfn.XLOOKUP(bank_acct[[#This Row],[ref]],bank_acct[ref],
_xlfn.XLOOKUP(expense!$C$1,bank_acct[#Headers],bank_acct[])
)&amp;"*"&amp;bank_acct[[#This Row],[ref]]</f>
        <v>3260|bmo - acct 456*2</v>
      </c>
      <c r="H9" t="str" cm="1">
        <f t="array" ref="H9">bank_acct[[#This Row],[gl_acct_num]]&amp;"|"&amp;_xlfn.XLOOKUP(bank_acct[[#This Row],[ref]],bank_acct[ref],
_xlfn.XLOOKUP(income!$C$1,bank_acct[#Headers],bank_acct[])
)&amp;"*"&amp;bank_acct[[#This Row],[ref]]</f>
        <v>3260|bmo - acct 456*2</v>
      </c>
      <c r="I9" t="str" cm="1">
        <f t="array" ref="I9">bank_acct[[#This Row],[gl_acct_num]]&amp;"|"&amp;_xlfn.XLOOKUP(bank_acct[[#This Row],[ref]],bank_acct[ref],
_xlfn.XLOOKUP(bank!$C$1,bank_acct[#Headers],bank_acct[])
)&amp;"*"&amp;bank_acct[[#This Row],[ref]]</f>
        <v>3260|bmo - acct 456*2</v>
      </c>
      <c r="J9" t="str">
        <f>IF(bank_acct[[#This Row],[bank_num]]="","-",bank_acct[[#This Row],[bank_num]])</f>
        <v>bmo - acct 456</v>
      </c>
      <c r="K9" t="s">
        <v>319</v>
      </c>
    </row>
    <row r="10" spans="1:11">
      <c r="A10" s="21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IF(bank_acct[[#This Row],[bank_num]]="","",ROWS($C$8:C10))</f>
        <v>3</v>
      </c>
      <c r="D10" s="2" t="s">
        <v>335</v>
      </c>
      <c r="E10">
        <v>30001</v>
      </c>
      <c r="F10" t="str" cm="1">
        <f t="array" ref="F10">_xlfn.XLOOKUP(bank_acct[[#This Row],[gl_acct_num]],chart_of_acct[ref],
_xlfn.XLOOKUP($C$1,chart_of_acct[#Headers],chart_of_acct[])
)</f>
        <v>Unclassified Deposit</v>
      </c>
      <c r="G10" t="str" cm="1">
        <f t="array" ref="G10">bank_acct[[#This Row],[gl_acct_num]]&amp;"|"&amp;_xlfn.XLOOKUP(bank_acct[[#This Row],[ref]],bank_acct[ref],
_xlfn.XLOOKUP(expense!$C$1,bank_acct[#Headers],bank_acct[])
)&amp;"*"&amp;bank_acct[[#This Row],[ref]]</f>
        <v>30001|hsbc - acct 789*3</v>
      </c>
      <c r="H10" t="str" cm="1">
        <f t="array" ref="H10">bank_acct[[#This Row],[gl_acct_num]]&amp;"|"&amp;_xlfn.XLOOKUP(bank_acct[[#This Row],[ref]],bank_acct[ref],
_xlfn.XLOOKUP(income!$C$1,bank_acct[#Headers],bank_acct[])
)&amp;"*"&amp;bank_acct[[#This Row],[ref]]</f>
        <v>30001|hsbc - acct 789*3</v>
      </c>
      <c r="I10" t="str" cm="1">
        <f t="array" ref="I10">bank_acct[[#This Row],[gl_acct_num]]&amp;"|"&amp;_xlfn.XLOOKUP(bank_acct[[#This Row],[ref]],bank_acct[ref],
_xlfn.XLOOKUP(bank!$C$1,bank_acct[#Headers],bank_acct[])
)&amp;"*"&amp;bank_acct[[#This Row],[ref]]</f>
        <v>30001|hsbc - acct 789*3</v>
      </c>
      <c r="J10" t="str">
        <f>IF(bank_acct[[#This Row],[bank_num]]="","-",bank_acct[[#This Row],[bank_num]])</f>
        <v>hsbc - acct 789</v>
      </c>
      <c r="K10" t="s">
        <v>336</v>
      </c>
    </row>
    <row r="11" spans="1:11">
      <c r="A11" s="21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>
        <f>IF(bank_acct[[#This Row],[bank_num]]="","",ROWS($C$8:C11))</f>
        <v>4</v>
      </c>
      <c r="D11" s="2" t="s">
        <v>316</v>
      </c>
      <c r="E11">
        <v>1000</v>
      </c>
      <c r="F11" t="str" cm="1">
        <f t="array" ref="F11">_xlfn.XLOOKUP(bank_acct[[#This Row],[gl_acct_num]],chart_of_acct[ref],
_xlfn.XLOOKUP($C$1,chart_of_acct[#Headers],chart_of_acct[])
)</f>
        <v>Cash and deposits</v>
      </c>
      <c r="G11" t="str" cm="1">
        <f t="array" ref="G11">bank_acct[[#This Row],[gl_acct_num]]&amp;"|"&amp;_xlfn.XLOOKUP(bank_acct[[#This Row],[ref]],bank_acct[ref],
_xlfn.XLOOKUP(expense!$C$1,bank_acct[#Headers],bank_acct[])
)&amp;"*"&amp;bank_acct[[#This Row],[ref]]</f>
        <v>1000|hsbc - acct 123*4</v>
      </c>
      <c r="H11" t="str" cm="1">
        <f t="array" ref="H11">bank_acct[[#This Row],[gl_acct_num]]&amp;"|"&amp;_xlfn.XLOOKUP(bank_acct[[#This Row],[ref]],bank_acct[ref],
_xlfn.XLOOKUP(income!$C$1,bank_acct[#Headers],bank_acct[])
)&amp;"*"&amp;bank_acct[[#This Row],[ref]]</f>
        <v>1000|hsbc - acct 123*4</v>
      </c>
      <c r="I11" t="str" cm="1">
        <f t="array" ref="I11">bank_acct[[#This Row],[gl_acct_num]]&amp;"|"&amp;_xlfn.XLOOKUP(bank_acct[[#This Row],[ref]],bank_acct[ref],
_xlfn.XLOOKUP(bank!$C$1,bank_acct[#Headers],bank_acct[])
)&amp;"*"&amp;bank_acct[[#This Row],[ref]]</f>
        <v>1000|hsbc - acct 123*4</v>
      </c>
      <c r="J11" t="str">
        <f>IF(bank_acct[[#This Row],[bank_num]]="","-",bank_acct[[#This Row],[bank_num]])</f>
        <v>hsbc - acct 123</v>
      </c>
      <c r="K11" t="s">
        <v>317</v>
      </c>
    </row>
    <row r="12" spans="1:11">
      <c r="A12" s="21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 t="str">
        <f>IF(bank_acct[[#This Row],[bank_num]]="","",ROWS($C$8:C12))</f>
        <v/>
      </c>
      <c r="D12" s="2"/>
      <c r="F12" cm="1">
        <f t="array" ref="F12">_xlfn.XLOOKUP(bank_acct[[#This Row],[gl_acct_num]],chart_of_acct[ref],
_xlfn.XLOOKUP($C$1,chart_of_acct[#Headers],chart_of_acct[])
)</f>
        <v>0</v>
      </c>
      <c r="G12" t="str" cm="1">
        <f t="array" ref="G12">bank_acct[[#This Row],[gl_acct_num]]&amp;"|"&amp;_xlfn.XLOOKUP(bank_acct[[#This Row],[ref]],bank_acct[ref],
_xlfn.XLOOKUP(expense!$C$1,bank_acct[#Headers],bank_acct[])
)&amp;"*"&amp;bank_acct[[#This Row],[ref]]</f>
        <v>|-*</v>
      </c>
      <c r="H12" t="str" cm="1">
        <f t="array" ref="H12">bank_acct[[#This Row],[gl_acct_num]]&amp;"|"&amp;_xlfn.XLOOKUP(bank_acct[[#This Row],[ref]],bank_acct[ref],
_xlfn.XLOOKUP(income!$C$1,bank_acct[#Headers],bank_acct[])
)&amp;"*"&amp;bank_acct[[#This Row],[ref]]</f>
        <v>|-*</v>
      </c>
      <c r="I12" t="str" cm="1">
        <f t="array" ref="I12">bank_acct[[#This Row],[gl_acct_num]]&amp;"|"&amp;_xlfn.XLOOKUP(bank_acct[[#This Row],[ref]],bank_acct[ref],
_xlfn.XLOOKUP(bank!$C$1,bank_acct[#Headers],bank_acct[])
)&amp;"*"&amp;bank_acct[[#This Row],[ref]]</f>
        <v>|-*</v>
      </c>
      <c r="J12" t="str">
        <f>IF(bank_acct[[#This Row],[bank_num]]="","-",bank_acct[[#This Row],[bank_num]])</f>
        <v>-</v>
      </c>
    </row>
    <row r="13" spans="1:11">
      <c r="A13" s="21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 t="str">
        <f>IF(bank_acct[[#This Row],[bank_num]]="","",ROWS($C$8:C13))</f>
        <v/>
      </c>
      <c r="D13" s="2"/>
      <c r="F13" cm="1">
        <f t="array" ref="F13">_xlfn.XLOOKUP(bank_acct[[#This Row],[gl_acct_num]],chart_of_acct[ref],
_xlfn.XLOOKUP($C$1,chart_of_acct[#Headers],chart_of_acct[])
)</f>
        <v>0</v>
      </c>
      <c r="G13" t="str" cm="1">
        <f t="array" ref="G13">bank_acct[[#This Row],[gl_acct_num]]&amp;"|"&amp;_xlfn.XLOOKUP(bank_acct[[#This Row],[ref]],bank_acct[ref],
_xlfn.XLOOKUP(expense!$C$1,bank_acct[#Headers],bank_acct[])
)&amp;"*"&amp;bank_acct[[#This Row],[ref]]</f>
        <v>|-*</v>
      </c>
      <c r="H13" t="str" cm="1">
        <f t="array" ref="H13">bank_acct[[#This Row],[gl_acct_num]]&amp;"|"&amp;_xlfn.XLOOKUP(bank_acct[[#This Row],[ref]],bank_acct[ref],
_xlfn.XLOOKUP(income!$C$1,bank_acct[#Headers],bank_acct[])
)&amp;"*"&amp;bank_acct[[#This Row],[ref]]</f>
        <v>|-*</v>
      </c>
      <c r="I13" t="str" cm="1">
        <f t="array" ref="I13">bank_acct[[#This Row],[gl_acct_num]]&amp;"|"&amp;_xlfn.XLOOKUP(bank_acct[[#This Row],[ref]],bank_acct[ref],
_xlfn.XLOOKUP(bank!$C$1,bank_acct[#Headers],bank_acct[])
)&amp;"*"&amp;bank_acct[[#This Row],[ref]]</f>
        <v>|-*</v>
      </c>
      <c r="J13" t="str">
        <f>IF(bank_acct[[#This Row],[bank_num]]="","-",bank_acct[[#This Row],[bank_num]])</f>
        <v>-</v>
      </c>
    </row>
    <row r="14" spans="1:11">
      <c r="A14" s="21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 t="str">
        <f>IF(bank_acct[[#This Row],[bank_num]]="","",ROWS($C$8:C14))</f>
        <v/>
      </c>
      <c r="D14" s="2"/>
      <c r="F14" cm="1">
        <f t="array" ref="F14">_xlfn.XLOOKUP(bank_acct[[#This Row],[gl_acct_num]],chart_of_acct[ref],
_xlfn.XLOOKUP($C$1,chart_of_acct[#Headers],chart_of_acct[])
)</f>
        <v>0</v>
      </c>
      <c r="G14" t="str" cm="1">
        <f t="array" ref="G14">bank_acct[[#This Row],[gl_acct_num]]&amp;"|"&amp;_xlfn.XLOOKUP(bank_acct[[#This Row],[ref]],bank_acct[ref],
_xlfn.XLOOKUP(expense!$C$1,bank_acct[#Headers],bank_acct[])
)&amp;"*"&amp;bank_acct[[#This Row],[ref]]</f>
        <v>|-*</v>
      </c>
      <c r="H14" t="str" cm="1">
        <f t="array" ref="H14">bank_acct[[#This Row],[gl_acct_num]]&amp;"|"&amp;_xlfn.XLOOKUP(bank_acct[[#This Row],[ref]],bank_acct[ref],
_xlfn.XLOOKUP(income!$C$1,bank_acct[#Headers],bank_acct[])
)&amp;"*"&amp;bank_acct[[#This Row],[ref]]</f>
        <v>|-*</v>
      </c>
      <c r="I14" t="str" cm="1">
        <f t="array" ref="I14">bank_acct[[#This Row],[gl_acct_num]]&amp;"|"&amp;_xlfn.XLOOKUP(bank_acct[[#This Row],[ref]],bank_acct[ref],
_xlfn.XLOOKUP(bank!$C$1,bank_acct[#Headers],bank_acct[])
)&amp;"*"&amp;bank_acct[[#This Row],[ref]]</f>
        <v>|-*</v>
      </c>
      <c r="J14" t="str">
        <f>IF(bank_acct[[#This Row],[bank_num]]="","-",bank_acct[[#This Row],[bank_num]])</f>
        <v>-</v>
      </c>
    </row>
    <row r="15" spans="1:11">
      <c r="A15" s="21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 t="str">
        <f>IF(bank_acct[[#This Row],[bank_num]]="","",ROWS($C$8:C15))</f>
        <v/>
      </c>
      <c r="D15" s="2"/>
      <c r="F15" cm="1">
        <f t="array" ref="F15">_xlfn.XLOOKUP(bank_acct[[#This Row],[gl_acct_num]],chart_of_acct[ref],
_xlfn.XLOOKUP($C$1,chart_of_acct[#Headers],chart_of_acct[])
)</f>
        <v>0</v>
      </c>
      <c r="G15" t="str" cm="1">
        <f t="array" ref="G15">bank_acct[[#This Row],[gl_acct_num]]&amp;"|"&amp;_xlfn.XLOOKUP(bank_acct[[#This Row],[ref]],bank_acct[ref],
_xlfn.XLOOKUP(expense!$C$1,bank_acct[#Headers],bank_acct[])
)&amp;"*"&amp;bank_acct[[#This Row],[ref]]</f>
        <v>|-*</v>
      </c>
      <c r="H15" t="str" cm="1">
        <f t="array" ref="H15">bank_acct[[#This Row],[gl_acct_num]]&amp;"|"&amp;_xlfn.XLOOKUP(bank_acct[[#This Row],[ref]],bank_acct[ref],
_xlfn.XLOOKUP(income!$C$1,bank_acct[#Headers],bank_acct[])
)&amp;"*"&amp;bank_acct[[#This Row],[ref]]</f>
        <v>|-*</v>
      </c>
      <c r="I15" t="str" cm="1">
        <f t="array" ref="I15">bank_acct[[#This Row],[gl_acct_num]]&amp;"|"&amp;_xlfn.XLOOKUP(bank_acct[[#This Row],[ref]],bank_acct[ref],
_xlfn.XLOOKUP(bank!$C$1,bank_acct[#Headers],bank_acct[])
)&amp;"*"&amp;bank_acct[[#This Row],[ref]]</f>
        <v>|-*</v>
      </c>
      <c r="J15" t="str">
        <f>IF(bank_acct[[#This Row],[bank_num]]="","-",bank_acct[[#This Row],[bank_num]])</f>
        <v>-</v>
      </c>
    </row>
    <row r="16" spans="1:11">
      <c r="A16" s="21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 t="str">
        <f>IF(bank_acct[[#This Row],[bank_num]]="","",ROWS($C$8:C16))</f>
        <v/>
      </c>
      <c r="D16" s="2"/>
      <c r="F16" cm="1">
        <f t="array" ref="F16">_xlfn.XLOOKUP(bank_acct[[#This Row],[gl_acct_num]],chart_of_acct[ref],
_xlfn.XLOOKUP($C$1,chart_of_acct[#Headers],chart_of_acct[])
)</f>
        <v>0</v>
      </c>
      <c r="G16" t="str" cm="1">
        <f t="array" ref="G16">bank_acct[[#This Row],[gl_acct_num]]&amp;"|"&amp;_xlfn.XLOOKUP(bank_acct[[#This Row],[ref]],bank_acct[ref],
_xlfn.XLOOKUP(expense!$C$1,bank_acct[#Headers],bank_acct[])
)&amp;"*"&amp;bank_acct[[#This Row],[ref]]</f>
        <v>|-*</v>
      </c>
      <c r="H16" t="str" cm="1">
        <f t="array" ref="H16">bank_acct[[#This Row],[gl_acct_num]]&amp;"|"&amp;_xlfn.XLOOKUP(bank_acct[[#This Row],[ref]],bank_acct[ref],
_xlfn.XLOOKUP(income!$C$1,bank_acct[#Headers],bank_acct[])
)&amp;"*"&amp;bank_acct[[#This Row],[ref]]</f>
        <v>|-*</v>
      </c>
      <c r="I16" t="str" cm="1">
        <f t="array" ref="I16">bank_acct[[#This Row],[gl_acct_num]]&amp;"|"&amp;_xlfn.XLOOKUP(bank_acct[[#This Row],[ref]],bank_acct[ref],
_xlfn.XLOOKUP(bank!$C$1,bank_acct[#Headers],bank_acct[])
)&amp;"*"&amp;bank_acct[[#This Row],[ref]]</f>
        <v>|-*</v>
      </c>
      <c r="J16" t="str">
        <f>IF(bank_acct[[#This Row],[bank_num]]="","-",bank_acct[[#This Row],[bank_num]])</f>
        <v>-</v>
      </c>
    </row>
    <row r="17" spans="1:10">
      <c r="A17" s="21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 t="str">
        <f>IF(bank_acct[[#This Row],[bank_num]]="","",ROWS($C$8:C17))</f>
        <v/>
      </c>
      <c r="D17" s="2"/>
      <c r="F17" cm="1">
        <f t="array" ref="F17">_xlfn.XLOOKUP(bank_acct[[#This Row],[gl_acct_num]],chart_of_acct[ref],
_xlfn.XLOOKUP($C$1,chart_of_acct[#Headers],chart_of_acct[])
)</f>
        <v>0</v>
      </c>
      <c r="G17" t="str" cm="1">
        <f t="array" ref="G17">bank_acct[[#This Row],[gl_acct_num]]&amp;"|"&amp;_xlfn.XLOOKUP(bank_acct[[#This Row],[ref]],bank_acct[ref],
_xlfn.XLOOKUP(expense!$C$1,bank_acct[#Headers],bank_acct[])
)&amp;"*"&amp;bank_acct[[#This Row],[ref]]</f>
        <v>|-*</v>
      </c>
      <c r="H17" t="str" cm="1">
        <f t="array" ref="H17">bank_acct[[#This Row],[gl_acct_num]]&amp;"|"&amp;_xlfn.XLOOKUP(bank_acct[[#This Row],[ref]],bank_acct[ref],
_xlfn.XLOOKUP(income!$C$1,bank_acct[#Headers],bank_acct[])
)&amp;"*"&amp;bank_acct[[#This Row],[ref]]</f>
        <v>|-*</v>
      </c>
      <c r="I17" t="str" cm="1">
        <f t="array" ref="I17">bank_acct[[#This Row],[gl_acct_num]]&amp;"|"&amp;_xlfn.XLOOKUP(bank_acct[[#This Row],[ref]],bank_acct[ref],
_xlfn.XLOOKUP(bank!$C$1,bank_acct[#Headers],bank_acct[])
)&amp;"*"&amp;bank_acct[[#This Row],[ref]]</f>
        <v>|-*</v>
      </c>
      <c r="J17" t="str">
        <f>IF(bank_acct[[#This Row],[bank_num]]="","-",bank_acct[[#This Row],[bank_num]])</f>
        <v>-</v>
      </c>
    </row>
    <row r="18" spans="1:10">
      <c r="A18" s="21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 t="str">
        <f>IF(bank_acct[[#This Row],[bank_num]]="","",ROWS($C$8:C18))</f>
        <v/>
      </c>
      <c r="D18" s="2"/>
      <c r="F18" cm="1">
        <f t="array" ref="F18">_xlfn.XLOOKUP(bank_acct[[#This Row],[gl_acct_num]],chart_of_acct[ref],
_xlfn.XLOOKUP($C$1,chart_of_acct[#Headers],chart_of_acct[])
)</f>
        <v>0</v>
      </c>
      <c r="G18" t="str" cm="1">
        <f t="array" ref="G18">bank_acct[[#This Row],[gl_acct_num]]&amp;"|"&amp;_xlfn.XLOOKUP(bank_acct[[#This Row],[ref]],bank_acct[ref],
_xlfn.XLOOKUP(expense!$C$1,bank_acct[#Headers],bank_acct[])
)&amp;"*"&amp;bank_acct[[#This Row],[ref]]</f>
        <v>|-*</v>
      </c>
      <c r="H18" t="str" cm="1">
        <f t="array" ref="H18">bank_acct[[#This Row],[gl_acct_num]]&amp;"|"&amp;_xlfn.XLOOKUP(bank_acct[[#This Row],[ref]],bank_acct[ref],
_xlfn.XLOOKUP(income!$C$1,bank_acct[#Headers],bank_acct[])
)&amp;"*"&amp;bank_acct[[#This Row],[ref]]</f>
        <v>|-*</v>
      </c>
      <c r="I18" t="str" cm="1">
        <f t="array" ref="I18">bank_acct[[#This Row],[gl_acct_num]]&amp;"|"&amp;_xlfn.XLOOKUP(bank_acct[[#This Row],[ref]],bank_acct[ref],
_xlfn.XLOOKUP(bank!$C$1,bank_acct[#Headers],bank_acct[])
)&amp;"*"&amp;bank_acct[[#This Row],[ref]]</f>
        <v>|-*</v>
      </c>
      <c r="J18" t="str">
        <f>IF(bank_acct[[#This Row],[bank_num]]="","-",bank_acct[[#This Row],[bank_num]])</f>
        <v>-</v>
      </c>
    </row>
    <row r="19" spans="1:10">
      <c r="A19" s="21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 t="str">
        <f>IF(bank_acct[[#This Row],[bank_num]]="","",ROWS($C$8:C19))</f>
        <v/>
      </c>
      <c r="D19" s="2"/>
      <c r="F19" cm="1">
        <f t="array" ref="F19">_xlfn.XLOOKUP(bank_acct[[#This Row],[gl_acct_num]],chart_of_acct[ref],
_xlfn.XLOOKUP($C$1,chart_of_acct[#Headers],chart_of_acct[])
)</f>
        <v>0</v>
      </c>
      <c r="G19" t="str" cm="1">
        <f t="array" ref="G19">bank_acct[[#This Row],[gl_acct_num]]&amp;"|"&amp;_xlfn.XLOOKUP(bank_acct[[#This Row],[ref]],bank_acct[ref],
_xlfn.XLOOKUP(expense!$C$1,bank_acct[#Headers],bank_acct[])
)&amp;"*"&amp;bank_acct[[#This Row],[ref]]</f>
        <v>|-*</v>
      </c>
      <c r="H19" t="str" cm="1">
        <f t="array" ref="H19">bank_acct[[#This Row],[gl_acct_num]]&amp;"|"&amp;_xlfn.XLOOKUP(bank_acct[[#This Row],[ref]],bank_acct[ref],
_xlfn.XLOOKUP(income!$C$1,bank_acct[#Headers],bank_acct[])
)&amp;"*"&amp;bank_acct[[#This Row],[ref]]</f>
        <v>|-*</v>
      </c>
      <c r="I19" t="str" cm="1">
        <f t="array" ref="I19">bank_acct[[#This Row],[gl_acct_num]]&amp;"|"&amp;_xlfn.XLOOKUP(bank_acct[[#This Row],[ref]],bank_acct[ref],
_xlfn.XLOOKUP(bank!$C$1,bank_acct[#Headers],bank_acct[])
)&amp;"*"&amp;bank_acct[[#This Row],[ref]]</f>
        <v>|-*</v>
      </c>
      <c r="J19" t="str">
        <f>IF(bank_acct[[#This Row],[bank_num]]="","-",bank_acct[[#This Row],[bank_num]])</f>
        <v>-</v>
      </c>
    </row>
    <row r="20" spans="1:10">
      <c r="A20" s="21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 t="str">
        <f>IF(bank_acct[[#This Row],[bank_num]]="","",ROWS($C$8:C20))</f>
        <v/>
      </c>
      <c r="D20" s="2"/>
      <c r="F20" cm="1">
        <f t="array" ref="F20">_xlfn.XLOOKUP(bank_acct[[#This Row],[gl_acct_num]],chart_of_acct[ref],
_xlfn.XLOOKUP($C$1,chart_of_acct[#Headers],chart_of_acct[])
)</f>
        <v>0</v>
      </c>
      <c r="G20" t="str" cm="1">
        <f t="array" ref="G20">bank_acct[[#This Row],[gl_acct_num]]&amp;"|"&amp;_xlfn.XLOOKUP(bank_acct[[#This Row],[ref]],bank_acct[ref],
_xlfn.XLOOKUP(expense!$C$1,bank_acct[#Headers],bank_acct[])
)&amp;"*"&amp;bank_acct[[#This Row],[ref]]</f>
        <v>|-*</v>
      </c>
      <c r="H20" t="str" cm="1">
        <f t="array" ref="H20">bank_acct[[#This Row],[gl_acct_num]]&amp;"|"&amp;_xlfn.XLOOKUP(bank_acct[[#This Row],[ref]],bank_acct[ref],
_xlfn.XLOOKUP(income!$C$1,bank_acct[#Headers],bank_acct[])
)&amp;"*"&amp;bank_acct[[#This Row],[ref]]</f>
        <v>|-*</v>
      </c>
      <c r="I20" t="str" cm="1">
        <f t="array" ref="I20">bank_acct[[#This Row],[gl_acct_num]]&amp;"|"&amp;_xlfn.XLOOKUP(bank_acct[[#This Row],[ref]],bank_acct[ref],
_xlfn.XLOOKUP(bank!$C$1,bank_acct[#Headers],bank_acct[])
)&amp;"*"&amp;bank_acct[[#This Row],[ref]]</f>
        <v>|-*</v>
      </c>
      <c r="J20" t="str">
        <f>IF(bank_acct[[#This Row],[bank_num]]="","-",bank_acct[[#This Row],[bank_num]])</f>
        <v>-</v>
      </c>
    </row>
    <row r="21" spans="1:10">
      <c r="A21" s="21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 t="str">
        <f>IF(bank_acct[[#This Row],[bank_num]]="","",ROWS($C$8:C21))</f>
        <v/>
      </c>
      <c r="D21" s="2"/>
      <c r="F21" cm="1">
        <f t="array" ref="F21">_xlfn.XLOOKUP(bank_acct[[#This Row],[gl_acct_num]],chart_of_acct[ref],
_xlfn.XLOOKUP($C$1,chart_of_acct[#Headers],chart_of_acct[])
)</f>
        <v>0</v>
      </c>
      <c r="G21" t="str" cm="1">
        <f t="array" ref="G21">bank_acct[[#This Row],[gl_acct_num]]&amp;"|"&amp;_xlfn.XLOOKUP(bank_acct[[#This Row],[ref]],bank_acct[ref],
_xlfn.XLOOKUP(expense!$C$1,bank_acct[#Headers],bank_acct[])
)&amp;"*"&amp;bank_acct[[#This Row],[ref]]</f>
        <v>|-*</v>
      </c>
      <c r="H21" t="str" cm="1">
        <f t="array" ref="H21">bank_acct[[#This Row],[gl_acct_num]]&amp;"|"&amp;_xlfn.XLOOKUP(bank_acct[[#This Row],[ref]],bank_acct[ref],
_xlfn.XLOOKUP(income!$C$1,bank_acct[#Headers],bank_acct[])
)&amp;"*"&amp;bank_acct[[#This Row],[ref]]</f>
        <v>|-*</v>
      </c>
      <c r="I21" t="str" cm="1">
        <f t="array" ref="I21">bank_acct[[#This Row],[gl_acct_num]]&amp;"|"&amp;_xlfn.XLOOKUP(bank_acct[[#This Row],[ref]],bank_acct[ref],
_xlfn.XLOOKUP(bank!$C$1,bank_acct[#Headers],bank_acct[])
)&amp;"*"&amp;bank_acct[[#This Row],[ref]]</f>
        <v>|-*</v>
      </c>
      <c r="J21" t="str">
        <f>IF(bank_acct[[#This Row],[bank_num]]="","-",bank_acct[[#This Row],[bank_num]])</f>
        <v>-</v>
      </c>
    </row>
    <row r="22" spans="1:10">
      <c r="A22" s="21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C22" t="str">
        <f>IF(bank_acct[[#This Row],[bank_num]]="","",ROWS($C$8:C22))</f>
        <v/>
      </c>
      <c r="D22" s="2"/>
      <c r="F22" cm="1">
        <f t="array" ref="F22">_xlfn.XLOOKUP(bank_acct[[#This Row],[gl_acct_num]],chart_of_acct[ref],
_xlfn.XLOOKUP($C$1,chart_of_acct[#Headers],chart_of_acct[])
)</f>
        <v>0</v>
      </c>
      <c r="G22" t="str" cm="1">
        <f t="array" ref="G22">bank_acct[[#This Row],[gl_acct_num]]&amp;"|"&amp;_xlfn.XLOOKUP(bank_acct[[#This Row],[ref]],bank_acct[ref],
_xlfn.XLOOKUP(expense!$C$1,bank_acct[#Headers],bank_acct[])
)&amp;"*"&amp;bank_acct[[#This Row],[ref]]</f>
        <v>|-*</v>
      </c>
      <c r="H22" t="str" cm="1">
        <f t="array" ref="H22">bank_acct[[#This Row],[gl_acct_num]]&amp;"|"&amp;_xlfn.XLOOKUP(bank_acct[[#This Row],[ref]],bank_acct[ref],
_xlfn.XLOOKUP(income!$C$1,bank_acct[#Headers],bank_acct[])
)&amp;"*"&amp;bank_acct[[#This Row],[ref]]</f>
        <v>|-*</v>
      </c>
      <c r="I22" t="str" cm="1">
        <f t="array" ref="I22">bank_acct[[#This Row],[gl_acct_num]]&amp;"|"&amp;_xlfn.XLOOKUP(bank_acct[[#This Row],[ref]],bank_acct[ref],
_xlfn.XLOOKUP(bank!$C$1,bank_acct[#Headers],bank_acct[])
)&amp;"*"&amp;bank_acct[[#This Row],[ref]]</f>
        <v>|-*</v>
      </c>
      <c r="J22" t="str">
        <f>IF(bank_acct[[#This Row],[bank_num]]="","-",bank_acct[[#This Row],[bank_num]])</f>
        <v>-</v>
      </c>
    </row>
  </sheetData>
  <conditionalFormatting sqref="A8:A22">
    <cfRule type="expression" dxfId="68" priority="5">
      <formula>A8=0</formula>
    </cfRule>
    <cfRule type="expression" dxfId="67" priority="6">
      <formula>A8=$A$2</formula>
    </cfRule>
  </conditionalFormatting>
  <conditionalFormatting sqref="K8:K22">
    <cfRule type="expression" dxfId="66" priority="4">
      <formula>$D8&lt;&gt;""</formula>
    </cfRule>
  </conditionalFormatting>
  <conditionalFormatting sqref="E8:E22">
    <cfRule type="expression" dxfId="65" priority="3">
      <formula>$D8&lt;&gt;""</formula>
    </cfRule>
  </conditionalFormatting>
  <conditionalFormatting sqref="F8:I22">
    <cfRule type="expression" dxfId="64" priority="1">
      <formula>$F8=0</formula>
    </cfRule>
    <cfRule type="expression" dxfId="63" priority="2">
      <formula>$E8&gt;0</formula>
    </cfRule>
  </conditionalFormatting>
  <dataValidations count="3">
    <dataValidation type="list" allowBlank="1" showInputMessage="1" showErrorMessage="1" sqref="C1" xr:uid="{062361F9-6F01-4986-8185-FF36D0D84007}">
      <formula1>select_lang_code</formula1>
    </dataValidation>
    <dataValidation showInputMessage="1" showErrorMessage="1" promptTitle="Add Bank Account" prompt="create a new bank account in the following format:_x000a_bank_name - account_number_x000a_e.g. hsbc - 123" sqref="D8:D22 K8:K22" xr:uid="{937C7B8A-1B28-4F3F-B4DF-7109E1AF8A77}"/>
    <dataValidation type="list" allowBlank="1" showInputMessage="1" showErrorMessage="1" promptTitle="General Ledger Account Number" prompt="Select the general ledger account number from the list_x000a_(Recommendation:_x000a_change of setting in 'Chart Of Account' should be_x000a_done ONLY under guidance of accounting professionals)" sqref="E8:E22" xr:uid="{7E9B3D34-8794-4357-B618-1C7A50E2F1F2}">
      <formula1>selectBankGL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CA1B-103F-4393-9E1F-9B95467BEFF0}">
  <sheetPr codeName="Sheet5">
    <tabColor theme="5" tint="-0.499984740745262"/>
  </sheetPr>
  <dimension ref="A1:G34"/>
  <sheetViews>
    <sheetView showGridLines="0" zoomScaleNormal="100" workbookViewId="0">
      <selection activeCell="A11" sqref="A11"/>
    </sheetView>
  </sheetViews>
  <sheetFormatPr defaultRowHeight="14.4" outlineLevelRow="1"/>
  <cols>
    <col min="1" max="1" width="24.109375" bestFit="1" customWidth="1"/>
    <col min="2" max="2" width="6.5546875" customWidth="1"/>
    <col min="3" max="3" width="12" customWidth="1"/>
    <col min="4" max="4" width="19.6640625" bestFit="1" customWidth="1"/>
    <col min="5" max="5" width="14.33203125" bestFit="1" customWidth="1"/>
    <col min="6" max="6" width="25.21875" bestFit="1" customWidth="1"/>
    <col min="7" max="7" width="21.33203125" bestFit="1" customWidth="1"/>
  </cols>
  <sheetData>
    <row r="1" spans="1:7" s="15" customFormat="1">
      <c r="A1" s="15" t="str" cm="1">
        <f t="array" aca="1" ref="A1" ca="1">MID(CELL("filename",$A$1),FIND("]",CELL("filename",$A$1))+1,31)</f>
        <v>table</v>
      </c>
      <c r="C1" s="26" t="s">
        <v>31</v>
      </c>
      <c r="D1" s="15" t="str" cm="1">
        <f t="array" ref="D1">_xlfn.XLOOKUP(C1,language[code],_xlfn.XLOOKUP(C1,language[#Headers],language[]))</f>
        <v>English</v>
      </c>
    </row>
    <row r="2" spans="1:7" ht="40.799999999999997">
      <c r="A2" s="14" t="str" cm="1">
        <f t="array" aca="1" ref="A2" ca="1">_xlfn.XLOOKUP($A$1,table_summary[table_name],
_xlfn.XLOOKUP($C$1,table_summary[#Headers],table_summary[])
)</f>
        <v>Table Summary</v>
      </c>
      <c r="F2" s="14" t="str" cm="1">
        <f t="array" aca="1" ref="F2" ca="1">_xlfn.XLOOKUP($A$1,table_summary[table_name],
_xlfn.XLOOKUP($C$1,table_summary[#Headers],table_summary[])
)</f>
        <v>Table Summary</v>
      </c>
    </row>
    <row r="4" spans="1:7">
      <c r="A4" s="42" t="str">
        <f>HYPERLINK(INDEX(table_summary[link_location],MATCH(ROWS($A$4:A4)-1,table_summary[ref],0)),
INDEX(table_summary[],
MATCH(ROWS($A$4:A4)-1,table_summary[ref],0),
MATCH($C$1,table_summary[#Headers],0))
)</f>
        <v>Master Table</v>
      </c>
    </row>
    <row r="5" spans="1:7">
      <c r="C5" t="str">
        <f>INDEX(field_list[#All],
MATCH(C7,field_list[[#All],[field_name]],0),
MATCH($C$1,field_list[[#All],[field_name]],0)
)</f>
        <v>整理番号</v>
      </c>
    </row>
    <row r="6" spans="1:7" s="15" customFormat="1" ht="15" thickBot="1">
      <c r="C6" s="74" t="str" cm="1">
        <f t="array" ref="C6">_xlfn.XLOOKUP(C7,field_list[field_name],
_xlfn.XLOOKUP($C$1,field_list[#Headers],field_list[]))</f>
        <v>Reference</v>
      </c>
      <c r="D6" s="74" t="str" cm="1">
        <f t="array" ref="D6">_xlfn.XLOOKUP(D7,field_list[field_name],
_xlfn.XLOOKUP($C$1,field_list[#Headers],field_list[]))</f>
        <v>Table Name</v>
      </c>
      <c r="E6" s="74" t="str" cm="1">
        <f t="array" ref="E6">_xlfn.XLOOKUP(E7,field_list[field_name],
_xlfn.XLOOKUP($C$1,field_list[#Headers],field_list[]))</f>
        <v>Link Location</v>
      </c>
      <c r="F6" s="74" t="str" cm="1">
        <f t="array" ref="F6">_xlfn.XLOOKUP(F7,field_list[field_name],
_xlfn.XLOOKUP($C$1,field_list[#Headers],field_list[]))</f>
        <v>English</v>
      </c>
      <c r="G6" s="74" t="str" cm="1">
        <f t="array" ref="G6">_xlfn.XLOOKUP(G7,field_list[field_name],
_xlfn.XLOOKUP($C$1,field_list[#Headers],field_list[]))</f>
        <v>Japanese</v>
      </c>
    </row>
    <row r="7" spans="1:7" hidden="1" outlineLevel="1">
      <c r="A7" s="19"/>
      <c r="C7" t="s">
        <v>0</v>
      </c>
      <c r="D7" t="s">
        <v>33</v>
      </c>
      <c r="E7" t="s">
        <v>54</v>
      </c>
      <c r="F7" t="s">
        <v>31</v>
      </c>
      <c r="G7" t="s">
        <v>43</v>
      </c>
    </row>
    <row r="8" spans="1:7" ht="21.6" collapsed="1" thickTop="1">
      <c r="A8" s="21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B8" s="20"/>
      <c r="C8">
        <f>ROWS($C$8:C8)-1</f>
        <v>0</v>
      </c>
      <c r="D8" s="18" t="s">
        <v>32</v>
      </c>
      <c r="E8" t="str">
        <f>IF(table_summary[[#This Row],[table_name]]="","-",
"#"&amp;table_summary[[#This Row],[table_name]]&amp;"!a3")</f>
        <v>#master!a3</v>
      </c>
      <c r="F8" t="s">
        <v>37</v>
      </c>
      <c r="G8" t="s">
        <v>50</v>
      </c>
    </row>
    <row r="9" spans="1:7" ht="21">
      <c r="A9" s="21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B9" s="20"/>
      <c r="C9">
        <f>ROWS($C$8:C9)-1</f>
        <v>1</v>
      </c>
      <c r="D9" s="18" t="s">
        <v>34</v>
      </c>
      <c r="E9" t="str">
        <f>IF(table_summary[[#This Row],[table_name]]="","-",
"#"&amp;table_summary[[#This Row],[table_name]]&amp;"!a3")</f>
        <v>#expense!a3</v>
      </c>
      <c r="F9" t="s">
        <v>38</v>
      </c>
      <c r="G9" t="s">
        <v>51</v>
      </c>
    </row>
    <row r="10" spans="1:7" ht="21">
      <c r="A10" s="21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B10" s="20"/>
      <c r="C10">
        <f>ROWS($C$8:C10)-1</f>
        <v>2</v>
      </c>
      <c r="D10" s="18" t="s">
        <v>35</v>
      </c>
      <c r="E10" t="str">
        <f>IF(table_summary[[#This Row],[table_name]]="","-",
"#"&amp;table_summary[[#This Row],[table_name]]&amp;"!a3")</f>
        <v>#income!a3</v>
      </c>
      <c r="F10" t="s">
        <v>39</v>
      </c>
      <c r="G10" t="s">
        <v>263</v>
      </c>
    </row>
    <row r="11" spans="1:7" ht="30.6" customHeight="1">
      <c r="A11" s="21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B11" s="20"/>
      <c r="C11">
        <f>ROWS($C$8:C11)-1</f>
        <v>3</v>
      </c>
      <c r="D11" s="18" t="s">
        <v>12</v>
      </c>
      <c r="E11" t="str">
        <f>IF(table_summary[[#This Row],[table_name]]="","-",
"#"&amp;table_summary[[#This Row],[table_name]]&amp;"!a3")</f>
        <v>#bank!a3</v>
      </c>
      <c r="F11" t="s">
        <v>194</v>
      </c>
      <c r="G11" t="s">
        <v>195</v>
      </c>
    </row>
    <row r="12" spans="1:7" ht="21">
      <c r="A12" s="21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B12" s="20"/>
      <c r="C12">
        <f>ROWS($C$8:C12)-1</f>
        <v>4</v>
      </c>
      <c r="D12" s="18" t="s">
        <v>36</v>
      </c>
      <c r="E12" t="str">
        <f>IF(table_summary[[#This Row],[table_name]]="","-",
"#"&amp;table_summary[[#This Row],[table_name]]&amp;"!a3")</f>
        <v>#table!a3</v>
      </c>
      <c r="F12" t="s">
        <v>40</v>
      </c>
      <c r="G12" t="s">
        <v>52</v>
      </c>
    </row>
    <row r="13" spans="1:7" ht="21">
      <c r="A13" s="21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B13" s="20"/>
      <c r="C13">
        <f>ROWS($C$8:C13)-1</f>
        <v>5</v>
      </c>
      <c r="D13" s="18" t="s">
        <v>41</v>
      </c>
      <c r="E13" t="str">
        <f>IF(table_summary[[#This Row],[table_name]]="","-",
"#"&amp;table_summary[[#This Row],[table_name]]&amp;"!a3")</f>
        <v>#fields!a3</v>
      </c>
      <c r="F13" t="s">
        <v>42</v>
      </c>
      <c r="G13" t="s">
        <v>182</v>
      </c>
    </row>
    <row r="14" spans="1:7" ht="28.8">
      <c r="A14" s="21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B14" s="20"/>
      <c r="C14">
        <f>ROWS($C$8:C14)-1</f>
        <v>6</v>
      </c>
      <c r="D14" s="18" t="s">
        <v>83</v>
      </c>
      <c r="E14" t="str">
        <f>IF(table_summary[[#This Row],[table_name]]="","-",
"#"&amp;table_summary[[#This Row],[table_name]]&amp;"!a3")</f>
        <v>#lang!a3</v>
      </c>
      <c r="F14" t="s">
        <v>84</v>
      </c>
      <c r="G14" s="23" t="s">
        <v>85</v>
      </c>
    </row>
    <row r="15" spans="1:7" ht="28.8">
      <c r="A15" s="21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B15" s="20"/>
      <c r="C15">
        <f>ROWS($C$8:C15)-1</f>
        <v>7</v>
      </c>
      <c r="D15" s="18" t="s">
        <v>86</v>
      </c>
      <c r="E15" t="str">
        <f>IF(table_summary[[#This Row],[table_name]]="","-",
"#"&amp;table_summary[[#This Row],[table_name]]&amp;"!a3")</f>
        <v>#selectList!a3</v>
      </c>
      <c r="F15" t="s">
        <v>87</v>
      </c>
      <c r="G15" s="23" t="s">
        <v>88</v>
      </c>
    </row>
    <row r="16" spans="1:7" ht="21">
      <c r="A16" s="21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B16" s="20"/>
      <c r="C16">
        <f>ROWS($C$8:C16)-1</f>
        <v>8</v>
      </c>
      <c r="D16" s="18" t="s">
        <v>112</v>
      </c>
      <c r="E16" t="str">
        <f>IF(table_summary[[#This Row],[table_name]]="","-",
"#"&amp;table_summary[[#This Row],[table_name]]&amp;"!a3")</f>
        <v>#chartOfAcct!a3</v>
      </c>
      <c r="F16" t="s">
        <v>113</v>
      </c>
      <c r="G16" t="s">
        <v>114</v>
      </c>
    </row>
    <row r="17" spans="1:7" ht="21">
      <c r="A17" s="21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B17" s="20"/>
      <c r="C17">
        <f>ROWS($C$8:C17)-1</f>
        <v>9</v>
      </c>
      <c r="D17" s="18" t="s">
        <v>170</v>
      </c>
      <c r="E17" t="str">
        <f>IF(table_summary[[#This Row],[table_name]]="","-",
"#"&amp;table_summary[[#This Row],[table_name]]&amp;"!a3")</f>
        <v>#payment!a3</v>
      </c>
      <c r="F17" s="23" t="s">
        <v>200</v>
      </c>
      <c r="G17" t="s">
        <v>192</v>
      </c>
    </row>
    <row r="18" spans="1:7" ht="21">
      <c r="A18" s="21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B18" s="20"/>
      <c r="C18">
        <f>ROWS($C$8:C18)-1</f>
        <v>10</v>
      </c>
      <c r="D18" s="18" t="s">
        <v>171</v>
      </c>
      <c r="E18" t="str">
        <f>IF(table_summary[[#This Row],[table_name]]="","-",
"#"&amp;table_summary[[#This Row],[table_name]]&amp;"!a3")</f>
        <v>#receipt!a3</v>
      </c>
      <c r="F18" s="23" t="s">
        <v>201</v>
      </c>
      <c r="G18" t="s">
        <v>193</v>
      </c>
    </row>
    <row r="19" spans="1:7" ht="21">
      <c r="A19" s="21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B19" s="20"/>
      <c r="C19" s="33">
        <f>ROWS($C$8:C19)-1</f>
        <v>11</v>
      </c>
      <c r="D19" s="18" t="s">
        <v>196</v>
      </c>
      <c r="E19" s="33" t="str">
        <f>IF(table_summary[[#This Row],[table_name]]="","-",
"#"&amp;table_summary[[#This Row],[table_name]]&amp;"!a3")</f>
        <v>#bank_acct!a3</v>
      </c>
      <c r="F19" s="23" t="s">
        <v>304</v>
      </c>
      <c r="G19" t="s">
        <v>197</v>
      </c>
    </row>
    <row r="20" spans="1:7" ht="21">
      <c r="A20" s="21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B20" s="20"/>
      <c r="C20" s="33">
        <f>ROWS($C$8:C20)-1</f>
        <v>12</v>
      </c>
      <c r="D20" s="18" t="s">
        <v>198</v>
      </c>
      <c r="E20" s="33" t="str">
        <f>IF(table_summary[[#This Row],[table_name]]="","-",
"#"&amp;table_summary[[#This Row],[table_name]]&amp;"!a3")</f>
        <v>#vendor!a3</v>
      </c>
      <c r="F20" s="23" t="s">
        <v>300</v>
      </c>
      <c r="G20" t="s">
        <v>302</v>
      </c>
    </row>
    <row r="21" spans="1:7" ht="21">
      <c r="A21" s="21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B21" s="20"/>
      <c r="C21" s="33">
        <f>ROWS($C$8:C21)-1</f>
        <v>13</v>
      </c>
      <c r="D21" s="18" t="s">
        <v>199</v>
      </c>
      <c r="E21" s="33" t="str">
        <f>IF(table_summary[[#This Row],[table_name]]="","-",
"#"&amp;table_summary[[#This Row],[table_name]]&amp;"!a3")</f>
        <v>#customer!a3</v>
      </c>
      <c r="F21" s="23" t="s">
        <v>301</v>
      </c>
      <c r="G21" t="s">
        <v>303</v>
      </c>
    </row>
    <row r="22" spans="1:7" ht="21">
      <c r="A22" s="21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B22" s="20"/>
      <c r="C22">
        <f>ROWS($C$8:C22)-1</f>
        <v>14</v>
      </c>
      <c r="D22" s="18"/>
      <c r="E22" t="str">
        <f>IF(table_summary[[#This Row],[table_name]]="","-",
"#"&amp;table_summary[[#This Row],[table_name]]&amp;"!a3")</f>
        <v>-</v>
      </c>
    </row>
    <row r="26" spans="1:7">
      <c r="A26" s="42"/>
    </row>
    <row r="27" spans="1:7">
      <c r="A27" s="42"/>
    </row>
    <row r="28" spans="1:7">
      <c r="A28" s="42"/>
    </row>
    <row r="29" spans="1:7">
      <c r="A29" s="42"/>
    </row>
    <row r="30" spans="1:7">
      <c r="A30" s="42"/>
    </row>
    <row r="31" spans="1:7">
      <c r="A31" s="42"/>
    </row>
    <row r="32" spans="1:7">
      <c r="A32" s="42"/>
    </row>
    <row r="33" spans="1:1">
      <c r="A33" s="42"/>
    </row>
    <row r="34" spans="1:1">
      <c r="A34" s="42"/>
    </row>
  </sheetData>
  <conditionalFormatting sqref="F8:G22">
    <cfRule type="expression" dxfId="55" priority="3">
      <formula>$D8&lt;&gt;""</formula>
    </cfRule>
  </conditionalFormatting>
  <conditionalFormatting sqref="A8:A22">
    <cfRule type="expression" dxfId="54" priority="1">
      <formula>A8=0</formula>
    </cfRule>
    <cfRule type="expression" dxfId="53" priority="2">
      <formula>A8=$A$2</formula>
    </cfRule>
  </conditionalFormatting>
  <dataValidations count="2">
    <dataValidation type="list" allowBlank="1" showInputMessage="1" showErrorMessage="1" sqref="C1" xr:uid="{3AE3E2FC-619E-4FD0-B40E-54A49B9BC64D}">
      <formula1>select_lang_code</formula1>
    </dataValidation>
    <dataValidation allowBlank="1" showInputMessage="1" showErrorMessage="1" promptTitle="Tab Name / Worksheet Name" prompt="Worksheet name should not have space, use underscore to replace space" sqref="D8:D22" xr:uid="{C6C38573-109A-4118-B8C7-EAD67484D8D5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1096-BB89-4119-AFA3-C34BD3044EC8}">
  <sheetPr>
    <tabColor theme="1"/>
  </sheetPr>
  <dimension ref="A1:L22"/>
  <sheetViews>
    <sheetView showGridLines="0" workbookViewId="0">
      <selection activeCell="A19" sqref="A19"/>
    </sheetView>
  </sheetViews>
  <sheetFormatPr defaultRowHeight="14.4" outlineLevelRow="1"/>
  <cols>
    <col min="1" max="1" width="20.44140625" customWidth="1"/>
    <col min="3" max="3" width="10.5546875" customWidth="1"/>
    <col min="4" max="4" width="15.21875" bestFit="1" customWidth="1"/>
    <col min="5" max="6" width="15.21875" customWidth="1"/>
    <col min="8" max="8" width="18.77734375" bestFit="1" customWidth="1"/>
    <col min="9" max="9" width="16.5546875" bestFit="1" customWidth="1"/>
    <col min="10" max="10" width="17.33203125" bestFit="1" customWidth="1"/>
    <col min="11" max="11" width="10.5546875" customWidth="1"/>
    <col min="12" max="13" width="11.33203125" bestFit="1" customWidth="1"/>
  </cols>
  <sheetData>
    <row r="1" spans="1:12">
      <c r="A1" s="15" t="str" cm="1">
        <f t="array" aca="1" ref="A1" ca="1">MID(CELL("filename",$A$1),FIND("]",CELL("filename",$A$1))+1,31)</f>
        <v>vendor</v>
      </c>
      <c r="C1" s="46" t="str">
        <f>expense!$C$1</f>
        <v>eng</v>
      </c>
      <c r="D1" s="15" t="str" cm="1">
        <f t="array" ref="D1">_xlfn.XLOOKUP(C1,language[code],_xlfn.XLOOKUP(C1,language[#Headers],language[]))</f>
        <v>English</v>
      </c>
      <c r="E1" s="15"/>
      <c r="F1" s="15"/>
    </row>
    <row r="2" spans="1:12" ht="20.399999999999999">
      <c r="A2" s="14" t="str" cm="1">
        <f t="array" aca="1" ref="A2" ca="1">_xlfn.XLOOKUP($A$1,table_summary[table_name],
_xlfn.XLOOKUP($C$1,table_summary[#Headers],table_summary[])
)</f>
        <v>Vendor List</v>
      </c>
      <c r="H2" s="14" t="str" cm="1">
        <f t="array" aca="1" ref="H2" ca="1">_xlfn.XLOOKUP($A$1,table_summary[table_name],
_xlfn.XLOOKUP($C$1,table_summary[#Headers],table_summary[])
)</f>
        <v>Vendor List</v>
      </c>
    </row>
    <row r="4" spans="1:12">
      <c r="A4" s="42" t="str">
        <f>HYPERLINK(INDEX(table_summary[link_location],MATCH(ROWS($A$4:A4)-1,table_summary[ref],0)),
INDEX(table_summary[],
MATCH(ROWS($A$4:A4)-1,table_summary[ref],0),
MATCH($C$1,table_summary[#Headers],0))
)</f>
        <v>Master Table</v>
      </c>
    </row>
    <row r="6" spans="1:12" ht="43.8" thickBot="1">
      <c r="A6" s="15"/>
      <c r="C6" s="74" t="str" cm="1">
        <f t="array" ref="C6">_xlfn.XLOOKUP(C7,field_list[field_name],
_xlfn.XLOOKUP($C$1,field_list[#Headers],field_list[]))</f>
        <v>Reference</v>
      </c>
      <c r="D6" s="74" t="str" cm="1">
        <f t="array" ref="D6">_xlfn.XLOOKUP(D7,field_list[field_name],
_xlfn.XLOOKUP($C$1,field_list[#Headers],field_list[]))</f>
        <v>Vendor</v>
      </c>
      <c r="E6" s="74" t="str" cm="1">
        <f t="array" ref="E6">_xlfn.XLOOKUP(E7,field_list[field_name],
_xlfn.XLOOKUP($C$1,field_list[#Headers],field_list[]))</f>
        <v>Name
(Displayed)</v>
      </c>
      <c r="F6" s="74" t="str" cm="1">
        <f t="array" ref="F6">_xlfn.XLOOKUP(F7,field_list[field_name],
_xlfn.XLOOKUP($C$1,field_list[#Headers],field_list[]))</f>
        <v>Date Added
(mm/dd/yyyy)</v>
      </c>
      <c r="G6" s="74" t="str" cm="1">
        <f t="array" ref="G6">_xlfn.XLOOKUP(G7,field_list[field_name],
_xlfn.XLOOKUP($C$1,field_list[#Headers],field_list[]))</f>
        <v>Company Address</v>
      </c>
      <c r="H6" s="74" t="str" cm="1">
        <f t="array" ref="H6">_xlfn.XLOOKUP(H7,field_list[field_name],
_xlfn.XLOOKUP($C$1,field_list[#Headers],field_list[]))</f>
        <v>Contact Person</v>
      </c>
      <c r="I6" s="74" t="str" cm="1">
        <f t="array" ref="I6">_xlfn.XLOOKUP(I7,field_list[field_name],
_xlfn.XLOOKUP($C$1,field_list[#Headers],field_list[]))</f>
        <v>Phone Number</v>
      </c>
      <c r="J6" s="74" t="str" cm="1">
        <f t="array" ref="J6">_xlfn.XLOOKUP(J7,field_list[field_name],
_xlfn.XLOOKUP($C$1,field_list[#Headers],field_list[]))</f>
        <v>Email</v>
      </c>
      <c r="K6" s="74" t="str" cm="1">
        <f t="array" ref="K6">_xlfn.XLOOKUP(K7,field_list[field_name],
_xlfn.XLOOKUP($C$1,field_list[#Headers],field_list[]))</f>
        <v>English</v>
      </c>
      <c r="L6" s="74" t="str" cm="1">
        <f t="array" ref="L6">_xlfn.XLOOKUP(L7,field_list[field_name],
_xlfn.XLOOKUP($C$1,field_list[#Headers],field_list[]))</f>
        <v>Japanese</v>
      </c>
    </row>
    <row r="7" spans="1:12" hidden="1" outlineLevel="1">
      <c r="A7" s="19"/>
      <c r="C7" t="s">
        <v>0</v>
      </c>
      <c r="D7" t="s">
        <v>2</v>
      </c>
      <c r="E7" t="s">
        <v>240</v>
      </c>
      <c r="F7" t="s">
        <v>224</v>
      </c>
      <c r="G7" t="s">
        <v>209</v>
      </c>
      <c r="H7" t="s">
        <v>210</v>
      </c>
      <c r="I7" t="s">
        <v>211</v>
      </c>
      <c r="J7" t="s">
        <v>212</v>
      </c>
      <c r="K7" t="s">
        <v>31</v>
      </c>
      <c r="L7" t="s">
        <v>43</v>
      </c>
    </row>
    <row r="8" spans="1:12" ht="15" collapsed="1" thickTop="1">
      <c r="A8" s="21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ROWS($C$7:C7)</f>
        <v>1</v>
      </c>
      <c r="D8" s="2" t="s">
        <v>221</v>
      </c>
      <c r="E8" s="34" t="str" cm="1">
        <f t="array" ref="E8">vendor[[#This Row],[ref]]&amp;"_"&amp;_xlfn.XLOOKUP(vendor[[#This Row],[vendor_name]],vendor[vendor_name],
_xlfn.XLOOKUP(expense!$C$1,vendor[#Headers],vendor[])
)</f>
        <v>1_vendor 1</v>
      </c>
      <c r="F8" s="78" t="s">
        <v>206</v>
      </c>
      <c r="G8" s="3"/>
      <c r="H8" s="3"/>
      <c r="I8" s="3"/>
      <c r="J8" s="3"/>
      <c r="K8" s="3" t="s">
        <v>221</v>
      </c>
      <c r="L8" s="3" t="s">
        <v>236</v>
      </c>
    </row>
    <row r="9" spans="1:12">
      <c r="A9" s="21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ROWS($C$7:C8)</f>
        <v>2</v>
      </c>
      <c r="D9" s="2" t="s">
        <v>222</v>
      </c>
      <c r="E9" s="34" t="str" cm="1">
        <f t="array" ref="E9">vendor[[#This Row],[ref]]&amp;"_"&amp;_xlfn.XLOOKUP(vendor[[#This Row],[vendor_name]],vendor[vendor_name],
_xlfn.XLOOKUP(expense!$C$1,vendor[#Headers],vendor[])
)</f>
        <v>2_vendor 2</v>
      </c>
      <c r="F9" s="79" t="s">
        <v>205</v>
      </c>
      <c r="G9" s="3"/>
      <c r="H9" s="3"/>
      <c r="I9" s="3"/>
      <c r="J9" s="3"/>
      <c r="K9" s="3" t="s">
        <v>222</v>
      </c>
      <c r="L9" s="3" t="s">
        <v>237</v>
      </c>
    </row>
    <row r="10" spans="1:12">
      <c r="A10" s="21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ROWS($C$7:C9)</f>
        <v>3</v>
      </c>
      <c r="D10" s="2" t="s">
        <v>223</v>
      </c>
      <c r="E10" s="34" t="str" cm="1">
        <f t="array" ref="E10">vendor[[#This Row],[ref]]&amp;"_"&amp;_xlfn.XLOOKUP(vendor[[#This Row],[vendor_name]],vendor[vendor_name],
_xlfn.XLOOKUP(expense!$C$1,vendor[#Headers],vendor[])
)</f>
        <v>3_vendor 3</v>
      </c>
      <c r="F10" s="79" t="s">
        <v>239</v>
      </c>
      <c r="G10" s="3"/>
      <c r="H10" s="3"/>
      <c r="I10" s="3"/>
      <c r="J10" s="3"/>
      <c r="K10" s="3" t="s">
        <v>223</v>
      </c>
      <c r="L10" s="3" t="s">
        <v>238</v>
      </c>
    </row>
    <row r="11" spans="1:12">
      <c r="A11" s="21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>
        <f>ROWS($C$7:C10)</f>
        <v>4</v>
      </c>
      <c r="D11" s="2"/>
      <c r="E11" s="34" t="str" cm="1">
        <f t="array" ref="E11">vendor[[#This Row],[ref]]&amp;"_"&amp;_xlfn.XLOOKUP(vendor[[#This Row],[vendor_name]],vendor[vendor_name],
_xlfn.XLOOKUP(expense!$C$1,vendor[#Headers],vendor[])
)</f>
        <v>4_</v>
      </c>
      <c r="F11" s="80"/>
      <c r="G11" s="3"/>
      <c r="H11" s="3"/>
      <c r="I11" s="3"/>
      <c r="J11" s="3"/>
      <c r="K11" s="3"/>
      <c r="L11" s="3"/>
    </row>
    <row r="12" spans="1:12">
      <c r="A12" s="21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ROWS($C$7:C11)</f>
        <v>5</v>
      </c>
      <c r="D12" s="2"/>
      <c r="E12" s="34" t="str" cm="1">
        <f t="array" ref="E12">vendor[[#This Row],[ref]]&amp;"_"&amp;_xlfn.XLOOKUP(vendor[[#This Row],[vendor_name]],vendor[vendor_name],
_xlfn.XLOOKUP(expense!$C$1,vendor[#Headers],vendor[])
)</f>
        <v>5_</v>
      </c>
      <c r="F12" s="80"/>
      <c r="G12" s="3"/>
      <c r="H12" s="3"/>
      <c r="I12" s="3"/>
      <c r="J12" s="3"/>
      <c r="K12" s="3"/>
      <c r="L12" s="3"/>
    </row>
    <row r="13" spans="1:12">
      <c r="A13" s="21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>
        <f>ROWS($C$7:C12)</f>
        <v>6</v>
      </c>
      <c r="D13" s="2"/>
      <c r="E13" s="34" t="str" cm="1">
        <f t="array" ref="E13">vendor[[#This Row],[ref]]&amp;"_"&amp;_xlfn.XLOOKUP(vendor[[#This Row],[vendor_name]],vendor[vendor_name],
_xlfn.XLOOKUP(expense!$C$1,vendor[#Headers],vendor[])
)</f>
        <v>6_</v>
      </c>
      <c r="F13" s="80"/>
      <c r="G13" s="3"/>
      <c r="H13" s="3"/>
      <c r="I13" s="3"/>
      <c r="J13" s="3"/>
      <c r="K13" s="3"/>
      <c r="L13" s="3"/>
    </row>
    <row r="14" spans="1:12">
      <c r="A14" s="21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>
        <f>ROWS($C$7:C13)</f>
        <v>7</v>
      </c>
      <c r="D14" s="2"/>
      <c r="E14" s="34" t="str" cm="1">
        <f t="array" ref="E14">vendor[[#This Row],[ref]]&amp;"_"&amp;_xlfn.XLOOKUP(vendor[[#This Row],[vendor_name]],vendor[vendor_name],
_xlfn.XLOOKUP(expense!$C$1,vendor[#Headers],vendor[])
)</f>
        <v>7_</v>
      </c>
      <c r="F14" s="80"/>
      <c r="G14" s="3"/>
      <c r="H14" s="3"/>
      <c r="I14" s="3"/>
      <c r="J14" s="3"/>
      <c r="K14" s="3"/>
      <c r="L14" s="3"/>
    </row>
    <row r="15" spans="1:12">
      <c r="A15" s="21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>
        <f>ROWS($C$7:C14)</f>
        <v>8</v>
      </c>
      <c r="D15" s="2"/>
      <c r="E15" s="34" t="str" cm="1">
        <f t="array" ref="E15">vendor[[#This Row],[ref]]&amp;"_"&amp;_xlfn.XLOOKUP(vendor[[#This Row],[vendor_name]],vendor[vendor_name],
_xlfn.XLOOKUP(expense!$C$1,vendor[#Headers],vendor[])
)</f>
        <v>8_</v>
      </c>
      <c r="F15" s="80"/>
      <c r="G15" s="3"/>
      <c r="H15" s="3"/>
      <c r="I15" s="3"/>
      <c r="J15" s="3"/>
      <c r="K15" s="3"/>
      <c r="L15" s="3"/>
    </row>
    <row r="16" spans="1:12">
      <c r="A16" s="21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>
        <f>ROWS($C$7:C15)</f>
        <v>9</v>
      </c>
      <c r="D16" s="2"/>
      <c r="E16" s="34" t="str" cm="1">
        <f t="array" ref="E16">vendor[[#This Row],[ref]]&amp;"_"&amp;_xlfn.XLOOKUP(vendor[[#This Row],[vendor_name]],vendor[vendor_name],
_xlfn.XLOOKUP(expense!$C$1,vendor[#Headers],vendor[])
)</f>
        <v>9_</v>
      </c>
      <c r="F16" s="80"/>
      <c r="G16" s="3"/>
      <c r="H16" s="3"/>
      <c r="I16" s="3"/>
      <c r="J16" s="3"/>
      <c r="K16" s="3"/>
      <c r="L16" s="3"/>
    </row>
    <row r="17" spans="1:12">
      <c r="A17" s="21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>
        <f>ROWS($C$7:C16)</f>
        <v>10</v>
      </c>
      <c r="D17" s="2"/>
      <c r="E17" s="34" t="str" cm="1">
        <f t="array" ref="E17">vendor[[#This Row],[ref]]&amp;"_"&amp;_xlfn.XLOOKUP(vendor[[#This Row],[vendor_name]],vendor[vendor_name],
_xlfn.XLOOKUP(expense!$C$1,vendor[#Headers],vendor[])
)</f>
        <v>10_</v>
      </c>
      <c r="F17" s="80"/>
      <c r="G17" s="3"/>
      <c r="H17" s="3"/>
      <c r="I17" s="3"/>
      <c r="J17" s="3"/>
      <c r="K17" s="3"/>
      <c r="L17" s="3"/>
    </row>
    <row r="18" spans="1:12" ht="28.8">
      <c r="A18" s="21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>
        <f>ROWS($C$7:C17)</f>
        <v>11</v>
      </c>
      <c r="D18" s="2"/>
      <c r="E18" s="34" t="str" cm="1">
        <f t="array" ref="E18">vendor[[#This Row],[ref]]&amp;"_"&amp;_xlfn.XLOOKUP(vendor[[#This Row],[vendor_name]],vendor[vendor_name],
_xlfn.XLOOKUP(expense!$C$1,vendor[#Headers],vendor[])
)</f>
        <v>11_</v>
      </c>
      <c r="F18" s="80"/>
      <c r="G18" s="3"/>
      <c r="H18" s="3"/>
      <c r="I18" s="3"/>
      <c r="J18" s="3"/>
      <c r="K18" s="3"/>
      <c r="L18" s="3"/>
    </row>
    <row r="19" spans="1:12">
      <c r="A19" s="21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>
        <f>ROWS($C$7:C18)</f>
        <v>12</v>
      </c>
      <c r="D19" s="2"/>
      <c r="E19" s="34" t="str" cm="1">
        <f t="array" ref="E19">vendor[[#This Row],[ref]]&amp;"_"&amp;_xlfn.XLOOKUP(vendor[[#This Row],[vendor_name]],vendor[vendor_name],
_xlfn.XLOOKUP(expense!$C$1,vendor[#Headers],vendor[])
)</f>
        <v>12_</v>
      </c>
      <c r="F19" s="80"/>
      <c r="G19" s="3"/>
      <c r="H19" s="3"/>
      <c r="I19" s="3"/>
      <c r="J19" s="3"/>
      <c r="K19" s="3"/>
      <c r="L19" s="3"/>
    </row>
    <row r="20" spans="1:12">
      <c r="A20" s="21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>
        <f>ROWS($C$7:C19)</f>
        <v>13</v>
      </c>
      <c r="D20" s="2"/>
      <c r="E20" s="34" t="str" cm="1">
        <f t="array" ref="E20">vendor[[#This Row],[ref]]&amp;"_"&amp;_xlfn.XLOOKUP(vendor[[#This Row],[vendor_name]],vendor[vendor_name],
_xlfn.XLOOKUP(expense!$C$1,vendor[#Headers],vendor[])
)</f>
        <v>13_</v>
      </c>
      <c r="F20" s="80"/>
      <c r="G20" s="3"/>
      <c r="H20" s="3"/>
      <c r="I20" s="3"/>
      <c r="J20" s="3"/>
      <c r="K20" s="3"/>
      <c r="L20" s="3"/>
    </row>
    <row r="21" spans="1:12">
      <c r="A21" s="21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>
        <f>ROWS($C$7:C20)</f>
        <v>14</v>
      </c>
      <c r="D21" s="2"/>
      <c r="E21" s="34" t="str" cm="1">
        <f t="array" ref="E21">vendor[[#This Row],[ref]]&amp;"_"&amp;_xlfn.XLOOKUP(vendor[[#This Row],[vendor_name]],vendor[vendor_name],
_xlfn.XLOOKUP(expense!$C$1,vendor[#Headers],vendor[])
)</f>
        <v>14_</v>
      </c>
      <c r="F21" s="80"/>
      <c r="G21" s="3"/>
      <c r="H21" s="3"/>
      <c r="I21" s="3"/>
      <c r="J21" s="3"/>
      <c r="K21" s="3"/>
      <c r="L21" s="3"/>
    </row>
    <row r="22" spans="1:12">
      <c r="A22" s="21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</row>
  </sheetData>
  <conditionalFormatting sqref="A8:A22">
    <cfRule type="expression" dxfId="49" priority="3">
      <formula>A8=0</formula>
    </cfRule>
    <cfRule type="expression" dxfId="48" priority="4">
      <formula>A8=$A$2</formula>
    </cfRule>
  </conditionalFormatting>
  <conditionalFormatting sqref="F8:L21">
    <cfRule type="expression" dxfId="47" priority="1">
      <formula>$D8&lt;&gt;0</formula>
    </cfRule>
  </conditionalFormatting>
  <dataValidations count="1">
    <dataValidation type="textLength" operator="equal" allowBlank="1" showInputMessage="1" showErrorMessage="1" errorTitle="Date" error="Please enter in date format 'mm/dd/yyyy'" promptTitle="Date added" prompt="Type the date in format 'mm/dd/yyyy'_x000a_e.g.  '05/31/2020" sqref="F8:F21" xr:uid="{FFD28B56-6CE5-4622-90B1-D66557A9222D}">
      <formula1>10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102E-6BB0-4C99-A94B-77F056E01133}">
  <sheetPr>
    <tabColor theme="1"/>
  </sheetPr>
  <dimension ref="A1:L22"/>
  <sheetViews>
    <sheetView showGridLines="0" workbookViewId="0">
      <pane xSplit="4" ySplit="12" topLeftCell="E13" activePane="bottomRight" state="frozen"/>
      <selection pane="topRight" activeCell="E1" sqref="E1"/>
      <selection pane="bottomLeft" activeCell="A13" sqref="A13"/>
      <selection pane="bottomRight" activeCell="A20" sqref="A20"/>
    </sheetView>
  </sheetViews>
  <sheetFormatPr defaultRowHeight="14.4" outlineLevelRow="1"/>
  <cols>
    <col min="1" max="1" width="26.5546875" customWidth="1"/>
    <col min="3" max="3" width="10.5546875" customWidth="1"/>
    <col min="4" max="4" width="17.21875" bestFit="1" customWidth="1"/>
    <col min="5" max="5" width="17.21875" customWidth="1"/>
    <col min="6" max="6" width="15.6640625" bestFit="1" customWidth="1"/>
    <col min="7" max="7" width="22.21875" customWidth="1"/>
    <col min="8" max="8" width="18.44140625" customWidth="1"/>
    <col min="9" max="9" width="15.33203125" customWidth="1"/>
    <col min="10" max="11" width="15" customWidth="1"/>
  </cols>
  <sheetData>
    <row r="1" spans="1:12">
      <c r="A1" s="15" t="str" cm="1">
        <f t="array" aca="1" ref="A1" ca="1">MID(CELL("filename",$A$1),FIND("]",CELL("filename",$A$1))+1,31)</f>
        <v>customer</v>
      </c>
      <c r="C1" s="46" t="str">
        <f>income!C1</f>
        <v>eng</v>
      </c>
      <c r="D1" s="15" t="str" cm="1">
        <f t="array" ref="D1">_xlfn.XLOOKUP(C1,language[code],_xlfn.XLOOKUP(C1,language[#Headers],language[]))</f>
        <v>English</v>
      </c>
      <c r="E1" s="15"/>
    </row>
    <row r="2" spans="1:12" ht="20.399999999999999">
      <c r="A2" s="14" t="str" cm="1">
        <f t="array" aca="1" ref="A2" ca="1">_xlfn.XLOOKUP($A$1,table_summary[table_name],
_xlfn.XLOOKUP($C$1,table_summary[#Headers],table_summary[])
)</f>
        <v>Customer List</v>
      </c>
    </row>
    <row r="4" spans="1:12">
      <c r="A4" s="42" t="str">
        <f>HYPERLINK(INDEX(table_summary[link_location],MATCH(ROWS($A$4:A4)-1,table_summary[ref],0)),
INDEX(table_summary[],
MATCH(ROWS($A$4:A4)-1,table_summary[ref],0),
MATCH($C$1,table_summary[#Headers],0))
)</f>
        <v>Master Table</v>
      </c>
    </row>
    <row r="6" spans="1:12" ht="29.4" thickBot="1">
      <c r="A6" s="15"/>
      <c r="C6" s="74" t="str" cm="1">
        <f t="array" ref="C6">_xlfn.XLOOKUP(C7,field_list[field_name],
_xlfn.XLOOKUP($C$1,field_list[#Headers],field_list[]))</f>
        <v>Reference</v>
      </c>
      <c r="D6" s="74" t="str" cm="1">
        <f t="array" ref="D6">_xlfn.XLOOKUP(D7,field_list[field_name],
_xlfn.XLOOKUP($C$1,field_list[#Headers],field_list[]))</f>
        <v>Customer</v>
      </c>
      <c r="E6" s="74" t="str" cm="1">
        <f t="array" ref="E6">_xlfn.XLOOKUP(E7,field_list[field_name],
_xlfn.XLOOKUP($C$1,field_list[#Headers],field_list[]))</f>
        <v>Name
(Displayed)</v>
      </c>
      <c r="F6" s="74" t="str" cm="1">
        <f t="array" ref="F6">_xlfn.XLOOKUP(F7,field_list[field_name],
_xlfn.XLOOKUP($C$1,field_list[#Headers],field_list[]))</f>
        <v>Date Added
(mm/dd/yyyy)</v>
      </c>
      <c r="G6" s="74" t="str" cm="1">
        <f t="array" ref="G6">_xlfn.XLOOKUP(G7,field_list[field_name],
_xlfn.XLOOKUP($C$1,field_list[#Headers],field_list[]))</f>
        <v>Company Address</v>
      </c>
      <c r="H6" s="74" t="str" cm="1">
        <f t="array" ref="H6">_xlfn.XLOOKUP(H7,field_list[field_name],
_xlfn.XLOOKUP($C$1,field_list[#Headers],field_list[]))</f>
        <v>Contact Person</v>
      </c>
      <c r="I6" s="74" t="str" cm="1">
        <f t="array" ref="I6">_xlfn.XLOOKUP(I7,field_list[field_name],
_xlfn.XLOOKUP($C$1,field_list[#Headers],field_list[]))</f>
        <v>Phone Number</v>
      </c>
      <c r="J6" s="74" t="str" cm="1">
        <f t="array" ref="J6">_xlfn.XLOOKUP(J7,field_list[field_name],
_xlfn.XLOOKUP($C$1,field_list[#Headers],field_list[]))</f>
        <v>Email</v>
      </c>
      <c r="K6" s="74" t="str" cm="1">
        <f t="array" ref="K6">_xlfn.XLOOKUP(K7,field_list[field_name],
_xlfn.XLOOKUP($C$1,field_list[#Headers],field_list[]))</f>
        <v>English</v>
      </c>
      <c r="L6" s="74" t="str" cm="1">
        <f t="array" ref="L6">_xlfn.XLOOKUP(L7,field_list[field_name],
_xlfn.XLOOKUP($C$1,field_list[#Headers],field_list[]))</f>
        <v>Japanese</v>
      </c>
    </row>
    <row r="7" spans="1:12" hidden="1" outlineLevel="1">
      <c r="A7" s="19"/>
      <c r="C7" t="s">
        <v>0</v>
      </c>
      <c r="D7" t="s">
        <v>10</v>
      </c>
      <c r="E7" t="s">
        <v>240</v>
      </c>
      <c r="F7" t="s">
        <v>224</v>
      </c>
      <c r="G7" t="s">
        <v>209</v>
      </c>
      <c r="H7" t="s">
        <v>210</v>
      </c>
      <c r="I7" t="s">
        <v>211</v>
      </c>
      <c r="J7" t="s">
        <v>212</v>
      </c>
      <c r="K7" t="s">
        <v>31</v>
      </c>
      <c r="L7" t="s">
        <v>43</v>
      </c>
    </row>
    <row r="8" spans="1:12" ht="15" collapsed="1" thickTop="1">
      <c r="A8" s="21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ROWS($C$8:C8)</f>
        <v>1</v>
      </c>
      <c r="D8" s="2" t="s">
        <v>227</v>
      </c>
      <c r="E8" s="34" t="str" cm="1">
        <f t="array" ref="E8">customer[[#This Row],[ref]]&amp;"_"&amp;_xlfn.XLOOKUP(customer[[#This Row],[customer_name]],customer[customer_name],
_xlfn.XLOOKUP(income!$C$1,customer[#Headers],customer[])
)</f>
        <v>1_Customer 1</v>
      </c>
      <c r="F8" s="3" t="s">
        <v>233</v>
      </c>
      <c r="G8" s="3"/>
      <c r="H8" s="3"/>
      <c r="I8" s="3"/>
      <c r="J8" s="3"/>
      <c r="K8" s="3" t="s">
        <v>243</v>
      </c>
      <c r="L8" s="3" t="s">
        <v>230</v>
      </c>
    </row>
    <row r="9" spans="1:12">
      <c r="A9" s="21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ROWS($C$8:C9)</f>
        <v>2</v>
      </c>
      <c r="D9" s="2" t="s">
        <v>228</v>
      </c>
      <c r="E9" s="34" t="str" cm="1">
        <f t="array" ref="E9">customer[[#This Row],[ref]]&amp;"_"&amp;_xlfn.XLOOKUP(customer[[#This Row],[customer_name]],customer[customer_name],
_xlfn.XLOOKUP(income!$C$1,customer[#Headers],customer[])
)</f>
        <v>2_Customer 2</v>
      </c>
      <c r="F9" s="3" t="s">
        <v>234</v>
      </c>
      <c r="G9" s="3"/>
      <c r="H9" s="3"/>
      <c r="I9" s="3"/>
      <c r="J9" s="3"/>
      <c r="K9" s="3" t="s">
        <v>244</v>
      </c>
      <c r="L9" s="3" t="s">
        <v>231</v>
      </c>
    </row>
    <row r="10" spans="1:12">
      <c r="A10" s="21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ROWS($C$8:C10)</f>
        <v>3</v>
      </c>
      <c r="D10" s="2" t="s">
        <v>229</v>
      </c>
      <c r="E10" s="34" t="str" cm="1">
        <f t="array" ref="E10">customer[[#This Row],[ref]]&amp;"_"&amp;_xlfn.XLOOKUP(customer[[#This Row],[customer_name]],customer[customer_name],
_xlfn.XLOOKUP(income!$C$1,customer[#Headers],customer[])
)</f>
        <v>3_Customer 3</v>
      </c>
      <c r="F10" s="3" t="s">
        <v>235</v>
      </c>
      <c r="G10" s="3"/>
      <c r="H10" s="3"/>
      <c r="I10" s="3"/>
      <c r="J10" s="3"/>
      <c r="K10" s="3" t="s">
        <v>245</v>
      </c>
      <c r="L10" s="3" t="s">
        <v>232</v>
      </c>
    </row>
    <row r="11" spans="1:12">
      <c r="A11" s="21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>
        <f>ROWS($C$8:C11)</f>
        <v>4</v>
      </c>
      <c r="D11" s="2"/>
      <c r="E11" s="34" t="str" cm="1">
        <f t="array" ref="E11">customer[[#This Row],[ref]]&amp;"_"&amp;_xlfn.XLOOKUP(customer[[#This Row],[customer_name]],customer[customer_name],
_xlfn.XLOOKUP(income!$C$1,customer[#Headers],customer[])
)</f>
        <v>4_</v>
      </c>
      <c r="F11" s="3"/>
      <c r="G11" s="3"/>
      <c r="H11" s="3"/>
      <c r="I11" s="3"/>
      <c r="J11" s="3"/>
      <c r="K11" s="3"/>
      <c r="L11" s="3"/>
    </row>
    <row r="12" spans="1:12">
      <c r="A12" s="21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ROWS($C$8:C12)</f>
        <v>5</v>
      </c>
      <c r="D12" s="2"/>
      <c r="E12" s="34" t="str" cm="1">
        <f t="array" ref="E12">customer[[#This Row],[ref]]&amp;"_"&amp;_xlfn.XLOOKUP(customer[[#This Row],[customer_name]],customer[customer_name],
_xlfn.XLOOKUP(income!$C$1,customer[#Headers],customer[])
)</f>
        <v>5_</v>
      </c>
      <c r="F12" s="3"/>
      <c r="G12" s="3"/>
      <c r="H12" s="3"/>
      <c r="I12" s="3"/>
      <c r="J12" s="3"/>
      <c r="K12" s="3"/>
      <c r="L12" s="3"/>
    </row>
    <row r="13" spans="1:12">
      <c r="A13" s="21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>
        <f>ROWS($C$8:C13)</f>
        <v>6</v>
      </c>
      <c r="D13" s="2"/>
      <c r="E13" s="34" t="str" cm="1">
        <f t="array" ref="E13">customer[[#This Row],[ref]]&amp;"_"&amp;_xlfn.XLOOKUP(customer[[#This Row],[customer_name]],customer[customer_name],
_xlfn.XLOOKUP(income!$C$1,customer[#Headers],customer[])
)</f>
        <v>6_</v>
      </c>
      <c r="F13" s="3"/>
      <c r="G13" s="3"/>
      <c r="H13" s="3"/>
      <c r="I13" s="3"/>
      <c r="J13" s="3"/>
      <c r="K13" s="3"/>
      <c r="L13" s="3"/>
    </row>
    <row r="14" spans="1:12">
      <c r="A14" s="21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>
        <f>ROWS($C$8:C14)</f>
        <v>7</v>
      </c>
      <c r="D14" s="2"/>
      <c r="E14" s="34" t="str" cm="1">
        <f t="array" ref="E14">customer[[#This Row],[ref]]&amp;"_"&amp;_xlfn.XLOOKUP(customer[[#This Row],[customer_name]],customer[customer_name],
_xlfn.XLOOKUP(income!$C$1,customer[#Headers],customer[])
)</f>
        <v>7_</v>
      </c>
      <c r="F14" s="3"/>
      <c r="G14" s="3"/>
      <c r="H14" s="3"/>
      <c r="I14" s="3"/>
      <c r="J14" s="3"/>
      <c r="K14" s="3"/>
      <c r="L14" s="3"/>
    </row>
    <row r="15" spans="1:12">
      <c r="A15" s="21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>
        <f>ROWS($C$8:C15)</f>
        <v>8</v>
      </c>
      <c r="D15" s="2"/>
      <c r="E15" s="34" t="str" cm="1">
        <f t="array" ref="E15">customer[[#This Row],[ref]]&amp;"_"&amp;_xlfn.XLOOKUP(customer[[#This Row],[customer_name]],customer[customer_name],
_xlfn.XLOOKUP(income!$C$1,customer[#Headers],customer[])
)</f>
        <v>8_</v>
      </c>
      <c r="F15" s="3"/>
      <c r="G15" s="3"/>
      <c r="H15" s="3"/>
      <c r="I15" s="3"/>
      <c r="J15" s="3"/>
      <c r="K15" s="3"/>
      <c r="L15" s="3"/>
    </row>
    <row r="16" spans="1:12">
      <c r="A16" s="21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>
        <f>ROWS($C$8:C16)</f>
        <v>9</v>
      </c>
      <c r="D16" s="2"/>
      <c r="E16" s="34" t="str" cm="1">
        <f t="array" ref="E16">customer[[#This Row],[ref]]&amp;"_"&amp;_xlfn.XLOOKUP(customer[[#This Row],[customer_name]],customer[customer_name],
_xlfn.XLOOKUP(income!$C$1,customer[#Headers],customer[])
)</f>
        <v>9_</v>
      </c>
      <c r="F16" s="3"/>
      <c r="G16" s="3"/>
      <c r="H16" s="3"/>
      <c r="I16" s="3"/>
      <c r="J16" s="3"/>
      <c r="K16" s="3"/>
      <c r="L16" s="3"/>
    </row>
    <row r="17" spans="1:12">
      <c r="A17" s="21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>
        <f>ROWS($C$8:C17)</f>
        <v>10</v>
      </c>
      <c r="D17" s="2"/>
      <c r="E17" s="34" t="str" cm="1">
        <f t="array" ref="E17">customer[[#This Row],[ref]]&amp;"_"&amp;_xlfn.XLOOKUP(customer[[#This Row],[customer_name]],customer[customer_name],
_xlfn.XLOOKUP(income!$C$1,customer[#Headers],customer[])
)</f>
        <v>10_</v>
      </c>
      <c r="F17" s="3"/>
      <c r="G17" s="3"/>
      <c r="H17" s="3"/>
      <c r="I17" s="3"/>
      <c r="J17" s="3"/>
      <c r="K17" s="3"/>
      <c r="L17" s="3"/>
    </row>
    <row r="18" spans="1:12">
      <c r="A18" s="21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>
        <f>ROWS($C$8:C18)</f>
        <v>11</v>
      </c>
      <c r="D18" s="2"/>
      <c r="E18" s="34" t="str" cm="1">
        <f t="array" ref="E18">customer[[#This Row],[ref]]&amp;"_"&amp;_xlfn.XLOOKUP(customer[[#This Row],[customer_name]],customer[customer_name],
_xlfn.XLOOKUP(income!$C$1,customer[#Headers],customer[])
)</f>
        <v>11_</v>
      </c>
      <c r="F18" s="3"/>
      <c r="G18" s="3"/>
      <c r="H18" s="3"/>
      <c r="I18" s="3"/>
      <c r="J18" s="3"/>
      <c r="K18" s="3"/>
      <c r="L18" s="3"/>
    </row>
    <row r="19" spans="1:12">
      <c r="A19" s="21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>
        <f>ROWS($C$8:C19)</f>
        <v>12</v>
      </c>
      <c r="D19" s="2"/>
      <c r="E19" s="34" t="str" cm="1">
        <f t="array" ref="E19">customer[[#This Row],[ref]]&amp;"_"&amp;_xlfn.XLOOKUP(customer[[#This Row],[customer_name]],customer[customer_name],
_xlfn.XLOOKUP(income!$C$1,customer[#Headers],customer[])
)</f>
        <v>12_</v>
      </c>
      <c r="F19" s="3"/>
      <c r="G19" s="3"/>
      <c r="H19" s="3"/>
      <c r="I19" s="3"/>
      <c r="J19" s="3"/>
      <c r="K19" s="3"/>
      <c r="L19" s="3"/>
    </row>
    <row r="20" spans="1:12">
      <c r="A20" s="21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>
        <f>ROWS($C$8:C20)</f>
        <v>13</v>
      </c>
      <c r="D20" s="2"/>
      <c r="E20" s="34" t="str" cm="1">
        <f t="array" ref="E20">customer[[#This Row],[ref]]&amp;"_"&amp;_xlfn.XLOOKUP(customer[[#This Row],[customer_name]],customer[customer_name],
_xlfn.XLOOKUP(income!$C$1,customer[#Headers],customer[])
)</f>
        <v>13_</v>
      </c>
      <c r="F20" s="3"/>
      <c r="G20" s="3"/>
      <c r="H20" s="3"/>
      <c r="I20" s="3"/>
      <c r="J20" s="3"/>
      <c r="K20" s="3"/>
      <c r="L20" s="3"/>
    </row>
    <row r="21" spans="1:12">
      <c r="A21" s="21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>
        <f>ROWS($C$8:C21)</f>
        <v>14</v>
      </c>
      <c r="D21" s="2"/>
      <c r="E21" s="34" t="str" cm="1">
        <f t="array" ref="E21">customer[[#This Row],[ref]]&amp;"_"&amp;_xlfn.XLOOKUP(customer[[#This Row],[customer_name]],customer[customer_name],
_xlfn.XLOOKUP(income!$C$1,customer[#Headers],customer[])
)</f>
        <v>14_</v>
      </c>
      <c r="F21" s="3"/>
      <c r="G21" s="3"/>
      <c r="H21" s="3"/>
      <c r="I21" s="3"/>
      <c r="J21" s="3"/>
      <c r="K21" s="3"/>
      <c r="L21" s="3"/>
    </row>
    <row r="22" spans="1:12">
      <c r="A22" s="21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C22">
        <f>ROWS($C$8:C22)</f>
        <v>15</v>
      </c>
      <c r="D22" s="2"/>
      <c r="E22" s="34" t="str" cm="1">
        <f t="array" ref="E22">customer[[#This Row],[ref]]&amp;"_"&amp;_xlfn.XLOOKUP(customer[[#This Row],[customer_name]],customer[customer_name],
_xlfn.XLOOKUP(income!$C$1,customer[#Headers],customer[])
)</f>
        <v>15_</v>
      </c>
      <c r="F22" s="3"/>
      <c r="G22" s="3"/>
      <c r="H22" s="3"/>
      <c r="I22" s="3"/>
      <c r="J22" s="3"/>
      <c r="K22" s="3"/>
      <c r="L22" s="3"/>
    </row>
  </sheetData>
  <conditionalFormatting sqref="A8:A22">
    <cfRule type="expression" dxfId="43" priority="2">
      <formula>A8=0</formula>
    </cfRule>
    <cfRule type="expression" dxfId="42" priority="3">
      <formula>A8=$A$2</formula>
    </cfRule>
  </conditionalFormatting>
  <conditionalFormatting sqref="F8:L22">
    <cfRule type="expression" dxfId="41" priority="1">
      <formula>$D8&lt;&gt;""</formula>
    </cfRule>
  </conditionalFormatting>
  <dataValidations count="1">
    <dataValidation type="textLength" operator="equal" allowBlank="1" showInputMessage="1" showErrorMessage="1" errorTitle="Date " error="Please enter in format 'mm/dd/yyyy'" promptTitle="Date" prompt="Please input your date in format 'mm/dd/yyyy'_x000a_e.g. '05/31/2020" sqref="F8:F22" xr:uid="{5BC0D405-3EBA-4938-90FF-42B6EB24C954}">
      <formula1>10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1ADC-128E-42EB-8FFD-07296548A3CA}">
  <sheetPr codeName="Sheet6">
    <tabColor theme="1"/>
  </sheetPr>
  <dimension ref="A1:F22"/>
  <sheetViews>
    <sheetView showGridLines="0" workbookViewId="0">
      <pane xSplit="4" ySplit="9" topLeftCell="E10" activePane="bottomRight" state="frozen"/>
      <selection pane="topRight" activeCell="E1" sqref="E1"/>
      <selection pane="bottomLeft" activeCell="A10" sqref="A10"/>
      <selection pane="bottomRight" activeCell="A13" sqref="A13"/>
    </sheetView>
  </sheetViews>
  <sheetFormatPr defaultRowHeight="14.4" outlineLevelRow="1"/>
  <cols>
    <col min="1" max="1" width="23.77734375" bestFit="1" customWidth="1"/>
    <col min="3" max="3" width="10.6640625" customWidth="1"/>
    <col min="4" max="4" width="21.88671875" customWidth="1"/>
    <col min="5" max="5" width="19.6640625" bestFit="1" customWidth="1"/>
    <col min="6" max="6" width="28.109375" bestFit="1" customWidth="1"/>
  </cols>
  <sheetData>
    <row r="1" spans="1:6" s="15" customFormat="1">
      <c r="A1" s="15" t="str" cm="1">
        <f t="array" aca="1" ref="A1" ca="1">MID(CELL("filename",$A$1),FIND("]",CELL("filename",$A$1))+1,31)</f>
        <v>lang</v>
      </c>
      <c r="C1" s="26" t="s">
        <v>31</v>
      </c>
      <c r="D1" s="16" t="str" cm="1">
        <f t="array" ref="D1">_xlfn.XLOOKUP(C1,language[code],_xlfn.XLOOKUP(C1,language[#Headers],language[]))</f>
        <v>English</v>
      </c>
    </row>
    <row r="2" spans="1:6" ht="40.799999999999997">
      <c r="A2" s="14" t="str" cm="1">
        <f t="array" aca="1" ref="A2" ca="1">_xlfn.XLOOKUP($A$1,table_summary[table_name],
_xlfn.XLOOKUP($C$1,table_summary[#Headers],table_summary[])
)</f>
        <v>Language Setting</v>
      </c>
      <c r="F2" s="14" t="str" cm="1">
        <f t="array" aca="1" ref="F2" ca="1">_xlfn.XLOOKUP($A$1,table_summary[table_name],
_xlfn.XLOOKUP($C$1,table_summary[#Headers],table_summary[])
)</f>
        <v>Language Setting</v>
      </c>
    </row>
    <row r="6" spans="1:6" ht="15" thickBot="1">
      <c r="A6" s="15"/>
      <c r="C6" s="74" t="str" cm="1">
        <f t="array" ref="C6">_xlfn.XLOOKUP(language[[#Headers],[ref]],field_list[field_name],
_xlfn.XLOOKUP($C$1,field_list[#Headers],field_list[]))</f>
        <v>Reference</v>
      </c>
      <c r="D6" s="74" t="str" cm="1">
        <f t="array" ref="D6">_xlfn.XLOOKUP(language[[#Headers],[code]],field_list[field_name],
_xlfn.XLOOKUP($C$1,field_list[#Headers],field_list[]))</f>
        <v>Language Code</v>
      </c>
      <c r="E6" s="74" t="str" cm="1">
        <f t="array" ref="E6">_xlfn.XLOOKUP(language[[#Headers],[eng]],field_list[field_name],
_xlfn.XLOOKUP($C$1,field_list[#Headers],field_list[]))</f>
        <v>English</v>
      </c>
      <c r="F6" s="74" t="str" cm="1">
        <f t="array" ref="F6">_xlfn.XLOOKUP(language[[#Headers],[jap]],field_list[field_name],
_xlfn.XLOOKUP($C$1,field_list[#Headers],field_list[]))</f>
        <v>Japanese</v>
      </c>
    </row>
    <row r="7" spans="1:6" hidden="1" outlineLevel="1">
      <c r="A7" s="19"/>
      <c r="C7" t="s">
        <v>0</v>
      </c>
      <c r="D7" t="s">
        <v>48</v>
      </c>
      <c r="E7" t="s">
        <v>31</v>
      </c>
      <c r="F7" t="s">
        <v>43</v>
      </c>
    </row>
    <row r="8" spans="1:6" ht="15" collapsed="1" thickTop="1">
      <c r="A8" s="21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ROWS($C$8:C8)</f>
        <v>1</v>
      </c>
      <c r="D8" s="2" t="s">
        <v>31</v>
      </c>
      <c r="E8" s="2" t="s">
        <v>44</v>
      </c>
      <c r="F8" s="60" t="s">
        <v>45</v>
      </c>
    </row>
    <row r="9" spans="1:6">
      <c r="A9" s="21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ROWS($C$8:C9)</f>
        <v>2</v>
      </c>
      <c r="D9" s="2" t="s">
        <v>43</v>
      </c>
      <c r="E9" s="2" t="s">
        <v>46</v>
      </c>
      <c r="F9" s="60" t="s">
        <v>47</v>
      </c>
    </row>
    <row r="10" spans="1:6">
      <c r="A10" s="21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ROWS($C$8:C10)</f>
        <v>3</v>
      </c>
      <c r="D10" s="2"/>
      <c r="E10" s="2"/>
      <c r="F10" s="2"/>
    </row>
    <row r="11" spans="1:6">
      <c r="A11" s="21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>
        <f>ROWS($C$8:C11)</f>
        <v>4</v>
      </c>
      <c r="D11" s="2"/>
      <c r="E11" s="2"/>
      <c r="F11" s="2"/>
    </row>
    <row r="12" spans="1:6">
      <c r="A12" s="21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ROWS($C$8:C12)</f>
        <v>5</v>
      </c>
      <c r="D12" s="2"/>
      <c r="E12" s="2"/>
      <c r="F12" s="2"/>
    </row>
    <row r="13" spans="1:6">
      <c r="A13" s="21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</row>
    <row r="14" spans="1:6">
      <c r="A14" s="21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</row>
    <row r="15" spans="1:6">
      <c r="A15" s="21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</row>
    <row r="16" spans="1:6">
      <c r="A16" s="21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</row>
    <row r="17" spans="1:1">
      <c r="A17" s="21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</row>
    <row r="18" spans="1:1">
      <c r="A18" s="21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</row>
    <row r="19" spans="1:1">
      <c r="A19" s="21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</row>
    <row r="20" spans="1:1">
      <c r="A20" s="21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</row>
    <row r="21" spans="1:1">
      <c r="A21" s="21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</row>
    <row r="22" spans="1:1">
      <c r="A22" s="21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</row>
  </sheetData>
  <conditionalFormatting sqref="A8:A22">
    <cfRule type="expression" dxfId="37" priority="1">
      <formula>A8=0</formula>
    </cfRule>
    <cfRule type="expression" dxfId="36" priority="2">
      <formula>A8=$A$2</formula>
    </cfRule>
  </conditionalFormatting>
  <dataValidations count="2">
    <dataValidation type="list" allowBlank="1" showInputMessage="1" showErrorMessage="1" sqref="C1" xr:uid="{1BD9D06E-3545-4A2D-B64B-C22D804919D5}">
      <formula1>select_lang_code</formula1>
    </dataValidation>
    <dataValidation type="textLength" operator="equal" allowBlank="1" showInputMessage="1" showErrorMessage="1" promptTitle="Language Code" prompt="Please enter a code that is 3-character long_x000a_(e.g. eng)" sqref="D8:D12" xr:uid="{387B1802-EC0E-46AF-BC45-47ABA4B2CDCA}">
      <formula1>3</formula1>
    </dataValidation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831F-FB96-4F65-B5AB-D25B80D0412B}">
  <sheetPr codeName="Sheet7">
    <tabColor theme="1"/>
  </sheetPr>
  <dimension ref="A1:I28"/>
  <sheetViews>
    <sheetView showGridLines="0" workbookViewId="0">
      <selection activeCell="A15" sqref="A15"/>
    </sheetView>
  </sheetViews>
  <sheetFormatPr defaultRowHeight="14.4" outlineLevelRow="1"/>
  <cols>
    <col min="1" max="1" width="28.5546875" customWidth="1"/>
    <col min="3" max="3" width="13.88671875" customWidth="1"/>
    <col min="4" max="4" width="19.6640625" bestFit="1" customWidth="1"/>
    <col min="5" max="5" width="14.5546875" bestFit="1" customWidth="1"/>
    <col min="6" max="6" width="13.21875" customWidth="1"/>
    <col min="7" max="7" width="32.6640625" customWidth="1"/>
    <col min="8" max="8" width="36.21875" bestFit="1" customWidth="1"/>
    <col min="9" max="9" width="27.44140625" bestFit="1" customWidth="1"/>
  </cols>
  <sheetData>
    <row r="1" spans="1:9">
      <c r="A1" s="15" t="str" cm="1">
        <f t="array" aca="1" ref="A1" ca="1">MID(CELL("filename",$A$1),FIND("]",CELL("filename",$A$1))+1,31)</f>
        <v>chartOfAcct</v>
      </c>
      <c r="C1" s="26" t="s">
        <v>31</v>
      </c>
      <c r="D1" s="15" t="str" cm="1">
        <f t="array" ref="D1">_xlfn.XLOOKUP(C1,language[code],_xlfn.XLOOKUP(C1,language[#Headers],language[]))</f>
        <v>English</v>
      </c>
    </row>
    <row r="2" spans="1:9" ht="40.799999999999997">
      <c r="A2" s="14" t="str" cm="1">
        <f t="array" aca="1" ref="A2" ca="1">_xlfn.XLOOKUP($A$1,table_summary[table_name],
_xlfn.XLOOKUP($C$1,table_summary[#Headers],table_summary[])
)</f>
        <v>Chart Of Accounts</v>
      </c>
      <c r="H2" s="14" t="str" cm="1">
        <f t="array" aca="1" ref="H2" ca="1">_xlfn.XLOOKUP($A$1,table_summary[table_name],
_xlfn.XLOOKUP($C$1,table_summary[#Headers],table_summary[])
)</f>
        <v>Chart Of Accounts</v>
      </c>
    </row>
    <row r="3" spans="1:9" outlineLevel="1">
      <c r="F3" t="str" cm="1">
        <f t="array" aca="1" ref="F3" ca="1">CELL("contents")</f>
        <v>1000|hsbc - acct 123*1</v>
      </c>
    </row>
    <row r="6" spans="1:9" ht="29.4" thickBot="1">
      <c r="A6" s="15"/>
      <c r="C6" s="74" t="str" cm="1">
        <f t="array" ref="C6">_xlfn.XLOOKUP(C7,field_list[field_name],
_xlfn.XLOOKUP($C$1,field_list[#Headers],field_list[]))</f>
        <v>Reference</v>
      </c>
      <c r="D6" s="74" t="str" cm="1">
        <f t="array" ref="D6">_xlfn.XLOOKUP(D7,field_list[field_name],
_xlfn.XLOOKUP($C$1,field_list[#Headers],field_list[]))</f>
        <v>Tax Filing Code</v>
      </c>
      <c r="E6" s="74" t="str" cm="1">
        <f t="array" ref="E6">_xlfn.XLOOKUP(E7,field_list[field_name],
_xlfn.XLOOKUP($C$1,field_list[#Headers],field_list[]))</f>
        <v>Processing Type</v>
      </c>
      <c r="F6" s="74" t="str" cm="1">
        <f t="array" ref="F6">_xlfn.XLOOKUP(F7,field_list[field_name],
_xlfn.XLOOKUP($C$1,field_list[#Headers],field_list[]))</f>
        <v>Language Code</v>
      </c>
      <c r="G6" s="74" t="str" cm="1">
        <f t="array" ref="G6">_xlfn.XLOOKUP(G7,field_list[field_name],
_xlfn.XLOOKUP($C$1,field_list[#Headers],field_list[]))</f>
        <v>Name
(Displayed)</v>
      </c>
      <c r="H6" s="74" t="str" cm="1">
        <f t="array" ref="H6">_xlfn.XLOOKUP(H7,field_list[field_name],
_xlfn.XLOOKUP($C$1,field_list[#Headers],field_list[]))</f>
        <v>English</v>
      </c>
      <c r="I6" s="74" t="str" cm="1">
        <f t="array" ref="I6">_xlfn.XLOOKUP(I7,field_list[field_name],
_xlfn.XLOOKUP($C$1,field_list[#Headers],field_list[]))</f>
        <v>Japanese</v>
      </c>
    </row>
    <row r="7" spans="1:9" hidden="1" outlineLevel="1">
      <c r="A7" s="19"/>
      <c r="C7" s="34" t="s">
        <v>0</v>
      </c>
      <c r="D7" s="34" t="s">
        <v>115</v>
      </c>
      <c r="E7" s="34" t="s">
        <v>116</v>
      </c>
      <c r="F7" s="34" t="s">
        <v>266</v>
      </c>
      <c r="G7" s="34" t="s">
        <v>240</v>
      </c>
      <c r="H7" s="34" t="s">
        <v>31</v>
      </c>
      <c r="I7" s="34" t="s">
        <v>43</v>
      </c>
    </row>
    <row r="8" spans="1:9" ht="15" collapsed="1" thickTop="1">
      <c r="A8" s="21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 s="2">
        <v>1000</v>
      </c>
      <c r="D8" s="77"/>
      <c r="E8" t="s">
        <v>123</v>
      </c>
      <c r="F8" t="str" cm="1">
        <f t="array" aca="1" ref="F8" ca="1">IF(chart_of_acct[[#This Row],[process_type]]="P",INDIRECT("expense!$c$1"),
IF(chart_of_acct[[#This Row],[process_type]]="R",INDIRECT("income!$c$1"),
"-"))</f>
        <v>-</v>
      </c>
      <c r="G8" t="str" cm="1">
        <f t="array" aca="1" ref="G8" ca="1">IFERROR(_xlfn.XLOOKUP(chart_of_acct[[#This Row],[ref]],chart_of_acct[ref],chart_of_acct[[#This Row],[ref]]&amp;"|"&amp;_xlfn.XLOOKUP(chart_of_acct[[#This Row],[source_lang]],chart_of_acct[#Headers],chart_of_acct[])
),"-")</f>
        <v>-</v>
      </c>
      <c r="H8" s="34" t="s">
        <v>121</v>
      </c>
      <c r="I8" t="s">
        <v>122</v>
      </c>
    </row>
    <row r="9" spans="1:9">
      <c r="A9" s="21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 s="2">
        <v>1060</v>
      </c>
      <c r="D9" s="77"/>
      <c r="E9" t="s">
        <v>309</v>
      </c>
      <c r="F9" t="str" cm="1">
        <f t="array" aca="1" ref="F9" ca="1">IF(chart_of_acct[[#This Row],[process_type]]="P",INDIRECT("expense!$c$1"),
IF(chart_of_acct[[#This Row],[process_type]]="R",INDIRECT("income!$c$1"),
"-"))</f>
        <v>-</v>
      </c>
      <c r="G9" t="str" cm="1">
        <f t="array" aca="1" ref="G9" ca="1">IFERROR(_xlfn.XLOOKUP(chart_of_acct[[#This Row],[ref]],chart_of_acct[ref],chart_of_acct[[#This Row],[ref]]&amp;"|"&amp;_xlfn.XLOOKUP(chart_of_acct[[#This Row],[source_lang]],chart_of_acct[#Headers],chart_of_acct[])
),"-")</f>
        <v>-</v>
      </c>
      <c r="H9" s="34" t="s">
        <v>26</v>
      </c>
      <c r="I9" t="s">
        <v>124</v>
      </c>
    </row>
    <row r="10" spans="1:9">
      <c r="A10" s="21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 s="2">
        <v>1740</v>
      </c>
      <c r="D10" s="77"/>
      <c r="E10" t="s">
        <v>125</v>
      </c>
      <c r="F10" t="str" cm="1">
        <f t="array" aca="1" ref="F10" ca="1">IF(chart_of_acct[[#This Row],[process_type]]="P",INDIRECT("expense!$c$1"),
IF(chart_of_acct[[#This Row],[process_type]]="R",INDIRECT("income!$c$1"),
"-"))</f>
        <v>eng</v>
      </c>
      <c r="G10" t="str" cm="1">
        <f t="array" aca="1" ref="G10" ca="1">IFERROR(_xlfn.XLOOKUP(chart_of_acct[[#This Row],[ref]],chart_of_acct[ref],chart_of_acct[[#This Row],[ref]]&amp;"|"&amp;_xlfn.XLOOKUP(chart_of_acct[[#This Row],[source_lang]],chart_of_acct[#Headers],chart_of_acct[])
),"-")</f>
        <v>1740|Machinery and equipment</v>
      </c>
      <c r="H10" s="34" t="s">
        <v>126</v>
      </c>
      <c r="I10" t="s">
        <v>127</v>
      </c>
    </row>
    <row r="11" spans="1:9">
      <c r="A11" s="21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 s="2">
        <v>9060</v>
      </c>
      <c r="D11" s="77"/>
      <c r="E11" t="s">
        <v>125</v>
      </c>
      <c r="F11" t="str" cm="1">
        <f t="array" aca="1" ref="F11" ca="1">IF(chart_of_acct[[#This Row],[process_type]]="P",INDIRECT("expense!$c$1"),
IF(chart_of_acct[[#This Row],[process_type]]="R",INDIRECT("income!$c$1"),
"-"))</f>
        <v>eng</v>
      </c>
      <c r="G11" t="str" cm="1">
        <f t="array" aca="1" ref="G11" ca="1">IFERROR(_xlfn.XLOOKUP(chart_of_acct[[#This Row],[ref]],chart_of_acct[ref],chart_of_acct[[#This Row],[ref]]&amp;"|"&amp;_xlfn.XLOOKUP(chart_of_acct[[#This Row],[source_lang]],chart_of_acct[#Headers],chart_of_acct[])
),"-")</f>
        <v>9060|Salaries and wages</v>
      </c>
      <c r="H11" s="34" t="s">
        <v>128</v>
      </c>
      <c r="I11" t="s">
        <v>129</v>
      </c>
    </row>
    <row r="12" spans="1:9">
      <c r="A12" s="21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 s="2">
        <v>8520</v>
      </c>
      <c r="D12" s="77"/>
      <c r="E12" t="s">
        <v>125</v>
      </c>
      <c r="F12" t="str" cm="1">
        <f t="array" aca="1" ref="F12" ca="1">IF(chart_of_acct[[#This Row],[process_type]]="P",INDIRECT("expense!$c$1"),
IF(chart_of_acct[[#This Row],[process_type]]="R",INDIRECT("income!$c$1"),
"-"))</f>
        <v>eng</v>
      </c>
      <c r="G12" t="str" cm="1">
        <f t="array" aca="1" ref="G12" ca="1">IFERROR(_xlfn.XLOOKUP(chart_of_acct[[#This Row],[ref]],chart_of_acct[ref],chart_of_acct[[#This Row],[ref]]&amp;"|"&amp;_xlfn.XLOOKUP(chart_of_acct[[#This Row],[source_lang]],chart_of_acct[#Headers],chart_of_acct[])
),"-")</f>
        <v>8520|Advertising and promotion</v>
      </c>
      <c r="H12" s="34" t="s">
        <v>130</v>
      </c>
      <c r="I12" t="s">
        <v>131</v>
      </c>
    </row>
    <row r="13" spans="1:9">
      <c r="A13" s="21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 s="2">
        <v>9200</v>
      </c>
      <c r="D13" s="77"/>
      <c r="E13" t="s">
        <v>125</v>
      </c>
      <c r="F13" t="str" cm="1">
        <f t="array" aca="1" ref="F13" ca="1">IF(chart_of_acct[[#This Row],[process_type]]="P",INDIRECT("expense!$c$1"),
IF(chart_of_acct[[#This Row],[process_type]]="R",INDIRECT("income!$c$1"),
"-"))</f>
        <v>eng</v>
      </c>
      <c r="G13" t="str" cm="1">
        <f t="array" aca="1" ref="G13" ca="1">IFERROR(_xlfn.XLOOKUP(chart_of_acct[[#This Row],[ref]],chart_of_acct[ref],chart_of_acct[[#This Row],[ref]]&amp;"|"&amp;_xlfn.XLOOKUP(chart_of_acct[[#This Row],[source_lang]],chart_of_acct[#Headers],chart_of_acct[])
),"-")</f>
        <v>9200|Travel expenses</v>
      </c>
      <c r="H13" s="34" t="s">
        <v>132</v>
      </c>
      <c r="I13" t="s">
        <v>133</v>
      </c>
    </row>
    <row r="14" spans="1:9">
      <c r="A14" s="21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 s="2">
        <v>8860</v>
      </c>
      <c r="D14" s="77"/>
      <c r="E14" t="s">
        <v>125</v>
      </c>
      <c r="F14" t="str" cm="1">
        <f t="array" aca="1" ref="F14" ca="1">IF(chart_of_acct[[#This Row],[process_type]]="P",INDIRECT("expense!$c$1"),
IF(chart_of_acct[[#This Row],[process_type]]="R",INDIRECT("income!$c$1"),
"-"))</f>
        <v>eng</v>
      </c>
      <c r="G14" t="str" cm="1">
        <f t="array" aca="1" ref="G14" ca="1">IFERROR(_xlfn.XLOOKUP(chart_of_acct[[#This Row],[ref]],chart_of_acct[ref],chart_of_acct[[#This Row],[ref]]&amp;"|"&amp;_xlfn.XLOOKUP(chart_of_acct[[#This Row],[source_lang]],chart_of_acct[#Headers],chart_of_acct[])
),"-")</f>
        <v>8860|Professional fees</v>
      </c>
      <c r="H14" s="34" t="s">
        <v>134</v>
      </c>
      <c r="I14" t="s">
        <v>135</v>
      </c>
    </row>
    <row r="15" spans="1:9">
      <c r="A15" s="21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 s="2">
        <v>8523</v>
      </c>
      <c r="D15" s="77"/>
      <c r="E15" t="s">
        <v>125</v>
      </c>
      <c r="F15" t="str" cm="1">
        <f t="array" aca="1" ref="F15" ca="1">IF(chart_of_acct[[#This Row],[process_type]]="P",INDIRECT("expense!$c$1"),
IF(chart_of_acct[[#This Row],[process_type]]="R",INDIRECT("income!$c$1"),
"-"))</f>
        <v>eng</v>
      </c>
      <c r="G15" t="str" cm="1">
        <f t="array" aca="1" ref="G15" ca="1">IFERROR(_xlfn.XLOOKUP(chart_of_acct[[#This Row],[ref]],chart_of_acct[ref],chart_of_acct[[#This Row],[ref]]&amp;"|"&amp;_xlfn.XLOOKUP(chart_of_acct[[#This Row],[source_lang]],chart_of_acct[#Headers],chart_of_acct[])
),"-")</f>
        <v>8523|Meals and entertainment</v>
      </c>
      <c r="H15" s="34" t="s">
        <v>136</v>
      </c>
      <c r="I15" t="s">
        <v>138</v>
      </c>
    </row>
    <row r="16" spans="1:9">
      <c r="A16" s="21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 s="2">
        <v>9225</v>
      </c>
      <c r="D16" s="77"/>
      <c r="E16" t="s">
        <v>125</v>
      </c>
      <c r="F16" t="str" cm="1">
        <f t="array" aca="1" ref="F16" ca="1">IF(chart_of_acct[[#This Row],[process_type]]="P",INDIRECT("expense!$c$1"),
IF(chart_of_acct[[#This Row],[process_type]]="R",INDIRECT("income!$c$1"),
"-"))</f>
        <v>eng</v>
      </c>
      <c r="G16" t="str" cm="1">
        <f t="array" aca="1" ref="G16" ca="1">IFERROR(_xlfn.XLOOKUP(chart_of_acct[[#This Row],[ref]],chart_of_acct[ref],chart_of_acct[[#This Row],[ref]]&amp;"|"&amp;_xlfn.XLOOKUP(chart_of_acct[[#This Row],[source_lang]],chart_of_acct[#Headers],chart_of_acct[])
),"-")</f>
        <v>9225|Telephone and telecommunications</v>
      </c>
      <c r="H16" s="34" t="s">
        <v>137</v>
      </c>
      <c r="I16" t="s">
        <v>139</v>
      </c>
    </row>
    <row r="17" spans="1:9">
      <c r="A17" s="21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 s="2">
        <v>8810</v>
      </c>
      <c r="D17" s="77"/>
      <c r="E17" t="s">
        <v>125</v>
      </c>
      <c r="F17" t="str" cm="1">
        <f t="array" aca="1" ref="F17" ca="1">IF(chart_of_acct[[#This Row],[process_type]]="P",INDIRECT("expense!$c$1"),
IF(chart_of_acct[[#This Row],[process_type]]="R",INDIRECT("income!$c$1"),
"-"))</f>
        <v>eng</v>
      </c>
      <c r="G17" t="str" cm="1">
        <f t="array" aca="1" ref="G17" ca="1">IFERROR(_xlfn.XLOOKUP(chart_of_acct[[#This Row],[ref]],chart_of_acct[ref],chart_of_acct[[#This Row],[ref]]&amp;"|"&amp;_xlfn.XLOOKUP(chart_of_acct[[#This Row],[source_lang]],chart_of_acct[#Headers],chart_of_acct[])
),"-")</f>
        <v>8810|Office expenses</v>
      </c>
      <c r="H17" s="34" t="s">
        <v>140</v>
      </c>
      <c r="I17" t="s">
        <v>141</v>
      </c>
    </row>
    <row r="18" spans="1:9">
      <c r="A18" s="21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 s="2">
        <v>2620</v>
      </c>
      <c r="D18" s="77"/>
      <c r="E18" t="s">
        <v>310</v>
      </c>
      <c r="F18" t="str" cm="1">
        <f t="array" aca="1" ref="F18" ca="1">IF(chart_of_acct[[#This Row],[process_type]]="P",INDIRECT("expense!$c$1"),
IF(chart_of_acct[[#This Row],[process_type]]="R",INDIRECT("income!$c$1"),
"-"))</f>
        <v>-</v>
      </c>
      <c r="G18" t="str" cm="1">
        <f t="array" aca="1" ref="G18" ca="1">IFERROR(_xlfn.XLOOKUP(chart_of_acct[[#This Row],[ref]],chart_of_acct[ref],chart_of_acct[[#This Row],[ref]]&amp;"|"&amp;_xlfn.XLOOKUP(chart_of_acct[[#This Row],[source_lang]],chart_of_acct[#Headers],chart_of_acct[])
),"-")</f>
        <v>-</v>
      </c>
      <c r="H18" s="48" t="s">
        <v>142</v>
      </c>
      <c r="I18" t="s">
        <v>143</v>
      </c>
    </row>
    <row r="19" spans="1:9">
      <c r="A19" s="21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 s="2">
        <v>8000</v>
      </c>
      <c r="D19" s="77"/>
      <c r="E19" t="s">
        <v>144</v>
      </c>
      <c r="F19" t="str" cm="1">
        <f t="array" aca="1" ref="F19" ca="1">IF(chart_of_acct[[#This Row],[process_type]]="P",INDIRECT("expense!$c$1"),
IF(chart_of_acct[[#This Row],[process_type]]="R",INDIRECT("income!$c$1"),
"-"))</f>
        <v>eng</v>
      </c>
      <c r="G19" t="str" cm="1">
        <f t="array" aca="1" ref="G19" ca="1">IFERROR(_xlfn.XLOOKUP(chart_of_acct[[#This Row],[ref]],chart_of_acct[ref],chart_of_acct[[#This Row],[ref]]&amp;"|"&amp;_xlfn.XLOOKUP(chart_of_acct[[#This Row],[source_lang]],chart_of_acct[#Headers],chart_of_acct[])
),"-")</f>
        <v>8000|Trade sales of goods and services</v>
      </c>
      <c r="H19" s="34" t="s">
        <v>145</v>
      </c>
      <c r="I19" t="s">
        <v>146</v>
      </c>
    </row>
    <row r="20" spans="1:9">
      <c r="A20" s="21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 s="2">
        <v>3260</v>
      </c>
      <c r="D20" s="77"/>
      <c r="E20" s="10" t="s">
        <v>123</v>
      </c>
      <c r="F20" s="10" t="str" cm="1">
        <f t="array" aca="1" ref="F20" ca="1">IF(chart_of_acct[[#This Row],[process_type]]="P",INDIRECT("expense!$c$1"),
IF(chart_of_acct[[#This Row],[process_type]]="R",INDIRECT("income!$c$1"),
"-"))</f>
        <v>-</v>
      </c>
      <c r="G20" s="10" t="str" cm="1">
        <f t="array" aca="1" ref="G20" ca="1">IFERROR(_xlfn.XLOOKUP(chart_of_acct[[#This Row],[ref]],chart_of_acct[ref],chart_of_acct[[#This Row],[ref]]&amp;"|"&amp;_xlfn.XLOOKUP(chart_of_acct[[#This Row],[source_lang]],chart_of_acct[#Headers],chart_of_acct[])
),"-")</f>
        <v>-</v>
      </c>
      <c r="H20" s="34" t="s">
        <v>147</v>
      </c>
      <c r="I20" t="s">
        <v>148</v>
      </c>
    </row>
    <row r="21" spans="1:9">
      <c r="A21" s="21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 s="2">
        <v>30001</v>
      </c>
      <c r="D21" s="77"/>
      <c r="E21" t="s">
        <v>123</v>
      </c>
      <c r="F21" t="str" cm="1">
        <f t="array" aca="1" ref="F21" ca="1">IF(chart_of_acct[[#This Row],[process_type]]="P",INDIRECT("expense!$c$1"),
IF(chart_of_acct[[#This Row],[process_type]]="R",INDIRECT("income!$c$1"),
"-"))</f>
        <v>-</v>
      </c>
      <c r="G21" t="str" cm="1">
        <f t="array" aca="1" ref="G21" ca="1">IFERROR(_xlfn.XLOOKUP(chart_of_acct[[#This Row],[ref]],chart_of_acct[ref],chart_of_acct[[#This Row],[ref]]&amp;"|"&amp;_xlfn.XLOOKUP(chart_of_acct[[#This Row],[source_lang]],chart_of_acct[#Headers],chart_of_acct[])
),"-")</f>
        <v>-</v>
      </c>
      <c r="H21" s="34" t="s">
        <v>149</v>
      </c>
      <c r="I21" t="s">
        <v>151</v>
      </c>
    </row>
    <row r="22" spans="1:9">
      <c r="A22" s="21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C22" s="2">
        <v>40000</v>
      </c>
      <c r="D22" s="77"/>
      <c r="E22" t="s">
        <v>311</v>
      </c>
      <c r="F22" t="str" cm="1">
        <f t="array" aca="1" ref="F22" ca="1">IF(chart_of_acct[[#This Row],[process_type]]="P",INDIRECT("expense!$c$1"),
IF(chart_of_acct[[#This Row],[process_type]]="R",INDIRECT("income!$c$1"),
"-"))</f>
        <v>-</v>
      </c>
      <c r="G22" t="str" cm="1">
        <f t="array" aca="1" ref="G22" ca="1">IFERROR(_xlfn.XLOOKUP(chart_of_acct[[#This Row],[ref]],chart_of_acct[ref],chart_of_acct[[#This Row],[ref]]&amp;"|"&amp;_xlfn.XLOOKUP(chart_of_acct[[#This Row],[source_lang]],chart_of_acct[#Headers],chart_of_acct[])
),"-")</f>
        <v>-</v>
      </c>
      <c r="H22" s="34" t="s">
        <v>150</v>
      </c>
      <c r="I22" t="s">
        <v>152</v>
      </c>
    </row>
    <row r="23" spans="1:9">
      <c r="A23" s="21"/>
      <c r="C23" s="2">
        <v>8230</v>
      </c>
      <c r="D23" s="77"/>
      <c r="E23" t="s">
        <v>144</v>
      </c>
      <c r="F23" t="str" cm="1">
        <f t="array" aca="1" ref="F23" ca="1">IF(chart_of_acct[[#This Row],[process_type]]="P",INDIRECT("expense!$c$1"),
IF(chart_of_acct[[#This Row],[process_type]]="R",INDIRECT("income!$c$1"),
"-"))</f>
        <v>eng</v>
      </c>
      <c r="G23" t="str" cm="1">
        <f t="array" aca="1" ref="G23" ca="1">IFERROR(_xlfn.XLOOKUP(chart_of_acct[[#This Row],[ref]],chart_of_acct[ref],chart_of_acct[[#This Row],[ref]]&amp;"|"&amp;_xlfn.XLOOKUP(chart_of_acct[[#This Row],[source_lang]],chart_of_acct[#Headers],chart_of_acct[])
),"-")</f>
        <v>8230|Other revenue</v>
      </c>
      <c r="H23" s="34" t="s">
        <v>177</v>
      </c>
      <c r="I23" t="s">
        <v>178</v>
      </c>
    </row>
    <row r="24" spans="1:9">
      <c r="C24" s="2">
        <v>9270</v>
      </c>
      <c r="D24" s="77"/>
      <c r="E24" t="s">
        <v>125</v>
      </c>
      <c r="F24" t="str" cm="1">
        <f t="array" aca="1" ref="F24" ca="1">IF(chart_of_acct[[#This Row],[process_type]]="P",INDIRECT("expense!$c$1"),
IF(chart_of_acct[[#This Row],[process_type]]="R",INDIRECT("income!$c$1"),
"-"))</f>
        <v>eng</v>
      </c>
      <c r="G24" t="str" cm="1">
        <f t="array" aca="1" ref="G24" ca="1">IFERROR(_xlfn.XLOOKUP(chart_of_acct[[#This Row],[ref]],chart_of_acct[ref],chart_of_acct[[#This Row],[ref]]&amp;"|"&amp;_xlfn.XLOOKUP(chart_of_acct[[#This Row],[source_lang]],chart_of_acct[#Headers],chart_of_acct[])
),"-")</f>
        <v>9270|Other expenses</v>
      </c>
      <c r="H24" s="34" t="s">
        <v>179</v>
      </c>
      <c r="I24" t="s">
        <v>180</v>
      </c>
    </row>
    <row r="25" spans="1:9">
      <c r="C25" s="2"/>
      <c r="D25" s="77"/>
      <c r="F25" t="str" cm="1">
        <f t="array" aca="1" ref="F25" ca="1">IF(chart_of_acct[[#This Row],[process_type]]="P",INDIRECT("expense!$c$1"),
IF(chart_of_acct[[#This Row],[process_type]]="R",INDIRECT("income!$c$1"),
"-"))</f>
        <v>-</v>
      </c>
      <c r="G25" t="str" cm="1">
        <f t="array" aca="1" ref="G25" ca="1">IFERROR(_xlfn.XLOOKUP(chart_of_acct[[#This Row],[ref]],chart_of_acct[ref],chart_of_acct[[#This Row],[ref]]&amp;"|"&amp;_xlfn.XLOOKUP(chart_of_acct[[#This Row],[source_lang]],chart_of_acct[#Headers],chart_of_acct[])
),"-")</f>
        <v>-</v>
      </c>
      <c r="H25" s="34"/>
    </row>
    <row r="26" spans="1:9">
      <c r="C26" s="2"/>
      <c r="D26" s="77"/>
      <c r="F26" t="str" cm="1">
        <f t="array" aca="1" ref="F26" ca="1">IF(chart_of_acct[[#This Row],[process_type]]="P",INDIRECT("expense!$c$1"),
IF(chart_of_acct[[#This Row],[process_type]]="R",INDIRECT("income!$c$1"),
"-"))</f>
        <v>-</v>
      </c>
      <c r="G26" t="str" cm="1">
        <f t="array" aca="1" ref="G26" ca="1">IFERROR(_xlfn.XLOOKUP(chart_of_acct[[#This Row],[ref]],chart_of_acct[ref],chart_of_acct[[#This Row],[ref]]&amp;"|"&amp;_xlfn.XLOOKUP(chart_of_acct[[#This Row],[source_lang]],chart_of_acct[#Headers],chart_of_acct[])
),"-")</f>
        <v>-</v>
      </c>
      <c r="H26" s="34"/>
    </row>
    <row r="27" spans="1:9">
      <c r="C27" s="2"/>
      <c r="D27" s="77"/>
      <c r="F27" t="str" cm="1">
        <f t="array" aca="1" ref="F27" ca="1">IF(chart_of_acct[[#This Row],[process_type]]="P",INDIRECT("expense!$c$1"),
IF(chart_of_acct[[#This Row],[process_type]]="R",INDIRECT("income!$c$1"),
"-"))</f>
        <v>-</v>
      </c>
      <c r="G27" t="str" cm="1">
        <f t="array" aca="1" ref="G27" ca="1">IFERROR(_xlfn.XLOOKUP(chart_of_acct[[#This Row],[ref]],chart_of_acct[ref],chart_of_acct[[#This Row],[ref]]&amp;"|"&amp;_xlfn.XLOOKUP(chart_of_acct[[#This Row],[source_lang]],chart_of_acct[#Headers],chart_of_acct[])
),"-")</f>
        <v>-</v>
      </c>
      <c r="H27" s="34"/>
    </row>
    <row r="28" spans="1:9">
      <c r="C28" s="2"/>
      <c r="D28" s="77"/>
      <c r="F28" t="str" cm="1">
        <f t="array" aca="1" ref="F28" ca="1">IF(chart_of_acct[[#This Row],[process_type]]="P",INDIRECT("expense!$c$1"),
IF(chart_of_acct[[#This Row],[process_type]]="R",INDIRECT("income!$c$1"),
"-"))</f>
        <v>-</v>
      </c>
      <c r="G28" t="str" cm="1">
        <f t="array" aca="1" ref="G28" ca="1">IFERROR(_xlfn.XLOOKUP(chart_of_acct[[#This Row],[ref]],chart_of_acct[ref],chart_of_acct[[#This Row],[ref]]&amp;"|"&amp;_xlfn.XLOOKUP(chart_of_acct[[#This Row],[source_lang]],chart_of_acct[#Headers],chart_of_acct[])
),"-")</f>
        <v>-</v>
      </c>
      <c r="H28" s="34"/>
    </row>
  </sheetData>
  <conditionalFormatting sqref="A8:A23">
    <cfRule type="expression" dxfId="31" priority="9">
      <formula>A8=0</formula>
    </cfRule>
    <cfRule type="expression" dxfId="30" priority="10">
      <formula>A8=$A$2</formula>
    </cfRule>
  </conditionalFormatting>
  <conditionalFormatting sqref="D8:E28">
    <cfRule type="expression" dxfId="29" priority="2">
      <formula>$C8&lt;&gt;""</formula>
    </cfRule>
  </conditionalFormatting>
  <conditionalFormatting sqref="H8:I28">
    <cfRule type="expression" dxfId="28" priority="1">
      <formula>$C8&lt;&gt;""</formula>
    </cfRule>
  </conditionalFormatting>
  <dataValidations disablePrompts="1" count="2">
    <dataValidation type="list" allowBlank="1" showInputMessage="1" showErrorMessage="1" sqref="C1" xr:uid="{232B47EE-6A98-4305-8C47-76B15846A767}">
      <formula1>select_lang_code</formula1>
    </dataValidation>
    <dataValidation type="textLength" allowBlank="1" showInputMessage="1" showErrorMessage="1" errorTitle="General Ledger Account Number" error="General Ledger Account Number can only be from 1000 to 40000" promptTitle="General Ledger Account Number" prompt="General Ledger Account Number can only be from 1000 to 40000" sqref="C8:C28" xr:uid="{8E59A672-1FEE-46D2-A036-0A0D86C6183A}">
      <formula1>4</formula1>
      <formula2>5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A16F-1407-4B6B-85DD-F4F1B83539DC}">
  <sheetPr codeName="Sheet8">
    <tabColor theme="1"/>
  </sheetPr>
  <dimension ref="A1:O22"/>
  <sheetViews>
    <sheetView showGridLines="0" workbookViewId="0">
      <selection activeCell="A14" sqref="A14"/>
    </sheetView>
  </sheetViews>
  <sheetFormatPr defaultRowHeight="14.4"/>
  <cols>
    <col min="1" max="1" width="21.88671875" customWidth="1"/>
    <col min="3" max="3" width="14.5546875" bestFit="1" customWidth="1"/>
    <col min="4" max="4" width="24.88671875" customWidth="1"/>
    <col min="5" max="5" width="12.44140625" bestFit="1" customWidth="1"/>
    <col min="6" max="6" width="14.5546875" bestFit="1" customWidth="1"/>
    <col min="7" max="8" width="37.77734375" bestFit="1" customWidth="1"/>
    <col min="9" max="10" width="19.88671875" bestFit="1" customWidth="1"/>
    <col min="11" max="11" width="12.33203125" bestFit="1" customWidth="1"/>
    <col min="12" max="12" width="20.5546875" bestFit="1" customWidth="1"/>
    <col min="13" max="14" width="36.88671875" bestFit="1" customWidth="1"/>
    <col min="15" max="15" width="23.33203125" bestFit="1" customWidth="1"/>
  </cols>
  <sheetData>
    <row r="1" spans="1:15" s="23" customFormat="1">
      <c r="A1" s="23" t="str" cm="1">
        <f t="array" aca="1" ref="A1" ca="1">MID(CELL("filename",$A$1),FIND("]",CELL("filename",$A$1))+1,31)</f>
        <v>selectList</v>
      </c>
      <c r="C1" s="24" t="s">
        <v>31</v>
      </c>
      <c r="D1" s="25" t="str" cm="1">
        <f t="array" ref="D1">_xlfn.XLOOKUP(C1,language[code],_xlfn.XLOOKUP(C1,language[#Headers],language[]))</f>
        <v>English</v>
      </c>
    </row>
    <row r="2" spans="1:15" ht="20.399999999999999">
      <c r="A2" s="14" t="str" cm="1">
        <f t="array" aca="1" ref="A2" ca="1">_xlfn.XLOOKUP($A$1,table_summary[table_name],
_xlfn.XLOOKUP($C$1,table_summary[#Headers],table_summary[])
)</f>
        <v>Selection List</v>
      </c>
      <c r="D2" s="14" t="str" cm="1">
        <f t="array" aca="1" ref="D2" ca="1">_xlfn.XLOOKUP($A$1,table_summary[table_name],
_xlfn.XLOOKUP($C$1,table_summary[#Headers],table_summary[])
)</f>
        <v>Selection List</v>
      </c>
    </row>
    <row r="4" spans="1:15">
      <c r="O4" s="3" t="str" cm="1">
        <f t="array" aca="1" ref="O4" ca="1">CELL("contents")</f>
        <v>1000|hsbc - acct 123*1</v>
      </c>
    </row>
    <row r="5" spans="1:15">
      <c r="O5" s="3"/>
    </row>
    <row r="6" spans="1:15">
      <c r="A6" s="15"/>
      <c r="C6" s="10" t="s">
        <v>49</v>
      </c>
      <c r="D6" s="10" t="s">
        <v>103</v>
      </c>
      <c r="E6" t="s">
        <v>246</v>
      </c>
      <c r="F6" t="s">
        <v>247</v>
      </c>
      <c r="G6" t="s">
        <v>264</v>
      </c>
      <c r="H6" t="s">
        <v>265</v>
      </c>
      <c r="I6" t="s">
        <v>282</v>
      </c>
      <c r="J6" t="s">
        <v>283</v>
      </c>
      <c r="K6" t="s">
        <v>308</v>
      </c>
      <c r="L6" t="s">
        <v>320</v>
      </c>
      <c r="M6" t="s">
        <v>321</v>
      </c>
      <c r="N6" t="s">
        <v>325</v>
      </c>
      <c r="O6" t="s">
        <v>359</v>
      </c>
    </row>
    <row r="7" spans="1:15">
      <c r="A7" s="19"/>
      <c r="C7" t="str" cm="1">
        <f t="array" ref="C7:C8">_xlfn._xlws.FILTER(language[code],language[code]&lt;&gt;"")</f>
        <v>eng</v>
      </c>
      <c r="D7" t="s">
        <v>15</v>
      </c>
      <c r="E7" t="str" cm="1">
        <f t="array" ref="E7:E9">_xlfn._xlws.FILTER(vendor[display_name],vendor[vendor_name]&lt;&gt;0,"-")</f>
        <v>1_vendor 1</v>
      </c>
      <c r="F7" t="str" cm="1">
        <f t="array" ref="F7:F9">_xlfn._xlws.FILTER(customer[display_name],customer[customer_name]&lt;&gt;0,"-")</f>
        <v>1_Customer 1</v>
      </c>
      <c r="G7" t="str" cm="1">
        <f t="array" aca="1" ref="G7:G15" ca="1">_xlfn._xlws.FILTER(chart_of_acct[display_name],chart_of_acct[process_type]="P","-")</f>
        <v>1740|Machinery and equipment</v>
      </c>
      <c r="H7" t="str" cm="1">
        <f t="array" aca="1" ref="H7:H8" ca="1">_xlfn._xlws.FILTER(chart_of_acct[display_name],chart_of_acct[process_type]="R","-")</f>
        <v>8000|Trade sales of goods and services</v>
      </c>
      <c r="I7" cm="1">
        <f t="array" ref="I7:I11">_xlfn._xlws.FILTER(vendor_invoice[inv_num],vendor_invoice[inv_num]&lt;&gt;"-")</f>
        <v>1001</v>
      </c>
      <c r="J7" cm="1">
        <f t="array" ref="J7:J12">_xlfn._xlws.FILTER(customer_invoice[inv_num],customer_invoice[inv_num]&lt;&gt;"-")</f>
        <v>1001</v>
      </c>
      <c r="K7" cm="1">
        <f t="array" ref="K7:K9">_xlfn._xlws.FILTER(chart_of_acct[ref],chart_of_acct[process_type]="A","-")</f>
        <v>1000</v>
      </c>
      <c r="L7" t="str" cm="1">
        <f t="array" ref="L7:L10">_xlfn._xlws.FILTER(bank_acct[withdrawal_bank],LEFT(bank_acct[withdrawal_bank],1)&lt;&gt;"|")</f>
        <v>1000|my own cash*1</v>
      </c>
      <c r="M7" t="str" cm="1">
        <f t="array" ref="M7:M10">_xlfn._xlws.FILTER(bank_acct[deposit_bank],LEFT(bank_acct[deposit_bank],1)&lt;&gt;"|")</f>
        <v>1000|my own cash*1</v>
      </c>
      <c r="N7" t="str" cm="1">
        <f t="array" ref="N7:N10">_xlfn._xlws.FILTER(bank_acct[interbank],LEFT(bank_acct[deposit_bank],1)&lt;&gt;"|")</f>
        <v>1000|my own cash*1</v>
      </c>
      <c r="O7" t="str" cm="1">
        <f t="array" aca="1" ref="O7:O10" ca="1">_xlfn._xlws.FILTER(selectFundTransferBank,selectFundTransferBank&lt;&gt;$O$4,selectFundTransferBank)</f>
        <v>1000|my own cash*1</v>
      </c>
    </row>
    <row r="8" spans="1:15">
      <c r="A8" s="21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 t="str">
        <v>jap</v>
      </c>
      <c r="D8" t="s">
        <v>16</v>
      </c>
      <c r="E8" t="str">
        <v>2_vendor 2</v>
      </c>
      <c r="F8" t="str">
        <v>2_Customer 2</v>
      </c>
      <c r="G8" t="str">
        <f ca="1"/>
        <v>9060|Salaries and wages</v>
      </c>
      <c r="H8" t="str">
        <f ca="1"/>
        <v>8230|Other revenue</v>
      </c>
      <c r="I8">
        <v>1002</v>
      </c>
      <c r="J8">
        <v>1002</v>
      </c>
      <c r="K8">
        <v>3260</v>
      </c>
      <c r="L8" t="str">
        <v>3260|bmo - acct 456*2</v>
      </c>
      <c r="M8" t="str">
        <v>3260|bmo - acct 456*2</v>
      </c>
      <c r="N8" t="str">
        <v>3260|bmo - acct 456*2</v>
      </c>
      <c r="O8" t="str">
        <f ca="1"/>
        <v>3260|bmo - acct 456*2</v>
      </c>
    </row>
    <row r="9" spans="1:15">
      <c r="A9" s="21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D9" t="s">
        <v>17</v>
      </c>
      <c r="E9" t="str">
        <v>3_vendor 3</v>
      </c>
      <c r="F9" t="str">
        <v>3_Customer 3</v>
      </c>
      <c r="G9" t="str">
        <f ca="1"/>
        <v>8520|Advertising and promotion</v>
      </c>
      <c r="I9">
        <v>1003</v>
      </c>
      <c r="J9">
        <v>1003</v>
      </c>
      <c r="K9">
        <v>30001</v>
      </c>
      <c r="L9" t="str">
        <v>30001|hsbc - acct 789*3</v>
      </c>
      <c r="M9" t="str">
        <v>30001|hsbc - acct 789*3</v>
      </c>
      <c r="N9" t="str">
        <v>30001|hsbc - acct 789*3</v>
      </c>
      <c r="O9" t="str">
        <f ca="1"/>
        <v>30001|hsbc - acct 789*3</v>
      </c>
    </row>
    <row r="10" spans="1:15">
      <c r="A10" s="21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G10" t="str">
        <f ca="1"/>
        <v>9200|Travel expenses</v>
      </c>
      <c r="I10">
        <v>1004</v>
      </c>
      <c r="J10">
        <v>1004</v>
      </c>
      <c r="L10" t="str">
        <v>1000|hsbc - acct 123*4</v>
      </c>
      <c r="M10" t="str">
        <v>1000|hsbc - acct 123*4</v>
      </c>
      <c r="N10" t="str">
        <v>1000|hsbc - acct 123*4</v>
      </c>
      <c r="O10" t="str">
        <f ca="1"/>
        <v>1000|hsbc - acct 123*4</v>
      </c>
    </row>
    <row r="11" spans="1:15">
      <c r="A11" s="21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G11" t="str">
        <f ca="1"/>
        <v>8860|Professional fees</v>
      </c>
      <c r="I11">
        <v>1005</v>
      </c>
      <c r="J11">
        <v>1005</v>
      </c>
    </row>
    <row r="12" spans="1:15">
      <c r="A12" s="21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G12" t="str">
        <f ca="1"/>
        <v>8523|Meals and entertainment</v>
      </c>
      <c r="J12">
        <v>1006</v>
      </c>
    </row>
    <row r="13" spans="1:15">
      <c r="A13" s="21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G13" t="str">
        <f ca="1"/>
        <v>9225|Telephone and telecommunications</v>
      </c>
    </row>
    <row r="14" spans="1:15">
      <c r="A14" s="21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G14" t="str">
        <f ca="1"/>
        <v>8810|Office expenses</v>
      </c>
    </row>
    <row r="15" spans="1:15">
      <c r="A15" s="21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G15" t="str">
        <f ca="1"/>
        <v>9270|Other expenses</v>
      </c>
    </row>
    <row r="16" spans="1:15">
      <c r="A16" s="21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</row>
    <row r="17" spans="1:1">
      <c r="A17" s="21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</row>
    <row r="18" spans="1:1">
      <c r="A18" s="21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</row>
    <row r="19" spans="1:1">
      <c r="A19" s="21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</row>
    <row r="20" spans="1:1">
      <c r="A20" s="21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</row>
    <row r="21" spans="1:1">
      <c r="A21" s="21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</row>
    <row r="22" spans="1:1">
      <c r="A22" s="21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</row>
  </sheetData>
  <conditionalFormatting sqref="A8:A22">
    <cfRule type="expression" dxfId="22" priority="19">
      <formula>A8=0</formula>
    </cfRule>
    <cfRule type="expression" dxfId="21" priority="20">
      <formula>A8=$A$2</formula>
    </cfRule>
  </conditionalFormatting>
  <dataValidations count="1">
    <dataValidation type="list" allowBlank="1" showInputMessage="1" showErrorMessage="1" sqref="C1" xr:uid="{F97271A4-1DC7-4F57-91D2-239B94F807F4}">
      <formula1>select_lang_code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6FF9-1016-4BA5-8104-385BF755F318}">
  <sheetPr codeName="Sheet9">
    <tabColor theme="1"/>
  </sheetPr>
  <dimension ref="A1:F67"/>
  <sheetViews>
    <sheetView showGridLines="0" workbookViewId="0">
      <pane xSplit="4" ySplit="21" topLeftCell="E60" activePane="bottomRight" state="frozen"/>
      <selection pane="topRight" activeCell="E1" sqref="E1"/>
      <selection pane="bottomLeft" activeCell="A22" sqref="A22"/>
      <selection pane="bottomRight" activeCell="A12" sqref="A12"/>
    </sheetView>
  </sheetViews>
  <sheetFormatPr defaultRowHeight="14.4" outlineLevelRow="1"/>
  <cols>
    <col min="1" max="1" width="22.109375" bestFit="1" customWidth="1"/>
    <col min="3" max="3" width="12.77734375" customWidth="1"/>
    <col min="4" max="4" width="24.88671875" bestFit="1" customWidth="1"/>
    <col min="5" max="5" width="25.44140625" bestFit="1" customWidth="1"/>
    <col min="6" max="6" width="27.88671875" customWidth="1"/>
  </cols>
  <sheetData>
    <row r="1" spans="1:6" s="15" customFormat="1">
      <c r="A1" s="15" t="str" cm="1">
        <f t="array" aca="1" ref="A1" ca="1">MID(CELL("filename",$A$1),FIND("]",CELL("filename",$A$1))+1,31)</f>
        <v>fields</v>
      </c>
      <c r="C1" s="26" t="s">
        <v>31</v>
      </c>
      <c r="D1" s="15" t="str" cm="1">
        <f t="array" ref="D1">_xlfn.XLOOKUP(C1,language[code],_xlfn.XLOOKUP(C1,language[#Headers],language[]))</f>
        <v>English</v>
      </c>
    </row>
    <row r="2" spans="1:6" ht="40.799999999999997">
      <c r="A2" s="14" t="str" cm="1">
        <f t="array" aca="1" ref="A2" ca="1">_xlfn.XLOOKUP($A$1,table_summary[table_name],
_xlfn.XLOOKUP($C$1,table_summary[#Headers],table_summary[])
)</f>
        <v>Item Summary</v>
      </c>
      <c r="E2" s="14" t="str" cm="1">
        <f t="array" aca="1" ref="E2" ca="1">_xlfn.XLOOKUP($A$1,table_summary[table_name],
_xlfn.XLOOKUP($C$1,table_summary[#Headers],table_summary[])
)</f>
        <v>Item Summary</v>
      </c>
    </row>
    <row r="6" spans="1:6" s="15" customFormat="1" ht="15" thickBot="1">
      <c r="C6" s="74" t="str" cm="1">
        <f t="array" ref="C6">_xlfn.XLOOKUP(C7,field_list[field_name],
_xlfn.XLOOKUP($C$1,field_list[#Headers],field_list[]))</f>
        <v>Reference</v>
      </c>
      <c r="D6" s="74" t="str" cm="1">
        <f t="array" ref="D6">_xlfn.XLOOKUP(D7,field_list[field_name],
_xlfn.XLOOKUP($C$1,field_list[#Headers],field_list[]))</f>
        <v>Field Name</v>
      </c>
      <c r="E6" s="74" t="str" cm="1">
        <f t="array" ref="E6">_xlfn.XLOOKUP(E7,field_list[field_name],
_xlfn.XLOOKUP($C$1,field_list[#Headers],field_list[]))</f>
        <v>English</v>
      </c>
      <c r="F6" s="74" t="str" cm="1">
        <f t="array" ref="F6">_xlfn.XLOOKUP(F7,field_list[field_name],
_xlfn.XLOOKUP($C$1,field_list[#Headers],field_list[]))</f>
        <v>Japanese</v>
      </c>
    </row>
    <row r="7" spans="1:6" hidden="1" outlineLevel="1">
      <c r="A7" s="19"/>
      <c r="C7" t="s">
        <v>0</v>
      </c>
      <c r="D7" t="s">
        <v>53</v>
      </c>
      <c r="E7" t="s">
        <v>31</v>
      </c>
      <c r="F7" t="s">
        <v>43</v>
      </c>
    </row>
    <row r="8" spans="1:6" ht="15" collapsed="1" thickTop="1">
      <c r="A8" s="21" t="str" cm="1">
        <f t="array" ref="A8">HYPERLINK(_xlfn.XLOOKUP((ROWS($A$8:A8)-1),table_summary[ref],table_summary[link_location]),
_xlfn.XLOOKUP((ROWS($A$8:A8)-1),table_summary[ref],
_xlfn.XLOOKUP($C$1,table_summary[#Headers],table_summary[]))
)</f>
        <v>Master Table</v>
      </c>
      <c r="C8">
        <f>ROWS($C$8:C8)</f>
        <v>1</v>
      </c>
      <c r="D8" s="2" t="s">
        <v>0</v>
      </c>
      <c r="E8" t="s">
        <v>55</v>
      </c>
      <c r="F8" t="s">
        <v>91</v>
      </c>
    </row>
    <row r="9" spans="1:6">
      <c r="A9" s="21" t="str" cm="1">
        <f t="array" ref="A9">HYPERLINK(_xlfn.XLOOKUP((ROWS($A$8:A9)-1),table_summary[ref],table_summary[link_location]),
_xlfn.XLOOKUP((ROWS($A$8:A9)-1),table_summary[ref],
_xlfn.XLOOKUP($C$1,table_summary[#Headers],table_summary[]))
)</f>
        <v>Vendor Invoice</v>
      </c>
      <c r="C9">
        <f>ROWS($C$8:C9)</f>
        <v>2</v>
      </c>
      <c r="D9" s="2" t="s">
        <v>53</v>
      </c>
      <c r="E9" t="s">
        <v>57</v>
      </c>
      <c r="F9" t="s">
        <v>56</v>
      </c>
    </row>
    <row r="10" spans="1:6">
      <c r="A10" s="21" t="str" cm="1">
        <f t="array" ref="A10">HYPERLINK(_xlfn.XLOOKUP((ROWS($A$8:A10)-1),table_summary[ref],table_summary[link_location]),
_xlfn.XLOOKUP((ROWS($A$8:A10)-1),table_summary[ref],
_xlfn.XLOOKUP($C$1,table_summary[#Headers],table_summary[]))
)</f>
        <v>Customer Invoice</v>
      </c>
      <c r="C10">
        <f>ROWS($C$8:C10)</f>
        <v>3</v>
      </c>
      <c r="D10" s="2" t="s">
        <v>31</v>
      </c>
      <c r="E10" t="s">
        <v>44</v>
      </c>
      <c r="F10" t="s">
        <v>58</v>
      </c>
    </row>
    <row r="11" spans="1:6">
      <c r="A11" s="21" t="str" cm="1">
        <f t="array" ref="A11">HYPERLINK(_xlfn.XLOOKUP((ROWS($A$8:A11)-1),table_summary[ref],table_summary[link_location]),
_xlfn.XLOOKUP((ROWS($A$8:A11)-1),table_summary[ref],
_xlfn.XLOOKUP($C$1,table_summary[#Headers],table_summary[]))
)</f>
        <v>Fund Transfer</v>
      </c>
      <c r="C11">
        <f>ROWS($C$8:C11)</f>
        <v>4</v>
      </c>
      <c r="D11" s="2" t="s">
        <v>43</v>
      </c>
      <c r="E11" t="s">
        <v>46</v>
      </c>
      <c r="F11" t="s">
        <v>59</v>
      </c>
    </row>
    <row r="12" spans="1:6">
      <c r="A12" s="21" t="str" cm="1">
        <f t="array" ref="A12">HYPERLINK(_xlfn.XLOOKUP((ROWS($A$8:A12)-1),table_summary[ref],table_summary[link_location]),
_xlfn.XLOOKUP((ROWS($A$8:A12)-1),table_summary[ref],
_xlfn.XLOOKUP($C$1,table_summary[#Headers],table_summary[]))
)</f>
        <v>Table Summary</v>
      </c>
      <c r="C12">
        <f>ROWS($C$8:C12)</f>
        <v>5</v>
      </c>
      <c r="D12" s="2" t="s">
        <v>2</v>
      </c>
      <c r="E12" t="s">
        <v>60</v>
      </c>
      <c r="F12" s="17" t="s">
        <v>92</v>
      </c>
    </row>
    <row r="13" spans="1:6">
      <c r="A13" s="21" t="str" cm="1">
        <f t="array" ref="A13">HYPERLINK(_xlfn.XLOOKUP((ROWS($A$8:A13)-1),table_summary[ref],table_summary[link_location]),
_xlfn.XLOOKUP((ROWS($A$8:A13)-1),table_summary[ref],
_xlfn.XLOOKUP($C$1,table_summary[#Headers],table_summary[]))
)</f>
        <v>Item Summary</v>
      </c>
      <c r="C13">
        <f>ROWS($C$8:C13)</f>
        <v>6</v>
      </c>
      <c r="D13" s="2" t="s">
        <v>1</v>
      </c>
      <c r="E13" t="s">
        <v>61</v>
      </c>
      <c r="F13" t="s">
        <v>93</v>
      </c>
    </row>
    <row r="14" spans="1:6">
      <c r="A14" s="21" t="str" cm="1">
        <f t="array" ref="A14">HYPERLINK(_xlfn.XLOOKUP((ROWS($A$8:A14)-1),table_summary[ref],table_summary[link_location]),
_xlfn.XLOOKUP((ROWS($A$8:A14)-1),table_summary[ref],
_xlfn.XLOOKUP($C$1,table_summary[#Headers],table_summary[]))
)</f>
        <v>Language Setting</v>
      </c>
      <c r="C14">
        <f>ROWS($C$8:C14)</f>
        <v>7</v>
      </c>
      <c r="D14" s="2" t="s">
        <v>271</v>
      </c>
      <c r="E14" t="s">
        <v>64</v>
      </c>
      <c r="F14" t="s">
        <v>94</v>
      </c>
    </row>
    <row r="15" spans="1:6" ht="43.2">
      <c r="A15" s="21" t="str" cm="1">
        <f t="array" ref="A15">HYPERLINK(_xlfn.XLOOKUP((ROWS($A$8:A15)-1),table_summary[ref],table_summary[link_location]),
_xlfn.XLOOKUP((ROWS($A$8:A15)-1),table_summary[ref],
_xlfn.XLOOKUP($C$1,table_summary[#Headers],table_summary[]))
)</f>
        <v>Selection List</v>
      </c>
      <c r="C15">
        <f>ROWS($C$8:C15)</f>
        <v>8</v>
      </c>
      <c r="D15" s="2" t="s">
        <v>3</v>
      </c>
      <c r="E15" s="23" t="s">
        <v>181</v>
      </c>
      <c r="F15" s="23" t="s">
        <v>190</v>
      </c>
    </row>
    <row r="16" spans="1:6">
      <c r="A16" s="21" t="str" cm="1">
        <f t="array" ref="A16">HYPERLINK(_xlfn.XLOOKUP((ROWS($A$8:A16)-1),table_summary[ref],table_summary[link_location]),
_xlfn.XLOOKUP((ROWS($A$8:A16)-1),table_summary[ref],
_xlfn.XLOOKUP($C$1,table_summary[#Headers],table_summary[]))
)</f>
        <v>Chart Of Accounts</v>
      </c>
      <c r="C16">
        <f>ROWS($C$8:C16)</f>
        <v>9</v>
      </c>
      <c r="D16" s="2" t="s">
        <v>4</v>
      </c>
      <c r="E16" t="s">
        <v>65</v>
      </c>
      <c r="F16" t="s">
        <v>95</v>
      </c>
    </row>
    <row r="17" spans="1:6">
      <c r="A17" s="21" t="str" cm="1">
        <f t="array" ref="A17">HYPERLINK(_xlfn.XLOOKUP((ROWS($A$8:A17)-1),table_summary[ref],table_summary[link_location]),
_xlfn.XLOOKUP((ROWS($A$8:A17)-1),table_summary[ref],
_xlfn.XLOOKUP($C$1,table_summary[#Headers],table_summary[]))
)</f>
        <v>Payment (Cash Paid)</v>
      </c>
      <c r="C17">
        <f>ROWS($C$8:C17)</f>
        <v>10</v>
      </c>
      <c r="D17" s="2" t="s">
        <v>5</v>
      </c>
      <c r="E17" t="s">
        <v>62</v>
      </c>
      <c r="F17" t="s">
        <v>191</v>
      </c>
    </row>
    <row r="18" spans="1:6">
      <c r="A18" s="21" t="str" cm="1">
        <f t="array" ref="A18">HYPERLINK(_xlfn.XLOOKUP((ROWS($A$8:A18)-1),table_summary[ref],table_summary[link_location]),
_xlfn.XLOOKUP((ROWS($A$8:A18)-1),table_summary[ref],
_xlfn.XLOOKUP($C$1,table_summary[#Headers],table_summary[]))
)</f>
        <v>Receipt (Cash Received)</v>
      </c>
      <c r="C18">
        <f>ROWS($C$8:C18)</f>
        <v>11</v>
      </c>
      <c r="D18" s="2" t="s">
        <v>10</v>
      </c>
      <c r="E18" t="s">
        <v>63</v>
      </c>
      <c r="F18" t="s">
        <v>96</v>
      </c>
    </row>
    <row r="19" spans="1:6">
      <c r="A19" s="21" t="str" cm="1">
        <f t="array" ref="A19">HYPERLINK(_xlfn.XLOOKUP((ROWS($A$8:A19)-1),table_summary[ref],table_summary[link_location]),
_xlfn.XLOOKUP((ROWS($A$8:A19)-1),table_summary[ref],
_xlfn.XLOOKUP($C$1,table_summary[#Headers],table_summary[]))
)</f>
        <v>Bank Account List</v>
      </c>
      <c r="C19">
        <f>ROWS($C$8:C19)</f>
        <v>12</v>
      </c>
      <c r="D19" s="2" t="s">
        <v>270</v>
      </c>
      <c r="E19" t="s">
        <v>66</v>
      </c>
      <c r="F19" t="s">
        <v>97</v>
      </c>
    </row>
    <row r="20" spans="1:6">
      <c r="A20" s="21" t="str" cm="1">
        <f t="array" ref="A20">HYPERLINK(_xlfn.XLOOKUP((ROWS($A$8:A20)-1),table_summary[ref],table_summary[link_location]),
_xlfn.XLOOKUP((ROWS($A$8:A20)-1),table_summary[ref],
_xlfn.XLOOKUP($C$1,table_summary[#Headers],table_summary[]))
)</f>
        <v>Vendor List</v>
      </c>
      <c r="C20">
        <f>ROWS($C$8:C20)</f>
        <v>13</v>
      </c>
      <c r="D20" s="2" t="s">
        <v>13</v>
      </c>
      <c r="E20" t="s">
        <v>67</v>
      </c>
      <c r="F20" t="s">
        <v>98</v>
      </c>
    </row>
    <row r="21" spans="1:6">
      <c r="A21" s="21" t="str" cm="1">
        <f t="array" ref="A21">HYPERLINK(_xlfn.XLOOKUP((ROWS($A$8:A21)-1),table_summary[ref],table_summary[link_location]),
_xlfn.XLOOKUP((ROWS($A$8:A21)-1),table_summary[ref],
_xlfn.XLOOKUP($C$1,table_summary[#Headers],table_summary[]))
)</f>
        <v>Customer List</v>
      </c>
      <c r="C21">
        <f>ROWS($C$8:C21)</f>
        <v>14</v>
      </c>
      <c r="D21" s="2" t="s">
        <v>14</v>
      </c>
      <c r="E21" t="s">
        <v>69</v>
      </c>
      <c r="F21" t="s">
        <v>68</v>
      </c>
    </row>
    <row r="22" spans="1:6">
      <c r="A22" s="21" cm="1">
        <f t="array" ref="A22">HYPERLINK(_xlfn.XLOOKUP((ROWS($A$8:A22)-1),table_summary[ref],table_summary[link_location]),
_xlfn.XLOOKUP((ROWS($A$8:A22)-1),table_summary[ref],
_xlfn.XLOOKUP($C$1,table_summary[#Headers],table_summary[]))
)</f>
        <v>0</v>
      </c>
      <c r="C22">
        <f>ROWS($C$8:C22)</f>
        <v>15</v>
      </c>
      <c r="D22" s="2" t="s">
        <v>18</v>
      </c>
      <c r="E22" t="s">
        <v>70</v>
      </c>
      <c r="F22" t="s">
        <v>72</v>
      </c>
    </row>
    <row r="23" spans="1:6">
      <c r="C23">
        <f>ROWS($C$8:C23)</f>
        <v>16</v>
      </c>
      <c r="D23" s="2" t="s">
        <v>19</v>
      </c>
      <c r="E23" t="s">
        <v>74</v>
      </c>
      <c r="F23" t="s">
        <v>99</v>
      </c>
    </row>
    <row r="24" spans="1:6">
      <c r="C24">
        <f>ROWS($C$8:C24)</f>
        <v>17</v>
      </c>
      <c r="D24" s="2" t="s">
        <v>20</v>
      </c>
      <c r="E24" t="s">
        <v>71</v>
      </c>
      <c r="F24" t="s">
        <v>73</v>
      </c>
    </row>
    <row r="25" spans="1:6">
      <c r="C25">
        <f>ROWS($C$8:C25)</f>
        <v>18</v>
      </c>
      <c r="D25" s="2" t="s">
        <v>21</v>
      </c>
      <c r="E25" t="s">
        <v>75</v>
      </c>
      <c r="F25" t="s">
        <v>100</v>
      </c>
    </row>
    <row r="26" spans="1:6">
      <c r="C26">
        <f>ROWS($C$8:C26)</f>
        <v>19</v>
      </c>
      <c r="D26" s="2" t="s">
        <v>27</v>
      </c>
      <c r="E26" t="s">
        <v>76</v>
      </c>
      <c r="F26" t="s">
        <v>76</v>
      </c>
    </row>
    <row r="27" spans="1:6" ht="28.8">
      <c r="C27">
        <f>ROWS($C$8:C27)</f>
        <v>20</v>
      </c>
      <c r="D27" s="2" t="s">
        <v>22</v>
      </c>
      <c r="E27" t="s">
        <v>77</v>
      </c>
      <c r="F27" s="23" t="s">
        <v>155</v>
      </c>
    </row>
    <row r="28" spans="1:6" ht="28.8">
      <c r="C28">
        <f>ROWS($C$8:C28)</f>
        <v>21</v>
      </c>
      <c r="D28" s="2" t="s">
        <v>23</v>
      </c>
      <c r="E28" s="23" t="s">
        <v>298</v>
      </c>
      <c r="F28" t="s">
        <v>101</v>
      </c>
    </row>
    <row r="29" spans="1:6">
      <c r="C29">
        <f>ROWS($C$8:C29)</f>
        <v>22</v>
      </c>
      <c r="D29" s="2" t="s">
        <v>29</v>
      </c>
      <c r="E29" t="s">
        <v>76</v>
      </c>
      <c r="F29" t="s">
        <v>76</v>
      </c>
    </row>
    <row r="30" spans="1:6">
      <c r="C30">
        <f>ROWS($C$8:C30)</f>
        <v>23</v>
      </c>
      <c r="D30" s="2" t="s">
        <v>28</v>
      </c>
      <c r="E30" t="s">
        <v>76</v>
      </c>
      <c r="F30" t="s">
        <v>76</v>
      </c>
    </row>
    <row r="31" spans="1:6" ht="28.8">
      <c r="C31">
        <f>ROWS($C$8:C31)</f>
        <v>24</v>
      </c>
      <c r="D31" s="2" t="s">
        <v>24</v>
      </c>
      <c r="E31" t="s">
        <v>78</v>
      </c>
      <c r="F31" s="23" t="s">
        <v>154</v>
      </c>
    </row>
    <row r="32" spans="1:6" ht="28.8">
      <c r="C32">
        <f>ROWS($C$8:C32)</f>
        <v>25</v>
      </c>
      <c r="D32" s="2" t="s">
        <v>25</v>
      </c>
      <c r="E32" s="23" t="s">
        <v>299</v>
      </c>
      <c r="F32" t="s">
        <v>102</v>
      </c>
    </row>
    <row r="33" spans="3:6">
      <c r="C33">
        <f>ROWS($C$8:C33)</f>
        <v>26</v>
      </c>
      <c r="D33" s="2" t="s">
        <v>30</v>
      </c>
      <c r="E33" t="s">
        <v>76</v>
      </c>
      <c r="F33" t="s">
        <v>76</v>
      </c>
    </row>
    <row r="34" spans="3:6">
      <c r="C34">
        <f>ROWS($C$8:C34)</f>
        <v>27</v>
      </c>
      <c r="D34" s="2" t="s">
        <v>33</v>
      </c>
      <c r="E34" t="s">
        <v>79</v>
      </c>
      <c r="F34" t="s">
        <v>80</v>
      </c>
    </row>
    <row r="35" spans="3:6">
      <c r="C35">
        <f>ROWS($C$8:C35)</f>
        <v>28</v>
      </c>
      <c r="D35" s="2" t="s">
        <v>54</v>
      </c>
      <c r="E35" t="s">
        <v>81</v>
      </c>
      <c r="F35" t="s">
        <v>82</v>
      </c>
    </row>
    <row r="36" spans="3:6">
      <c r="C36">
        <f>ROWS($C$8:C36)</f>
        <v>29</v>
      </c>
      <c r="D36" s="2" t="s">
        <v>48</v>
      </c>
      <c r="E36" t="s">
        <v>89</v>
      </c>
      <c r="F36" t="s">
        <v>90</v>
      </c>
    </row>
    <row r="37" spans="3:6" ht="28.8">
      <c r="C37">
        <f>ROWS($C$8:C37)</f>
        <v>30</v>
      </c>
      <c r="D37" s="2" t="s">
        <v>115</v>
      </c>
      <c r="E37" t="s">
        <v>117</v>
      </c>
      <c r="F37" s="23" t="s">
        <v>119</v>
      </c>
    </row>
    <row r="38" spans="3:6" ht="28.8">
      <c r="C38">
        <f>ROWS($C$8:C38)</f>
        <v>31</v>
      </c>
      <c r="D38" s="2" t="s">
        <v>116</v>
      </c>
      <c r="E38" t="s">
        <v>118</v>
      </c>
      <c r="F38" s="23" t="s">
        <v>120</v>
      </c>
    </row>
    <row r="39" spans="3:6" ht="43.2">
      <c r="C39" s="33">
        <f>ROWS($C$8:C39)</f>
        <v>32</v>
      </c>
      <c r="D39" s="2" t="s">
        <v>279</v>
      </c>
      <c r="E39" s="23" t="s">
        <v>281</v>
      </c>
      <c r="F39" s="23" t="s">
        <v>280</v>
      </c>
    </row>
    <row r="40" spans="3:6" ht="28.8">
      <c r="C40" s="33">
        <f>ROWS($C$8:C40)</f>
        <v>33</v>
      </c>
      <c r="D40" s="2" t="s">
        <v>153</v>
      </c>
      <c r="E40" s="23" t="s">
        <v>156</v>
      </c>
      <c r="F40" s="23" t="s">
        <v>157</v>
      </c>
    </row>
    <row r="41" spans="3:6" ht="28.8">
      <c r="C41" s="33">
        <f>ROWS($C$8:C41)</f>
        <v>34</v>
      </c>
      <c r="D41" s="2" t="s">
        <v>202</v>
      </c>
      <c r="E41" s="23" t="s">
        <v>204</v>
      </c>
      <c r="F41" s="23" t="s">
        <v>203</v>
      </c>
    </row>
    <row r="42" spans="3:6" ht="28.8">
      <c r="C42" s="33">
        <f>ROWS($C$8:C42)</f>
        <v>35</v>
      </c>
      <c r="D42" s="2" t="s">
        <v>240</v>
      </c>
      <c r="E42" s="23" t="s">
        <v>241</v>
      </c>
      <c r="F42" s="23" t="s">
        <v>242</v>
      </c>
    </row>
    <row r="43" spans="3:6">
      <c r="C43" s="33">
        <f>ROWS($C$8:C43)</f>
        <v>36</v>
      </c>
      <c r="D43" s="2" t="s">
        <v>209</v>
      </c>
      <c r="E43" s="23" t="s">
        <v>213</v>
      </c>
      <c r="F43" s="23" t="s">
        <v>217</v>
      </c>
    </row>
    <row r="44" spans="3:6">
      <c r="C44" s="33">
        <f>ROWS($C$8:C44)</f>
        <v>37</v>
      </c>
      <c r="D44" s="2" t="s">
        <v>210</v>
      </c>
      <c r="E44" s="23" t="s">
        <v>214</v>
      </c>
      <c r="F44" s="23" t="s">
        <v>218</v>
      </c>
    </row>
    <row r="45" spans="3:6">
      <c r="C45" s="33">
        <f>ROWS($C$8:C45)</f>
        <v>38</v>
      </c>
      <c r="D45" s="2" t="s">
        <v>211</v>
      </c>
      <c r="E45" s="23" t="s">
        <v>215</v>
      </c>
      <c r="F45" s="23" t="s">
        <v>219</v>
      </c>
    </row>
    <row r="46" spans="3:6">
      <c r="C46" s="33">
        <f>ROWS($C$8:C46)</f>
        <v>39</v>
      </c>
      <c r="D46" s="2" t="s">
        <v>212</v>
      </c>
      <c r="E46" s="23" t="s">
        <v>216</v>
      </c>
      <c r="F46" s="23" t="s">
        <v>220</v>
      </c>
    </row>
    <row r="47" spans="3:6" ht="28.8">
      <c r="C47" s="33">
        <f>ROWS($C$8:C47)</f>
        <v>40</v>
      </c>
      <c r="D47" s="2" t="s">
        <v>224</v>
      </c>
      <c r="E47" s="23" t="s">
        <v>225</v>
      </c>
      <c r="F47" s="23" t="s">
        <v>226</v>
      </c>
    </row>
    <row r="48" spans="3:6">
      <c r="C48" s="33">
        <f>ROWS($C$8:C48)</f>
        <v>41</v>
      </c>
      <c r="D48" s="2" t="s">
        <v>248</v>
      </c>
      <c r="E48" s="23" t="s">
        <v>249</v>
      </c>
      <c r="F48" s="23" t="s">
        <v>250</v>
      </c>
    </row>
    <row r="49" spans="3:6" ht="28.8">
      <c r="C49" s="33">
        <f>ROWS($C$8:C49)</f>
        <v>42</v>
      </c>
      <c r="D49" s="2" t="s">
        <v>255</v>
      </c>
      <c r="E49" s="23" t="s">
        <v>256</v>
      </c>
      <c r="F49" s="23" t="s">
        <v>258</v>
      </c>
    </row>
    <row r="50" spans="3:6" ht="28.8">
      <c r="C50" s="33">
        <f>ROWS($C$8:C50)</f>
        <v>43</v>
      </c>
      <c r="D50" s="2" t="s">
        <v>254</v>
      </c>
      <c r="E50" s="23" t="s">
        <v>257</v>
      </c>
      <c r="F50" s="23" t="s">
        <v>259</v>
      </c>
    </row>
    <row r="51" spans="3:6">
      <c r="C51" s="33">
        <f>ROWS($C$8:C51)</f>
        <v>44</v>
      </c>
      <c r="D51" s="2" t="s">
        <v>266</v>
      </c>
      <c r="E51" s="23" t="s">
        <v>89</v>
      </c>
      <c r="F51" t="s">
        <v>90</v>
      </c>
    </row>
    <row r="52" spans="3:6" ht="28.8">
      <c r="C52" s="33">
        <f>ROWS($C$8:C52)</f>
        <v>45</v>
      </c>
      <c r="D52" s="2" t="s">
        <v>285</v>
      </c>
      <c r="E52" s="23" t="s">
        <v>287</v>
      </c>
      <c r="F52" s="23" t="s">
        <v>289</v>
      </c>
    </row>
    <row r="53" spans="3:6" ht="28.8">
      <c r="C53" s="33">
        <f>ROWS($C$8:C53)</f>
        <v>46</v>
      </c>
      <c r="D53" s="2" t="s">
        <v>286</v>
      </c>
      <c r="E53" s="23" t="s">
        <v>288</v>
      </c>
      <c r="F53" s="23" t="s">
        <v>290</v>
      </c>
    </row>
    <row r="54" spans="3:6" ht="43.2">
      <c r="C54" s="33">
        <f>ROWS($C$8:C54)</f>
        <v>47</v>
      </c>
      <c r="D54" s="2" t="s">
        <v>315</v>
      </c>
      <c r="E54" s="23" t="s">
        <v>344</v>
      </c>
      <c r="F54" s="23" t="s">
        <v>345</v>
      </c>
    </row>
    <row r="55" spans="3:6" ht="28.8">
      <c r="C55" s="33">
        <f>ROWS($C$8:C55)</f>
        <v>48</v>
      </c>
      <c r="D55" s="2" t="s">
        <v>305</v>
      </c>
      <c r="E55" s="23" t="s">
        <v>306</v>
      </c>
      <c r="F55" s="23" t="s">
        <v>307</v>
      </c>
    </row>
    <row r="56" spans="3:6" ht="28.8">
      <c r="C56" s="33">
        <f>ROWS($C$8:C56)</f>
        <v>49</v>
      </c>
      <c r="D56" s="2" t="s">
        <v>312</v>
      </c>
      <c r="E56" s="23" t="s">
        <v>313</v>
      </c>
      <c r="F56" s="23" t="s">
        <v>314</v>
      </c>
    </row>
    <row r="57" spans="3:6" ht="28.8">
      <c r="C57" s="33">
        <f>ROWS($C$8:C57)</f>
        <v>50</v>
      </c>
      <c r="D57" s="2" t="s">
        <v>326</v>
      </c>
      <c r="E57" s="23" t="s">
        <v>327</v>
      </c>
      <c r="F57" s="23" t="s">
        <v>328</v>
      </c>
    </row>
    <row r="58" spans="3:6" ht="28.8">
      <c r="C58" s="33">
        <f>ROWS($C$8:C58)</f>
        <v>51</v>
      </c>
      <c r="D58" s="2" t="s">
        <v>329</v>
      </c>
      <c r="E58" s="23" t="s">
        <v>331</v>
      </c>
      <c r="F58" s="23" t="s">
        <v>333</v>
      </c>
    </row>
    <row r="59" spans="3:6" ht="28.8">
      <c r="C59" s="33">
        <f>ROWS($C$8:C59)</f>
        <v>52</v>
      </c>
      <c r="D59" s="2" t="s">
        <v>330</v>
      </c>
      <c r="E59" s="23" t="s">
        <v>332</v>
      </c>
      <c r="F59" s="23" t="s">
        <v>334</v>
      </c>
    </row>
    <row r="60" spans="3:6" ht="28.8">
      <c r="C60" s="33">
        <f>ROWS($C$8:C60)</f>
        <v>53</v>
      </c>
      <c r="D60" s="2" t="s">
        <v>346</v>
      </c>
      <c r="E60" s="23" t="s">
        <v>348</v>
      </c>
      <c r="F60" s="23" t="s">
        <v>349</v>
      </c>
    </row>
    <row r="61" spans="3:6" ht="28.8">
      <c r="C61" s="33">
        <f>ROWS($C$8:C61)</f>
        <v>54</v>
      </c>
      <c r="D61" s="2" t="s">
        <v>347</v>
      </c>
      <c r="E61" s="23" t="s">
        <v>348</v>
      </c>
      <c r="F61" s="23" t="s">
        <v>349</v>
      </c>
    </row>
    <row r="62" spans="3:6">
      <c r="C62" s="33">
        <f>ROWS($C$8:C62)</f>
        <v>55</v>
      </c>
      <c r="D62" s="2" t="s">
        <v>343</v>
      </c>
      <c r="E62" s="23" t="s">
        <v>351</v>
      </c>
      <c r="F62" s="23" t="s">
        <v>352</v>
      </c>
    </row>
    <row r="63" spans="3:6">
      <c r="C63" s="33">
        <f>ROWS($C$8:C63)</f>
        <v>56</v>
      </c>
      <c r="D63" s="2" t="s">
        <v>350</v>
      </c>
      <c r="E63" s="23" t="s">
        <v>351</v>
      </c>
      <c r="F63" s="23" t="s">
        <v>352</v>
      </c>
    </row>
    <row r="64" spans="3:6" ht="28.8">
      <c r="C64" s="33">
        <f>ROWS($C$8:C64)</f>
        <v>57</v>
      </c>
      <c r="D64" s="2" t="s">
        <v>361</v>
      </c>
      <c r="E64" s="23" t="s">
        <v>362</v>
      </c>
      <c r="F64" s="23" t="s">
        <v>363</v>
      </c>
    </row>
    <row r="65" spans="3:6">
      <c r="C65" s="33">
        <f>ROWS($C$8:C65)</f>
        <v>58</v>
      </c>
      <c r="D65" s="2" t="s">
        <v>365</v>
      </c>
      <c r="E65" s="23" t="s">
        <v>366</v>
      </c>
      <c r="F65" s="23" t="s">
        <v>367</v>
      </c>
    </row>
    <row r="66" spans="3:6">
      <c r="C66" s="33">
        <f>ROWS($C$8:C66)</f>
        <v>59</v>
      </c>
      <c r="D66" s="2"/>
      <c r="E66" s="23"/>
      <c r="F66" s="23"/>
    </row>
    <row r="67" spans="3:6">
      <c r="C67">
        <f>ROWS($C$8:C67)</f>
        <v>60</v>
      </c>
      <c r="D67" s="2"/>
    </row>
  </sheetData>
  <conditionalFormatting sqref="A8:A22">
    <cfRule type="expression" dxfId="20" priority="3">
      <formula>A8=0</formula>
    </cfRule>
    <cfRule type="expression" dxfId="19" priority="4">
      <formula>A8=$A$2</formula>
    </cfRule>
  </conditionalFormatting>
  <conditionalFormatting sqref="E8:E67">
    <cfRule type="expression" dxfId="18" priority="22">
      <formula>D8&lt;&gt;""</formula>
    </cfRule>
  </conditionalFormatting>
  <conditionalFormatting sqref="F8:F67">
    <cfRule type="expression" dxfId="17" priority="1">
      <formula>D8&lt;&gt;""</formula>
    </cfRule>
  </conditionalFormatting>
  <dataValidations count="2">
    <dataValidation type="list" allowBlank="1" showInputMessage="1" showErrorMessage="1" sqref="C1" xr:uid="{C08D5566-FD05-40C5-80E9-7D6C91B68501}">
      <formula1>select_lang_code</formula1>
    </dataValidation>
    <dataValidation allowBlank="1" showInputMessage="1" showErrorMessage="1" promptTitle="Field Name" prompt="Field name should not contain space, use underscore to replace space" sqref="D8:D67" xr:uid="{935333BD-6CD2-4646-B94A-B35C75304831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D977-B6E5-48B1-9CDD-B74D9A3AF432}">
  <sheetPr codeName="Sheet10">
    <tabColor theme="1"/>
  </sheetPr>
  <dimension ref="A1:O17"/>
  <sheetViews>
    <sheetView workbookViewId="0">
      <selection activeCell="M9" sqref="M9"/>
    </sheetView>
  </sheetViews>
  <sheetFormatPr defaultRowHeight="14.4"/>
  <cols>
    <col min="1" max="1" width="11.109375" bestFit="1" customWidth="1"/>
    <col min="8" max="8" width="10.44140625" bestFit="1" customWidth="1"/>
  </cols>
  <sheetData>
    <row r="1" spans="1:15">
      <c r="A1" s="10" t="s">
        <v>34</v>
      </c>
      <c r="B1" s="38" t="s">
        <v>161</v>
      </c>
      <c r="C1" s="38" t="s">
        <v>158</v>
      </c>
      <c r="D1" s="38" t="s">
        <v>159</v>
      </c>
      <c r="E1" s="38" t="s">
        <v>160</v>
      </c>
      <c r="G1" s="10" t="s">
        <v>35</v>
      </c>
      <c r="H1" s="38" t="s">
        <v>161</v>
      </c>
      <c r="I1" s="38" t="s">
        <v>158</v>
      </c>
      <c r="J1" s="38" t="s">
        <v>159</v>
      </c>
      <c r="K1" s="38" t="s">
        <v>160</v>
      </c>
    </row>
    <row r="2" spans="1:15">
      <c r="B2" t="s">
        <v>162</v>
      </c>
      <c r="C2">
        <v>1</v>
      </c>
      <c r="D2">
        <v>88</v>
      </c>
      <c r="H2" t="s">
        <v>168</v>
      </c>
      <c r="I2">
        <v>1</v>
      </c>
      <c r="K2">
        <v>-88</v>
      </c>
    </row>
    <row r="3" spans="1:15">
      <c r="B3" t="s">
        <v>163</v>
      </c>
      <c r="C3">
        <v>2</v>
      </c>
      <c r="D3">
        <v>12</v>
      </c>
      <c r="H3" t="s">
        <v>163</v>
      </c>
      <c r="I3">
        <v>2</v>
      </c>
      <c r="K3">
        <v>-12</v>
      </c>
    </row>
    <row r="4" spans="1:15">
      <c r="B4" t="s">
        <v>164</v>
      </c>
      <c r="C4">
        <v>3</v>
      </c>
      <c r="E4">
        <v>-100</v>
      </c>
      <c r="H4" t="s">
        <v>169</v>
      </c>
      <c r="I4">
        <v>3</v>
      </c>
      <c r="J4">
        <v>100</v>
      </c>
      <c r="M4" t="s">
        <v>184</v>
      </c>
    </row>
    <row r="5" spans="1:15" ht="13.8" customHeight="1">
      <c r="B5" s="39"/>
      <c r="C5" s="40"/>
      <c r="D5" s="40"/>
      <c r="E5" s="43"/>
      <c r="H5" s="39"/>
      <c r="I5" s="40"/>
      <c r="J5" s="40"/>
      <c r="K5" s="41"/>
      <c r="M5" s="38" t="s">
        <v>183</v>
      </c>
      <c r="N5">
        <v>0</v>
      </c>
    </row>
    <row r="6" spans="1:15">
      <c r="M6" t="s">
        <v>188</v>
      </c>
      <c r="N6">
        <v>250</v>
      </c>
    </row>
    <row r="7" spans="1:15">
      <c r="A7" s="10" t="s">
        <v>170</v>
      </c>
      <c r="B7" s="38" t="s">
        <v>161</v>
      </c>
      <c r="C7" s="38" t="s">
        <v>158</v>
      </c>
      <c r="D7" s="38" t="s">
        <v>159</v>
      </c>
      <c r="E7" s="38" t="s">
        <v>160</v>
      </c>
      <c r="G7" s="10" t="s">
        <v>171</v>
      </c>
      <c r="H7" s="38" t="s">
        <v>161</v>
      </c>
      <c r="I7" s="38" t="s">
        <v>158</v>
      </c>
      <c r="J7" s="38" t="s">
        <v>159</v>
      </c>
      <c r="K7" s="38" t="s">
        <v>160</v>
      </c>
      <c r="M7" t="s">
        <v>189</v>
      </c>
      <c r="N7">
        <v>-12</v>
      </c>
      <c r="O7">
        <v>-238</v>
      </c>
    </row>
    <row r="8" spans="1:15">
      <c r="B8" t="s">
        <v>172</v>
      </c>
      <c r="C8">
        <v>1</v>
      </c>
      <c r="E8" t="s">
        <v>167</v>
      </c>
      <c r="H8" t="s">
        <v>172</v>
      </c>
      <c r="I8">
        <v>1</v>
      </c>
      <c r="J8">
        <v>50</v>
      </c>
    </row>
    <row r="9" spans="1:15">
      <c r="C9">
        <v>2</v>
      </c>
      <c r="I9">
        <v>2</v>
      </c>
    </row>
    <row r="10" spans="1:15">
      <c r="B10" t="s">
        <v>164</v>
      </c>
      <c r="C10">
        <v>3</v>
      </c>
      <c r="D10" t="s">
        <v>166</v>
      </c>
      <c r="H10" t="s">
        <v>169</v>
      </c>
      <c r="I10">
        <v>3</v>
      </c>
      <c r="K10">
        <v>-50</v>
      </c>
    </row>
    <row r="11" spans="1:15">
      <c r="B11" s="39" t="s">
        <v>165</v>
      </c>
      <c r="C11" s="40">
        <v>4</v>
      </c>
      <c r="D11" s="40" t="s">
        <v>166</v>
      </c>
      <c r="E11" s="41" t="s">
        <v>167</v>
      </c>
      <c r="H11" s="39" t="s">
        <v>165</v>
      </c>
      <c r="I11" s="40">
        <v>4</v>
      </c>
      <c r="J11" s="40" t="s">
        <v>166</v>
      </c>
      <c r="K11" s="41" t="s">
        <v>167</v>
      </c>
      <c r="M11" t="s">
        <v>185</v>
      </c>
      <c r="N11">
        <v>88</v>
      </c>
    </row>
    <row r="13" spans="1:15">
      <c r="A13" s="10" t="s">
        <v>173</v>
      </c>
      <c r="B13" s="38" t="s">
        <v>161</v>
      </c>
      <c r="C13" s="38" t="s">
        <v>158</v>
      </c>
      <c r="D13" s="38" t="s">
        <v>159</v>
      </c>
      <c r="E13" s="38" t="s">
        <v>160</v>
      </c>
      <c r="G13" s="10" t="s">
        <v>174</v>
      </c>
      <c r="H13" s="38" t="s">
        <v>161</v>
      </c>
      <c r="I13" s="38" t="s">
        <v>158</v>
      </c>
      <c r="J13" s="38" t="s">
        <v>159</v>
      </c>
      <c r="K13" s="38" t="s">
        <v>160</v>
      </c>
    </row>
    <row r="14" spans="1:15">
      <c r="B14" t="s">
        <v>175</v>
      </c>
      <c r="C14">
        <v>1</v>
      </c>
      <c r="E14" t="s">
        <v>167</v>
      </c>
      <c r="H14" t="s">
        <v>187</v>
      </c>
      <c r="I14">
        <v>1</v>
      </c>
      <c r="J14">
        <v>200</v>
      </c>
    </row>
    <row r="15" spans="1:15">
      <c r="C15">
        <v>2</v>
      </c>
      <c r="I15">
        <v>2</v>
      </c>
    </row>
    <row r="16" spans="1:15">
      <c r="B16" t="s">
        <v>176</v>
      </c>
      <c r="C16">
        <v>3</v>
      </c>
      <c r="D16" t="s">
        <v>166</v>
      </c>
      <c r="H16" t="s">
        <v>186</v>
      </c>
      <c r="I16">
        <v>3</v>
      </c>
      <c r="K16">
        <v>-200</v>
      </c>
    </row>
    <row r="17" spans="2:11">
      <c r="B17" s="39" t="s">
        <v>165</v>
      </c>
      <c r="C17" s="40">
        <v>4</v>
      </c>
      <c r="D17" s="40" t="s">
        <v>166</v>
      </c>
      <c r="E17" s="41" t="s">
        <v>167</v>
      </c>
      <c r="H17" s="39" t="s">
        <v>165</v>
      </c>
      <c r="I17" s="40">
        <v>4</v>
      </c>
      <c r="J17" s="40" t="s">
        <v>166</v>
      </c>
      <c r="K17" s="41" t="s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master</vt:lpstr>
      <vt:lpstr>expense</vt:lpstr>
      <vt:lpstr>payment</vt:lpstr>
      <vt:lpstr>income</vt:lpstr>
      <vt:lpstr>receipt</vt:lpstr>
      <vt:lpstr>bank</vt:lpstr>
      <vt:lpstr>bank_acct</vt:lpstr>
      <vt:lpstr>table</vt:lpstr>
      <vt:lpstr>vendor</vt:lpstr>
      <vt:lpstr>customer</vt:lpstr>
      <vt:lpstr>lang</vt:lpstr>
      <vt:lpstr>chartOfAcct</vt:lpstr>
      <vt:lpstr>selectList</vt:lpstr>
      <vt:lpstr>fields</vt:lpstr>
      <vt:lpstr>design</vt:lpstr>
      <vt:lpstr>selectTransType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2020-02-21T03:50:15Z</dcterms:created>
  <dcterms:modified xsi:type="dcterms:W3CDTF">2020-06-09T08:17:04Z</dcterms:modified>
</cp:coreProperties>
</file>