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mc:AlternateContent xmlns:mc="http://schemas.openxmlformats.org/markup-compatibility/2006">
    <mc:Choice Requires="x15">
      <x15ac:absPath xmlns:x15ac="http://schemas.microsoft.com/office/spreadsheetml/2010/11/ac" url="C:\Users\queen bitch\Documents\College\Sophomore Year\Spring 2018\Finance\"/>
    </mc:Choice>
  </mc:AlternateContent>
  <xr:revisionPtr revIDLastSave="0" documentId="13_ncr:1_{1C4B120B-7E41-47C5-B566-7842018D3DB1}" xr6:coauthVersionLast="40" xr6:coauthVersionMax="40" xr10:uidLastSave="{00000000-0000-0000-0000-000000000000}"/>
  <bookViews>
    <workbookView xWindow="-108" yWindow="-108" windowWidth="23256" windowHeight="12576" xr2:uid="{00000000-000D-0000-FFFF-FFFF00000000}"/>
  </bookViews>
  <sheets>
    <sheet name="Portfolio Holdings" sheetId="1" r:id="rId1"/>
    <sheet name="Transactions" sheetId="2" r:id="rId2"/>
    <sheet name="Projected Monthly CF Statement" sheetId="3" r:id="rId3"/>
    <sheet name="Maturity" sheetId="4" r:id="rId4"/>
    <sheet name="Executive Summary" sheetId="5" r:id="rId5"/>
    <sheet name="Resources" sheetId="6" r:id="rId6"/>
    <sheet name="_56F9DC9755BA473782653E2940F9" sheetId="7" state="veryHidden" r:id="rId7"/>
  </sheets>
  <definedNames>
    <definedName name="_56F9DC9755BA473782653E2940F9FormId">"STmP6hwjtkCjP1aHOvlvh7HaZzd2ezhFnehgUzcMfSxUMkNLT0NFSVVBS0pBU1ZPSjBCV0xJTjE0MC4u"</definedName>
    <definedName name="_56F9DC9755BA473782653E2940F9ResponseSheet">"Form1"</definedName>
    <definedName name="_56F9DC9755BA473782653E2940F9SourceDocId">"{b2e6fc98-7698-4964-8d7b-0502bcefacea}"</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2" l="1"/>
  <c r="E19" i="2"/>
  <c r="G19" i="2"/>
  <c r="E18" i="2"/>
  <c r="E17" i="2"/>
  <c r="E16" i="2"/>
  <c r="E15" i="2"/>
  <c r="E14" i="2"/>
  <c r="E13" i="2"/>
  <c r="E12" i="2"/>
  <c r="E11" i="2"/>
  <c r="E10" i="2"/>
  <c r="E9" i="2"/>
  <c r="E8" i="2"/>
  <c r="E7" i="2"/>
  <c r="E6" i="2"/>
  <c r="E5" i="2"/>
  <c r="E4" i="2"/>
  <c r="E3" i="2"/>
  <c r="G2" i="2"/>
  <c r="G3" i="2"/>
  <c r="G4" i="2"/>
  <c r="G5" i="2"/>
  <c r="G6" i="2"/>
  <c r="G7" i="2"/>
  <c r="G8" i="2"/>
  <c r="G9" i="2"/>
  <c r="G10" i="2"/>
  <c r="G11" i="2"/>
  <c r="G12" i="2"/>
  <c r="G13" i="2"/>
  <c r="G14" i="2"/>
  <c r="G15" i="2"/>
  <c r="G16" i="2"/>
  <c r="G17" i="2"/>
  <c r="G18" i="2"/>
  <c r="G20" i="2"/>
  <c r="E20" i="2"/>
  <c r="B13" i="4"/>
  <c r="B12" i="4"/>
  <c r="B11" i="4"/>
  <c r="B10" i="4"/>
  <c r="B9" i="4"/>
  <c r="B8" i="4"/>
  <c r="B7" i="4"/>
  <c r="C2" i="3"/>
  <c r="C3" i="3"/>
  <c r="C21" i="3"/>
  <c r="I3" i="3"/>
  <c r="O3" i="3"/>
  <c r="H4" i="3"/>
  <c r="N4" i="3"/>
  <c r="O4" i="3"/>
  <c r="H5" i="3"/>
  <c r="N5" i="3"/>
  <c r="O5" i="3"/>
  <c r="D6" i="3"/>
  <c r="J6" i="3"/>
  <c r="O6" i="3"/>
  <c r="D7" i="3"/>
  <c r="J7" i="3"/>
  <c r="O7" i="3"/>
  <c r="D8" i="3"/>
  <c r="J8" i="3"/>
  <c r="O8" i="3"/>
  <c r="E9" i="3"/>
  <c r="K9" i="3"/>
  <c r="O9" i="3"/>
  <c r="E10" i="3"/>
  <c r="K10" i="3"/>
  <c r="O10" i="3"/>
  <c r="E11" i="3"/>
  <c r="K11" i="3"/>
  <c r="O11" i="3"/>
  <c r="E12" i="3"/>
  <c r="K12" i="3"/>
  <c r="O12" i="3"/>
  <c r="F13" i="3"/>
  <c r="L13" i="3"/>
  <c r="O13" i="3"/>
  <c r="D14" i="3"/>
  <c r="J14" i="3"/>
  <c r="O14" i="3"/>
  <c r="G15" i="3"/>
  <c r="M15" i="3"/>
  <c r="O15" i="3"/>
  <c r="F16" i="3"/>
  <c r="L16" i="3"/>
  <c r="O16" i="3"/>
  <c r="G17" i="3"/>
  <c r="M17" i="3"/>
  <c r="O17" i="3"/>
  <c r="G18" i="3"/>
  <c r="M18" i="3"/>
  <c r="O18" i="3"/>
  <c r="F19" i="3"/>
  <c r="L19" i="3"/>
  <c r="O19" i="3"/>
  <c r="I2" i="3"/>
  <c r="O2" i="3"/>
  <c r="F21" i="3"/>
  <c r="N2" i="1"/>
  <c r="N3" i="1"/>
  <c r="N4" i="1"/>
  <c r="N5" i="1"/>
  <c r="N6" i="1"/>
  <c r="N7" i="1"/>
  <c r="N8" i="1"/>
  <c r="N9" i="1"/>
  <c r="N10" i="1"/>
  <c r="N11" i="1"/>
  <c r="N12" i="1"/>
  <c r="N13" i="1"/>
  <c r="N14" i="1"/>
  <c r="N15" i="1"/>
  <c r="N16" i="1"/>
  <c r="N17" i="1"/>
  <c r="N18" i="1"/>
  <c r="N19" i="1"/>
  <c r="N21" i="1"/>
  <c r="D21" i="3"/>
  <c r="E21" i="3"/>
  <c r="G21" i="3"/>
  <c r="H21" i="3"/>
  <c r="I21" i="3"/>
  <c r="J21" i="3"/>
  <c r="K21" i="3"/>
  <c r="L21" i="3"/>
  <c r="M21" i="3"/>
  <c r="N21" i="3"/>
  <c r="O21" i="3"/>
  <c r="P21" i="3"/>
  <c r="C20" i="2"/>
  <c r="F20" i="2"/>
  <c r="M21" i="1"/>
  <c r="N20" i="1"/>
  <c r="M20" i="1"/>
  <c r="J20" i="1"/>
  <c r="K20" i="1"/>
  <c r="D20" i="1"/>
  <c r="I20" i="1"/>
  <c r="L20" i="1"/>
</calcChain>
</file>

<file path=xl/sharedStrings.xml><?xml version="1.0" encoding="utf-8"?>
<sst xmlns="http://schemas.openxmlformats.org/spreadsheetml/2006/main" count="205" uniqueCount="113">
  <si>
    <t>Issue Name</t>
  </si>
  <si>
    <t>CUSIP</t>
  </si>
  <si>
    <t>Bond Ratings Moody's/S&amp;P</t>
  </si>
  <si>
    <t>Coupon</t>
  </si>
  <si>
    <t>Par Value</t>
  </si>
  <si>
    <t>Maturity Date</t>
  </si>
  <si>
    <t>Issue Date</t>
  </si>
  <si>
    <t>Call Date</t>
  </si>
  <si>
    <t>Mkt Price</t>
  </si>
  <si>
    <t>Current Yield</t>
  </si>
  <si>
    <t>Yield to Maturiry</t>
  </si>
  <si>
    <t>YTW</t>
  </si>
  <si>
    <t>Qty (in 1000s)</t>
  </si>
  <si>
    <t>Total Market Value</t>
  </si>
  <si>
    <t>CLARK CNTY WASH PUB UTIL DIST REV REF BDS 2010</t>
  </si>
  <si>
    <t xml:space="preserve">181117DU3 </t>
  </si>
  <si>
    <t>A1/A</t>
  </si>
  <si>
    <t>N/A</t>
  </si>
  <si>
    <t xml:space="preserve">PORT SEATTLE WASH LTD TAX GO BDS 2017 </t>
  </si>
  <si>
    <t>735371PJ9</t>
  </si>
  <si>
    <t>AAA/AAA</t>
  </si>
  <si>
    <t>KING CNTY WASH LTD TAX GO REF BDS 2010A</t>
  </si>
  <si>
    <t>49474FLA6</t>
  </si>
  <si>
    <t>UNIVERSITY WASH UNIV REVS GEN REV REF BDS 2015B</t>
  </si>
  <si>
    <t>91523NNE2</t>
  </si>
  <si>
    <t>AAA/AA+</t>
  </si>
  <si>
    <t>HOUSTON TEX INDPT SCH DIST LTD TAX REF </t>
  </si>
  <si>
    <t>442403GX3</t>
  </si>
  <si>
    <t>ALAMO TEX CMNTY COLLEGE DIST</t>
  </si>
  <si>
    <t>011415PY6</t>
  </si>
  <si>
    <t>PLANO TEX INDPT SCH DIST ULTD TAX REF</t>
  </si>
  <si>
    <t>727199XE6</t>
  </si>
  <si>
    <t>FORTWORTH TEX SPL TAX REV REV BDS SER</t>
  </si>
  <si>
    <t>349507BB8</t>
  </si>
  <si>
    <t>MONTGOMERY CNTY TEX ULTD TAX RD AND LTD</t>
  </si>
  <si>
    <t>6136813H6</t>
  </si>
  <si>
    <t>CORPUS CHRISTI TEX GEN IMPT REF BDS</t>
  </si>
  <si>
    <t>2201127K6</t>
  </si>
  <si>
    <t>Aa2/AA</t>
  </si>
  <si>
    <t>ANDREWS CNT TEX HOSP DIST GO BDS </t>
  </si>
  <si>
    <t>034451BN3</t>
  </si>
  <si>
    <t>A3/A</t>
  </si>
  <si>
    <t>NEWARK HIGHER ED FINCORP TEX REV REV</t>
  </si>
  <si>
    <t>650348AP0</t>
  </si>
  <si>
    <t xml:space="preserve"> </t>
  </si>
  <si>
    <t>ALAMO TEX CMNTY COLLEGE DIST LTD TAX</t>
  </si>
  <si>
    <t>011415RS7</t>
  </si>
  <si>
    <t>A3/AAA</t>
  </si>
  <si>
    <t>HOUSTON TEX UTIL SYSREV COMB UTIL SYS</t>
  </si>
  <si>
    <t>44244CGZ4</t>
  </si>
  <si>
    <t>HARRIS CNTY TEX PERMANENT IMPT REF</t>
  </si>
  <si>
    <t>414005XV5</t>
  </si>
  <si>
    <t>TRIBOROUGH BRDG &amp; TUNL AUTH NY REVS 04</t>
  </si>
  <si>
    <t>89602REA9</t>
  </si>
  <si>
    <t>AA/AA3</t>
  </si>
  <si>
    <t>TEXAS A&amp;M UNIV REVSREV FINANCING SYSTEM</t>
  </si>
  <si>
    <t>882135V45</t>
  </si>
  <si>
    <t>EL PASO CNTY TEX COMNTY COLLEGE DIST</t>
  </si>
  <si>
    <t>283506LK7</t>
  </si>
  <si>
    <t>/AA</t>
  </si>
  <si>
    <t>AVERAGE</t>
  </si>
  <si>
    <t>TOTAL</t>
  </si>
  <si>
    <t>Name of Issue</t>
  </si>
  <si>
    <t>QTY (in 1000s)</t>
  </si>
  <si>
    <t>Px</t>
  </si>
  <si>
    <t>Accured Interest</t>
  </si>
  <si>
    <t>Total Cost</t>
  </si>
  <si>
    <t>181117DU3 </t>
  </si>
  <si>
    <t>HOUSTON TEX INDPT SCH DIST LTD TAX REF</t>
  </si>
  <si>
    <t>BURLESON TEX GO REF AND IMPT BDS</t>
  </si>
  <si>
    <t>121385ZE1</t>
  </si>
  <si>
    <t>FORTWORTH TEX SPL TAX REV REV</t>
  </si>
  <si>
    <t>359507BB8</t>
  </si>
  <si>
    <t>914072YH0</t>
  </si>
  <si>
    <t>REGIONAL TRANSN DIST COLO SALE REV BDS 2012A</t>
  </si>
  <si>
    <t>759136QU1</t>
  </si>
  <si>
    <t>Jan</t>
  </si>
  <si>
    <t>Feb</t>
  </si>
  <si>
    <t>Mar</t>
  </si>
  <si>
    <t>Apr</t>
  </si>
  <si>
    <t>May</t>
  </si>
  <si>
    <t>Jun</t>
  </si>
  <si>
    <t>Jul</t>
  </si>
  <si>
    <t>Aug</t>
  </si>
  <si>
    <t>Sep</t>
  </si>
  <si>
    <t>Oct</t>
  </si>
  <si>
    <t>Nov</t>
  </si>
  <si>
    <t>Dec</t>
  </si>
  <si>
    <t>Year</t>
  </si>
  <si>
    <t>604115CZ6</t>
  </si>
  <si>
    <t>820549TR4</t>
  </si>
  <si>
    <t>275893LX1</t>
  </si>
  <si>
    <t>452152RP8</t>
  </si>
  <si>
    <t>66442RCD7</t>
  </si>
  <si>
    <t>01179RGG2</t>
  </si>
  <si>
    <t>MONTHLY INCOME BY MATURITY TIMEFRAME</t>
  </si>
  <si>
    <t xml:space="preserve">Total Tax Free Monthly Income </t>
  </si>
  <si>
    <t>Resources</t>
  </si>
  <si>
    <t>Fidelity</t>
  </si>
  <si>
    <t>Henion &amp; Walsh</t>
  </si>
  <si>
    <t>Investopedia</t>
  </si>
  <si>
    <t>Team Bonding Associates</t>
  </si>
  <si>
    <t>Luis Untalan</t>
  </si>
  <si>
    <t>Laura Watermolen</t>
  </si>
  <si>
    <t>Izzy Guzik</t>
  </si>
  <si>
    <t>Haley Nabarrete</t>
  </si>
  <si>
    <t>Curtis Le</t>
  </si>
  <si>
    <t>STmP6hwjtkCjP1aHOvlvh7HaZzd2ezhFnehgUzcMfSxUMkNLT0NFSVVBS0pBU1ZPSjBCV0xJTjE0MC4u</t>
  </si>
  <si>
    <t>Form1</t>
  </si>
  <si>
    <t>{b2e6fc98-7698-4964-8d7b-0502bcefacea}</t>
  </si>
  <si>
    <t>Cost per bond possition</t>
  </si>
  <si>
    <t>Month Avg</t>
  </si>
  <si>
    <t>Mature (in 1000s)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</si>
</sst>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7" formatCode="&quot;$&quot;#,##0.00_);\(&quot;$&quot;#,##0.00\)"/>
    <numFmt numFmtId="44" formatCode="_(&quot;$&quot;* #,##0.00_);_(&quot;$&quot;* \(#,##0.00\);_(&quot;$&quot;* &quot;-&quot;??_);_(@_)"/>
    <numFmt numFmtId="43" formatCode="_(* #,##0.00_);_(* \(#,##0.00\);_(* &quot;-&quot;??_);_(@_)"/>
    <numFmt numFmtId="164" formatCode="_([$$-409]* #,##0.00_);_([$$-409]* \(#,##0.00\);_([$$-409]* &quot;-&quot;??_);_(@_)"/>
    <numFmt numFmtId="165" formatCode="0.000"/>
    <numFmt numFmtId="166" formatCode="&quot;$&quot;#,##0.00"/>
    <numFmt numFmtId="167" formatCode="[$$-409]#,##0.00_);\([$$-409]#,##0.00\)"/>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scheme val="minor"/>
    </font>
    <font>
      <sz val="14"/>
      <color theme="1"/>
      <name val="Calibri"/>
      <family val="2"/>
      <scheme val="minor"/>
    </font>
    <font>
      <b/>
      <sz val="14"/>
      <color theme="0"/>
      <name val="Calibri"/>
      <family val="2"/>
      <scheme val="minor"/>
    </font>
    <font>
      <b/>
      <sz val="14"/>
      <color rgb="FFFFFFFF"/>
      <name val="Calibri"/>
      <family val="2"/>
      <scheme val="minor"/>
    </font>
    <font>
      <b/>
      <sz val="14"/>
      <color theme="1"/>
      <name val="Calibri"/>
      <family val="2"/>
      <scheme val="minor"/>
    </font>
    <font>
      <u/>
      <sz val="11"/>
      <color theme="10"/>
      <name val="Calibri"/>
      <family val="2"/>
      <scheme val="minor"/>
    </font>
    <font>
      <u/>
      <sz val="22"/>
      <color rgb="FF0070C0"/>
      <name val="Calibri"/>
      <family val="2"/>
      <scheme val="minor"/>
    </font>
    <font>
      <b/>
      <sz val="24"/>
      <color theme="0"/>
      <name val="Calibri"/>
      <family val="2"/>
      <scheme val="minor"/>
    </font>
    <font>
      <sz val="22"/>
      <color theme="1"/>
      <name val="Calibri"/>
      <family val="2"/>
      <scheme val="minor"/>
    </font>
    <font>
      <sz val="12"/>
      <color theme="1"/>
      <name val="Calibri"/>
      <family val="2"/>
      <scheme val="minor"/>
    </font>
    <font>
      <sz val="12"/>
      <color rgb="FFFF0000"/>
      <name val="Calibri"/>
      <family val="2"/>
      <scheme val="minor"/>
    </font>
    <font>
      <sz val="11"/>
      <color rgb="FFFF0000"/>
      <name val="Calibri"/>
      <family val="2"/>
      <scheme val="minor"/>
    </font>
    <font>
      <sz val="12"/>
      <color rgb="FF000000"/>
      <name val="Calibri"/>
      <family val="2"/>
      <scheme val="minor"/>
    </font>
  </fonts>
  <fills count="15">
    <fill>
      <patternFill patternType="none"/>
    </fill>
    <fill>
      <patternFill patternType="gray125"/>
    </fill>
    <fill>
      <patternFill patternType="solid">
        <fgColor theme="9"/>
        <bgColor indexed="64"/>
      </patternFill>
    </fill>
    <fill>
      <patternFill patternType="solid">
        <fgColor theme="9" tint="0.39997558519241921"/>
        <bgColor indexed="64"/>
      </patternFill>
    </fill>
    <fill>
      <patternFill patternType="solid">
        <fgColor theme="6"/>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49998474074526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bgColor indexed="64"/>
      </patternFill>
    </fill>
  </fills>
  <borders count="8">
    <border>
      <left/>
      <right/>
      <top/>
      <bottom/>
      <diagonal/>
    </border>
    <border>
      <left/>
      <right/>
      <top style="thin">
        <color auto="1"/>
      </top>
      <bottom style="double">
        <color auto="1"/>
      </bottom>
      <diagonal/>
    </border>
    <border>
      <left/>
      <right/>
      <top/>
      <bottom style="double">
        <color auto="1"/>
      </bottom>
      <diagonal/>
    </border>
    <border>
      <left/>
      <right/>
      <top/>
      <bottom style="medium">
        <color auto="1"/>
      </bottom>
      <diagonal/>
    </border>
    <border>
      <left/>
      <right/>
      <top style="thin">
        <color theme="4" tint="0.39997558519241921"/>
      </top>
      <bottom style="medium">
        <color auto="1"/>
      </bottom>
      <diagonal/>
    </border>
    <border>
      <left/>
      <right style="thin">
        <color theme="4" tint="0.39997558519241921"/>
      </right>
      <top style="thin">
        <color theme="4" tint="0.39997558519241921"/>
      </top>
      <bottom style="medium">
        <color auto="1"/>
      </bottom>
      <diagonal/>
    </border>
    <border>
      <left/>
      <right/>
      <top style="thin">
        <color auto="1"/>
      </top>
      <bottom/>
      <diagonal/>
    </border>
    <border>
      <left style="thin">
        <color theme="4" tint="0.39997558519241921"/>
      </left>
      <right style="thin">
        <color theme="4" tint="0.39997558519241921"/>
      </right>
      <top style="medium">
        <color auto="1"/>
      </top>
      <bottom style="medium">
        <color auto="1"/>
      </bottom>
      <diagonal/>
    </border>
  </borders>
  <cellStyleXfs count="4">
    <xf numFmtId="0" fontId="0" fillId="0" borderId="0"/>
    <xf numFmtId="44" fontId="3" fillId="0" borderId="0" applyFont="0" applyFill="0" applyBorder="0" applyAlignment="0" applyProtection="0"/>
    <xf numFmtId="0" fontId="9" fillId="0" borderId="0" applyNumberFormat="0" applyFill="0" applyBorder="0" applyAlignment="0" applyProtection="0"/>
    <xf numFmtId="43" fontId="3" fillId="0" borderId="0" applyFont="0" applyFill="0" applyBorder="0" applyAlignment="0" applyProtection="0"/>
  </cellStyleXfs>
  <cellXfs count="112">
    <xf numFmtId="0" fontId="0" fillId="0" borderId="0" xfId="0"/>
    <xf numFmtId="0" fontId="0" fillId="0" borderId="0" xfId="0"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Border="1" applyAlignment="1">
      <alignment horizontal="center" vertical="center"/>
    </xf>
    <xf numFmtId="0" fontId="8" fillId="2" borderId="1" xfId="0" applyFont="1" applyFill="1" applyBorder="1" applyAlignment="1">
      <alignment horizontal="center" vertical="center"/>
    </xf>
    <xf numFmtId="0" fontId="4" fillId="3" borderId="1" xfId="0" applyFont="1" applyFill="1" applyBorder="1" applyAlignment="1">
      <alignment horizontal="center" vertical="center"/>
    </xf>
    <xf numFmtId="10" fontId="4" fillId="3" borderId="1" xfId="0" applyNumberFormat="1" applyFont="1" applyFill="1" applyBorder="1" applyAlignment="1">
      <alignment horizontal="center" vertical="center"/>
    </xf>
    <xf numFmtId="7" fontId="4" fillId="3" borderId="1" xfId="1" applyNumberFormat="1" applyFont="1" applyFill="1" applyBorder="1" applyAlignment="1">
      <alignment horizontal="center" vertical="center"/>
    </xf>
    <xf numFmtId="10" fontId="2" fillId="0" borderId="0" xfId="0" applyNumberFormat="1" applyFont="1" applyBorder="1" applyAlignment="1">
      <alignment horizontal="center" vertical="center"/>
    </xf>
    <xf numFmtId="14" fontId="2" fillId="0" borderId="0" xfId="0" applyNumberFormat="1" applyFont="1" applyBorder="1" applyAlignment="1">
      <alignment horizontal="center" vertical="center"/>
    </xf>
    <xf numFmtId="0" fontId="2" fillId="0" borderId="0" xfId="0" applyFont="1" applyBorder="1" applyAlignment="1">
      <alignment horizontal="left" vertical="center"/>
    </xf>
    <xf numFmtId="7" fontId="2" fillId="0" borderId="0" xfId="1" applyNumberFormat="1" applyFont="1" applyBorder="1" applyAlignment="1">
      <alignment horizontal="center"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center" vertical="center"/>
    </xf>
    <xf numFmtId="10" fontId="2" fillId="0" borderId="3" xfId="0" applyNumberFormat="1" applyFont="1" applyBorder="1" applyAlignment="1">
      <alignment horizontal="center" vertical="center"/>
    </xf>
    <xf numFmtId="14" fontId="2" fillId="0" borderId="3" xfId="0" applyNumberFormat="1" applyFont="1" applyBorder="1" applyAlignment="1">
      <alignment horizontal="center" vertical="center"/>
    </xf>
    <xf numFmtId="7" fontId="2" fillId="0" borderId="3" xfId="1" applyNumberFormat="1"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xf>
    <xf numFmtId="0" fontId="8" fillId="4" borderId="0" xfId="0" applyFont="1" applyFill="1" applyBorder="1" applyAlignment="1">
      <alignment horizontal="center" vertical="center"/>
    </xf>
    <xf numFmtId="0" fontId="2" fillId="5" borderId="0" xfId="0" applyFont="1" applyFill="1" applyBorder="1" applyAlignment="1">
      <alignment horizontal="center" vertical="center"/>
    </xf>
    <xf numFmtId="10" fontId="2" fillId="5" borderId="0" xfId="0" applyNumberFormat="1" applyFont="1" applyFill="1" applyBorder="1" applyAlignment="1">
      <alignment horizontal="center" vertical="center"/>
    </xf>
    <xf numFmtId="165" fontId="2" fillId="5" borderId="0" xfId="0" applyNumberFormat="1" applyFont="1" applyFill="1" applyBorder="1" applyAlignment="1">
      <alignment horizontal="center" vertical="center"/>
    </xf>
    <xf numFmtId="1" fontId="2" fillId="5" borderId="0" xfId="0" applyNumberFormat="1" applyFont="1" applyFill="1" applyBorder="1" applyAlignment="1">
      <alignment horizontal="center" vertical="center"/>
    </xf>
    <xf numFmtId="7" fontId="2" fillId="5" borderId="0" xfId="1" applyNumberFormat="1" applyFont="1" applyFill="1" applyBorder="1" applyAlignment="1">
      <alignment horizontal="center" vertical="center"/>
    </xf>
    <xf numFmtId="0" fontId="4" fillId="2" borderId="2" xfId="0" applyFont="1" applyFill="1" applyBorder="1" applyAlignment="1">
      <alignment horizontal="center" vertical="center"/>
    </xf>
    <xf numFmtId="167" fontId="2" fillId="0" borderId="0" xfId="0" applyNumberFormat="1" applyFont="1"/>
    <xf numFmtId="167" fontId="2" fillId="0" borderId="3" xfId="0" applyNumberFormat="1" applyFont="1" applyBorder="1"/>
    <xf numFmtId="0" fontId="4" fillId="3" borderId="2" xfId="0" applyFont="1" applyFill="1" applyBorder="1" applyAlignment="1">
      <alignment horizontal="center"/>
    </xf>
    <xf numFmtId="0" fontId="2" fillId="3" borderId="2" xfId="0" applyFont="1" applyFill="1" applyBorder="1"/>
    <xf numFmtId="164" fontId="2" fillId="3" borderId="2" xfId="0" applyNumberFormat="1" applyFont="1" applyFill="1" applyBorder="1"/>
    <xf numFmtId="0" fontId="2" fillId="0" borderId="0" xfId="0" applyFont="1" applyAlignment="1">
      <alignment horizontal="center"/>
    </xf>
    <xf numFmtId="0" fontId="5" fillId="7" borderId="3" xfId="0" applyFont="1" applyFill="1" applyBorder="1" applyAlignment="1">
      <alignment horizontal="center" vertical="center"/>
    </xf>
    <xf numFmtId="0" fontId="5" fillId="7" borderId="0" xfId="0" applyFont="1" applyFill="1" applyBorder="1" applyAlignment="1">
      <alignment horizontal="center" vertical="center"/>
    </xf>
    <xf numFmtId="0" fontId="2" fillId="8" borderId="0" xfId="0" applyFont="1" applyFill="1"/>
    <xf numFmtId="164" fontId="2" fillId="8" borderId="0" xfId="0" applyNumberFormat="1" applyFont="1" applyFill="1" applyBorder="1" applyAlignment="1">
      <alignment horizontal="center" vertical="center"/>
    </xf>
    <xf numFmtId="0" fontId="2" fillId="9" borderId="0" xfId="0" applyFont="1" applyFill="1"/>
    <xf numFmtId="0" fontId="2" fillId="9" borderId="0" xfId="0" applyFont="1" applyFill="1" applyBorder="1" applyAlignment="1">
      <alignment horizontal="center" vertical="center"/>
    </xf>
    <xf numFmtId="0" fontId="2" fillId="9" borderId="3" xfId="0" applyFont="1" applyFill="1" applyBorder="1"/>
    <xf numFmtId="0" fontId="2" fillId="9" borderId="3" xfId="0" applyFont="1" applyFill="1" applyBorder="1" applyAlignment="1">
      <alignment horizontal="center" vertical="center"/>
    </xf>
    <xf numFmtId="0" fontId="2" fillId="0" borderId="3" xfId="0" applyFont="1" applyBorder="1" applyAlignment="1">
      <alignment horizontal="center"/>
    </xf>
    <xf numFmtId="0" fontId="10" fillId="12" borderId="0" xfId="2" applyFont="1" applyFill="1" applyAlignment="1">
      <alignment horizontal="center" vertical="center"/>
    </xf>
    <xf numFmtId="166" fontId="2" fillId="0" borderId="0" xfId="0" applyNumberFormat="1" applyFont="1" applyAlignment="1">
      <alignment horizontal="center"/>
    </xf>
    <xf numFmtId="166" fontId="2" fillId="0" borderId="3" xfId="0" applyNumberFormat="1" applyFont="1" applyBorder="1" applyAlignment="1">
      <alignment horizontal="center"/>
    </xf>
    <xf numFmtId="166" fontId="2" fillId="3" borderId="2" xfId="0" applyNumberFormat="1" applyFont="1" applyFill="1" applyBorder="1" applyAlignment="1">
      <alignment horizontal="center"/>
    </xf>
    <xf numFmtId="166" fontId="4" fillId="3" borderId="2" xfId="1" applyNumberFormat="1" applyFont="1" applyFill="1" applyBorder="1"/>
    <xf numFmtId="164" fontId="4" fillId="3" borderId="2" xfId="0" applyNumberFormat="1" applyFont="1" applyFill="1" applyBorder="1"/>
    <xf numFmtId="0" fontId="10" fillId="2" borderId="0" xfId="2" applyFont="1" applyFill="1" applyAlignment="1">
      <alignment horizontal="center" vertical="center"/>
    </xf>
    <xf numFmtId="0" fontId="10" fillId="3" borderId="0" xfId="2" applyFont="1" applyFill="1" applyAlignment="1">
      <alignment horizontal="center" vertical="center"/>
    </xf>
    <xf numFmtId="0" fontId="11" fillId="13" borderId="3" xfId="0" applyFont="1" applyFill="1" applyBorder="1" applyAlignment="1">
      <alignment horizontal="center" vertical="center"/>
    </xf>
    <xf numFmtId="0" fontId="12" fillId="7" borderId="0" xfId="0" applyFont="1" applyFill="1" applyBorder="1" applyAlignment="1">
      <alignment horizontal="center" vertical="center"/>
    </xf>
    <xf numFmtId="0" fontId="12" fillId="10" borderId="0" xfId="0" applyFont="1" applyFill="1" applyBorder="1" applyAlignment="1">
      <alignment horizontal="center" vertical="center"/>
    </xf>
    <xf numFmtId="0" fontId="12" fillId="6" borderId="0" xfId="0" applyFont="1" applyFill="1" applyBorder="1" applyAlignment="1">
      <alignment horizontal="center" vertical="center"/>
    </xf>
    <xf numFmtId="0" fontId="12" fillId="8" borderId="0" xfId="0" applyFont="1" applyFill="1" applyBorder="1" applyAlignment="1">
      <alignment horizontal="center" vertical="center"/>
    </xf>
    <xf numFmtId="0" fontId="12" fillId="9" borderId="0" xfId="0" applyFont="1" applyFill="1" applyBorder="1" applyAlignment="1">
      <alignment horizontal="center" vertical="center"/>
    </xf>
    <xf numFmtId="0" fontId="11" fillId="11" borderId="3" xfId="0" applyFont="1" applyFill="1" applyBorder="1" applyAlignment="1">
      <alignment horizontal="center" vertical="center"/>
    </xf>
    <xf numFmtId="14" fontId="0" fillId="0" borderId="0" xfId="0" applyNumberFormat="1"/>
    <xf numFmtId="0" fontId="15" fillId="0" borderId="0" xfId="0" applyFont="1"/>
    <xf numFmtId="0" fontId="13" fillId="0" borderId="0" xfId="0" applyFont="1" applyAlignment="1">
      <alignment horizontal="left" vertical="center"/>
    </xf>
    <xf numFmtId="0" fontId="2" fillId="0" borderId="0" xfId="0" applyNumberFormat="1" applyFont="1" applyBorder="1" applyAlignment="1">
      <alignment horizontal="center" vertical="center"/>
    </xf>
    <xf numFmtId="3" fontId="2" fillId="0" borderId="0" xfId="0" applyNumberFormat="1" applyFont="1" applyBorder="1" applyAlignment="1">
      <alignment horizontal="center" vertical="center"/>
    </xf>
    <xf numFmtId="6" fontId="16" fillId="0" borderId="0" xfId="0" applyNumberFormat="1" applyFont="1" applyBorder="1" applyAlignment="1">
      <alignment horizontal="center" vertical="center"/>
    </xf>
    <xf numFmtId="6" fontId="2" fillId="5" borderId="6" xfId="0" applyNumberFormat="1" applyFont="1" applyFill="1" applyBorder="1" applyAlignment="1">
      <alignment horizontal="center" vertical="center"/>
    </xf>
    <xf numFmtId="49" fontId="0" fillId="0" borderId="0" xfId="0" applyNumberFormat="1"/>
    <xf numFmtId="0" fontId="7" fillId="2" borderId="3" xfId="0" applyFont="1" applyFill="1" applyBorder="1" applyAlignment="1">
      <alignment horizontal="center" vertical="center"/>
    </xf>
    <xf numFmtId="0" fontId="8"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6" fontId="2" fillId="0" borderId="3" xfId="0" applyNumberFormat="1" applyFont="1" applyBorder="1" applyAlignment="1">
      <alignment horizontal="center" vertical="center"/>
    </xf>
    <xf numFmtId="164" fontId="1" fillId="3" borderId="2" xfId="0" applyNumberFormat="1" applyFont="1" applyFill="1" applyBorder="1"/>
    <xf numFmtId="0" fontId="6" fillId="2" borderId="7"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10" fontId="1" fillId="0" borderId="0" xfId="0" applyNumberFormat="1" applyFont="1" applyBorder="1" applyAlignment="1">
      <alignment horizontal="center" vertical="center"/>
    </xf>
    <xf numFmtId="6" fontId="1" fillId="0" borderId="0" xfId="0" applyNumberFormat="1" applyFont="1" applyBorder="1" applyAlignment="1">
      <alignment horizontal="center" vertical="center"/>
    </xf>
    <xf numFmtId="14" fontId="1" fillId="0" borderId="0" xfId="0" applyNumberFormat="1" applyFont="1" applyBorder="1" applyAlignment="1">
      <alignment horizontal="center" vertical="center"/>
    </xf>
    <xf numFmtId="7" fontId="1" fillId="0" borderId="0" xfId="1" applyNumberFormat="1" applyFont="1" applyBorder="1" applyAlignment="1">
      <alignment horizontal="center" vertical="center"/>
    </xf>
    <xf numFmtId="44" fontId="1" fillId="0" borderId="0" xfId="1" applyFont="1" applyAlignment="1">
      <alignment horizontal="center" vertical="center"/>
    </xf>
    <xf numFmtId="166" fontId="1" fillId="0" borderId="0" xfId="0" applyNumberFormat="1" applyFont="1" applyAlignment="1">
      <alignment horizontal="center"/>
    </xf>
    <xf numFmtId="166" fontId="1" fillId="0" borderId="0" xfId="1" applyNumberFormat="1" applyFont="1"/>
    <xf numFmtId="167" fontId="1" fillId="0" borderId="0" xfId="0" applyNumberFormat="1" applyFont="1"/>
    <xf numFmtId="0" fontId="0" fillId="0" borderId="0" xfId="0" applyFont="1"/>
    <xf numFmtId="0" fontId="0" fillId="14" borderId="0" xfId="0" applyFill="1"/>
    <xf numFmtId="0" fontId="0" fillId="14" borderId="0" xfId="0" applyFill="1" applyBorder="1"/>
    <xf numFmtId="0" fontId="2" fillId="14" borderId="0" xfId="0" applyFont="1" applyFill="1" applyBorder="1" applyAlignment="1">
      <alignment horizontal="center" vertical="center" wrapText="1"/>
    </xf>
    <xf numFmtId="167" fontId="2" fillId="14" borderId="0" xfId="0" applyNumberFormat="1" applyFont="1" applyFill="1" applyBorder="1"/>
    <xf numFmtId="0" fontId="5" fillId="14" borderId="0" xfId="0" applyFont="1" applyFill="1" applyBorder="1" applyAlignment="1">
      <alignment horizontal="center"/>
    </xf>
    <xf numFmtId="0" fontId="15" fillId="14" borderId="0" xfId="0" applyFont="1" applyFill="1" applyBorder="1"/>
    <xf numFmtId="0" fontId="14" fillId="14" borderId="0" xfId="0" applyFont="1" applyFill="1" applyBorder="1" applyAlignment="1">
      <alignment horizontal="center" vertical="center"/>
    </xf>
    <xf numFmtId="0" fontId="2" fillId="14" borderId="0" xfId="0" applyFont="1" applyFill="1" applyBorder="1" applyAlignment="1">
      <alignment horizontal="center" vertical="center"/>
    </xf>
    <xf numFmtId="0" fontId="1" fillId="14" borderId="0" xfId="0" applyFont="1" applyFill="1" applyAlignment="1">
      <alignment horizontal="left" vertical="center"/>
    </xf>
    <xf numFmtId="0" fontId="1" fillId="14" borderId="0" xfId="0" applyFont="1" applyFill="1" applyAlignment="1">
      <alignment horizontal="center" vertical="center"/>
    </xf>
    <xf numFmtId="0" fontId="1" fillId="14" borderId="0" xfId="0" applyNumberFormat="1" applyFont="1" applyFill="1" applyAlignment="1">
      <alignment horizontal="center" vertical="center"/>
    </xf>
    <xf numFmtId="166" fontId="1" fillId="14" borderId="0" xfId="0" applyNumberFormat="1" applyFont="1" applyFill="1" applyAlignment="1">
      <alignment horizontal="center"/>
    </xf>
    <xf numFmtId="166" fontId="1" fillId="14" borderId="0" xfId="1" applyNumberFormat="1" applyFont="1" applyFill="1"/>
    <xf numFmtId="0" fontId="2" fillId="14" borderId="0" xfId="0" applyFont="1" applyFill="1" applyAlignment="1">
      <alignment horizontal="center"/>
    </xf>
    <xf numFmtId="44" fontId="2" fillId="14" borderId="0" xfId="1" applyFont="1" applyFill="1" applyAlignment="1">
      <alignment horizontal="center"/>
    </xf>
    <xf numFmtId="0" fontId="1" fillId="0" borderId="3" xfId="0" applyFont="1" applyBorder="1" applyAlignment="1">
      <alignment horizontal="center"/>
    </xf>
    <xf numFmtId="0" fontId="1" fillId="0" borderId="0" xfId="3" applyNumberFormat="1" applyFont="1" applyAlignment="1">
      <alignment horizontal="center"/>
    </xf>
    <xf numFmtId="0" fontId="2" fillId="0" borderId="0" xfId="3" applyNumberFormat="1" applyFont="1" applyAlignment="1">
      <alignment horizontal="center"/>
    </xf>
    <xf numFmtId="3" fontId="2" fillId="0" borderId="0" xfId="3" applyNumberFormat="1" applyFont="1" applyAlignment="1">
      <alignment horizontal="center"/>
    </xf>
    <xf numFmtId="0" fontId="2" fillId="0" borderId="0" xfId="0" applyFont="1" applyFill="1" applyAlignment="1">
      <alignment horizontal="center"/>
    </xf>
    <xf numFmtId="44" fontId="2" fillId="0" borderId="0" xfId="1" applyFont="1" applyFill="1" applyAlignment="1">
      <alignment horizontal="center"/>
    </xf>
    <xf numFmtId="44" fontId="2" fillId="0" borderId="3" xfId="1" applyFont="1" applyBorder="1" applyAlignment="1">
      <alignment horizontal="center"/>
    </xf>
    <xf numFmtId="44" fontId="2" fillId="3" borderId="2" xfId="0" applyNumberFormat="1" applyFont="1" applyFill="1" applyBorder="1" applyAlignment="1">
      <alignment horizontal="center" vertical="center"/>
    </xf>
    <xf numFmtId="44" fontId="0" fillId="0" borderId="0" xfId="0" applyNumberFormat="1"/>
    <xf numFmtId="166" fontId="2" fillId="0" borderId="3" xfId="1" applyNumberFormat="1" applyFont="1" applyBorder="1" applyAlignment="1"/>
    <xf numFmtId="0" fontId="0" fillId="0" borderId="0" xfId="0" applyFill="1" applyAlignment="1">
      <alignment horizontal="center" vertical="center"/>
    </xf>
  </cellXfs>
  <cellStyles count="4">
    <cellStyle name="Comma" xfId="3" builtinId="3"/>
    <cellStyle name="Currency" xfId="1" builtinId="4"/>
    <cellStyle name="Hyperlink" xfId="2" builtinId="8"/>
    <cellStyle name="Normal" xfId="0" builtinId="0"/>
  </cellStyles>
  <dxfs count="38">
    <dxf>
      <font>
        <b val="0"/>
        <i val="0"/>
        <strike val="0"/>
        <condense val="0"/>
        <extend val="0"/>
        <outline val="0"/>
        <shadow val="0"/>
        <u val="none"/>
        <vertAlign val="baseline"/>
        <sz val="12"/>
        <color theme="1"/>
        <name val="Calibri"/>
        <scheme val="minor"/>
      </font>
      <numFmt numFmtId="0" formatCode="General"/>
      <alignment horizontal="center" vertical="bottom" textRotation="0" wrapText="0" indent="0" justifyLastLine="0" shrinkToFit="0"/>
    </dxf>
    <dxf>
      <font>
        <strike val="0"/>
        <outline val="0"/>
        <shadow val="0"/>
        <u val="none"/>
        <vertAlign val="baseline"/>
        <sz val="12"/>
        <color theme="1"/>
        <name val="Calibri"/>
        <scheme val="minor"/>
      </font>
      <alignment horizontal="center" vertical="bottom" textRotation="0" wrapText="0" indent="0" justifyLastLine="0" shrinkToFit="0"/>
    </dxf>
    <dxf>
      <font>
        <strike val="0"/>
        <outline val="0"/>
        <shadow val="0"/>
        <u val="none"/>
        <vertAlign val="baseline"/>
        <sz val="12"/>
        <color theme="1"/>
        <name val="Calibri"/>
        <scheme val="minor"/>
      </font>
      <alignment horizontal="center" vertical="bottom" textRotation="0" wrapText="0" indent="0" justifyLastLine="0" shrinkToFit="0"/>
    </dxf>
    <dxf>
      <border>
        <bottom style="medium">
          <color indexed="64"/>
        </bottom>
      </border>
    </dxf>
    <dxf>
      <font>
        <strike val="0"/>
        <outline val="0"/>
        <shadow val="0"/>
        <u val="none"/>
        <vertAlign val="baseline"/>
        <sz val="12"/>
        <color theme="1"/>
        <name val="Calibri"/>
        <scheme val="minor"/>
      </font>
      <alignment horizontal="center" vertical="bottom" textRotation="0" wrapText="0" indent="0" justifyLastLine="0" shrinkToFit="0"/>
    </dxf>
    <dxf>
      <font>
        <strike val="0"/>
        <outline val="0"/>
        <shadow val="0"/>
        <u val="none"/>
        <vertAlign val="baseline"/>
        <sz val="12"/>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dxf>
    <dxf>
      <border>
        <top style="thin">
          <color indexed="64"/>
        </top>
      </border>
    </dxf>
    <dxf>
      <border>
        <bottom style="medium">
          <color indexed="64"/>
        </bottom>
      </border>
    </dxf>
    <dxf>
      <font>
        <strike val="0"/>
        <outline val="0"/>
        <shadow val="0"/>
        <u val="none"/>
        <vertAlign val="baseline"/>
        <sz val="14"/>
        <color theme="1"/>
        <name val="Calibri"/>
        <scheme val="minor"/>
      </font>
      <alignment horizontal="center" vertical="center" textRotation="0" wrapText="0" indent="0" justifyLastLine="0" shrinkToFit="0"/>
    </dxf>
    <dxf>
      <font>
        <strike val="0"/>
        <outline val="0"/>
        <shadow val="0"/>
        <u val="none"/>
        <vertAlign val="baseline"/>
        <sz val="12"/>
        <color theme="1"/>
        <name val="Calibri"/>
        <scheme val="minor"/>
      </font>
      <numFmt numFmtId="166" formatCode="&quot;$&quot;#,##0.00"/>
    </dxf>
    <dxf>
      <font>
        <strike val="0"/>
        <outline val="0"/>
        <shadow val="0"/>
        <u val="none"/>
        <vertAlign val="baseline"/>
        <sz val="12"/>
        <color theme="1"/>
        <name val="Calibri"/>
        <scheme val="minor"/>
      </font>
      <numFmt numFmtId="166" formatCode="&quot;$&quot;#,##0.00"/>
      <alignment horizontal="center" vertical="bottom" textRotation="0" wrapText="0" indent="0" justifyLastLine="0" shrinkToFit="0"/>
    </dxf>
    <dxf>
      <font>
        <b val="0"/>
        <i val="0"/>
        <strike val="0"/>
        <condense val="0"/>
        <extend val="0"/>
        <outline val="0"/>
        <shadow val="0"/>
        <u val="none"/>
        <vertAlign val="baseline"/>
        <sz val="12"/>
        <color theme="1"/>
        <name val="Calibri"/>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center" textRotation="0" wrapText="0" indent="0" justifyLastLine="0" shrinkToFit="0" readingOrder="0"/>
    </dxf>
    <dxf>
      <font>
        <strike val="0"/>
        <outline val="0"/>
        <shadow val="0"/>
        <u val="none"/>
        <vertAlign val="baseline"/>
        <sz val="12"/>
        <color theme="1"/>
        <name val="Calibri"/>
        <scheme val="minor"/>
      </font>
    </dxf>
    <dxf>
      <border>
        <bottom style="medium">
          <color indexed="64"/>
        </bottom>
      </border>
    </dxf>
    <dxf>
      <font>
        <strike val="0"/>
        <outline val="0"/>
        <shadow val="0"/>
        <u val="none"/>
        <vertAlign val="baseline"/>
        <sz val="14"/>
        <color theme="1"/>
        <name val="Calibri"/>
        <scheme val="minor"/>
      </font>
      <alignment horizontal="center" vertical="bottom" textRotation="0" wrapText="0" indent="0" justifyLastLine="0" shrinkToFit="0"/>
    </dxf>
    <dxf>
      <font>
        <strike val="0"/>
        <outline val="0"/>
        <shadow val="0"/>
        <u val="none"/>
        <vertAlign val="baseline"/>
        <sz val="12"/>
        <name val="Calibri"/>
        <scheme val="minor"/>
      </font>
      <numFmt numFmtId="11" formatCode="&quot;$&quot;#,##0.00_);\(&quot;$&quot;#,##0.00\)"/>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numFmt numFmtId="14" formatCode="0.00%"/>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center" vertical="center"/>
    </dxf>
    <dxf>
      <font>
        <strike val="0"/>
        <outline val="0"/>
        <shadow val="0"/>
        <u val="none"/>
        <vertAlign val="baseline"/>
        <sz val="12"/>
        <name val="Calibri"/>
        <scheme val="minor"/>
      </font>
      <alignment horizontal="left" vertical="center"/>
    </dxf>
    <dxf>
      <border diagonalUp="0" diagonalDown="0">
        <left/>
        <right/>
        <top/>
        <bottom/>
      </border>
    </dxf>
    <dxf>
      <font>
        <strike val="0"/>
        <outline val="0"/>
        <shadow val="0"/>
        <u val="none"/>
        <vertAlign val="baseline"/>
        <sz val="12"/>
        <name val="Calibri"/>
        <scheme val="minor"/>
      </font>
      <alignment horizontal="center" vertical="center"/>
    </dxf>
    <dxf>
      <border>
        <bottom style="medium">
          <color indexed="64"/>
        </bottom>
      </border>
    </dxf>
    <dxf>
      <font>
        <strike val="0"/>
        <outline val="0"/>
        <shadow val="0"/>
        <u val="none"/>
        <vertAlign val="baseline"/>
        <sz val="14"/>
        <color theme="1"/>
        <name val="Calibri"/>
        <scheme val="minor"/>
      </font>
      <alignment horizontal="center" vertical="center" textRotation="0" wrapText="0" indent="0" justifyLastLine="0" shrinkToFit="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MATURITY</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7414252317426"/>
          <c:y val="9.9392908726645801E-2"/>
          <c:w val="0.818333925598968"/>
          <c:h val="0.705678769320501"/>
        </c:manualLayout>
      </c:layout>
      <c:barChart>
        <c:barDir val="col"/>
        <c:grouping val="clustered"/>
        <c:varyColors val="0"/>
        <c:ser>
          <c:idx val="1"/>
          <c:order val="0"/>
          <c:tx>
            <c:strRef>
              <c:f>Maturity!$B$6</c:f>
              <c:strCache>
                <c:ptCount val="1"/>
                <c:pt idx="0">
                  <c:v>Mature (in 1000s)</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f>Maturity!$A$7:$A$13</c:f>
              <c:numCache>
                <c:formatCode>General</c:formatCode>
                <c:ptCount val="7"/>
                <c:pt idx="0">
                  <c:v>2020</c:v>
                </c:pt>
                <c:pt idx="1">
                  <c:v>2023</c:v>
                </c:pt>
                <c:pt idx="2">
                  <c:v>2028</c:v>
                </c:pt>
                <c:pt idx="3">
                  <c:v>2038</c:v>
                </c:pt>
                <c:pt idx="4">
                  <c:v>2040</c:v>
                </c:pt>
                <c:pt idx="5">
                  <c:v>2042</c:v>
                </c:pt>
                <c:pt idx="6">
                  <c:v>2048</c:v>
                </c:pt>
              </c:numCache>
            </c:numRef>
          </c:cat>
          <c:val>
            <c:numRef>
              <c:f>Maturity!$B$7:$B$13</c:f>
              <c:numCache>
                <c:formatCode>General</c:formatCode>
                <c:ptCount val="7"/>
                <c:pt idx="0">
                  <c:v>925</c:v>
                </c:pt>
                <c:pt idx="1">
                  <c:v>805</c:v>
                </c:pt>
                <c:pt idx="2">
                  <c:v>800</c:v>
                </c:pt>
                <c:pt idx="3">
                  <c:v>900</c:v>
                </c:pt>
                <c:pt idx="4" formatCode="#,##0">
                  <c:v>245</c:v>
                </c:pt>
                <c:pt idx="5">
                  <c:v>200</c:v>
                </c:pt>
                <c:pt idx="6">
                  <c:v>250</c:v>
                </c:pt>
              </c:numCache>
            </c:numRef>
          </c:val>
          <c:extLst>
            <c:ext xmlns:c16="http://schemas.microsoft.com/office/drawing/2014/chart" uri="{C3380CC4-5D6E-409C-BE32-E72D297353CC}">
              <c16:uniqueId val="{00000000-98CC-46EE-9843-640846B3D0A3}"/>
            </c:ext>
          </c:extLst>
        </c:ser>
        <c:dLbls>
          <c:showLegendKey val="0"/>
          <c:showVal val="0"/>
          <c:showCatName val="0"/>
          <c:showSerName val="0"/>
          <c:showPercent val="0"/>
          <c:showBubbleSize val="0"/>
        </c:dLbls>
        <c:gapWidth val="100"/>
        <c:overlap val="-24"/>
        <c:axId val="206067712"/>
        <c:axId val="205632128"/>
      </c:barChart>
      <c:catAx>
        <c:axId val="206067712"/>
        <c:scaling>
          <c:orientation val="minMax"/>
        </c:scaling>
        <c:delete val="0"/>
        <c:axPos val="b"/>
        <c:title>
          <c:tx>
            <c:rich>
              <a:bodyPr rot="0" spcFirstLastPara="1" vertOverflow="ellipsis" vert="horz" wrap="square" anchor="ctr" anchorCtr="1"/>
              <a:lstStyle/>
              <a:p>
                <a:pPr>
                  <a:defRPr sz="1050" b="1" i="0" u="none" strike="noStrike" kern="1200" baseline="0">
                    <a:solidFill>
                      <a:schemeClr val="tx2"/>
                    </a:solidFill>
                    <a:latin typeface="+mn-lt"/>
                    <a:ea typeface="+mn-ea"/>
                    <a:cs typeface="+mn-cs"/>
                  </a:defRPr>
                </a:pPr>
                <a:r>
                  <a:rPr lang="en-US" sz="1050"/>
                  <a:t>Maturity Year</a:t>
                </a:r>
              </a:p>
            </c:rich>
          </c:tx>
          <c:layout>
            <c:manualLayout>
              <c:xMode val="edge"/>
              <c:yMode val="edge"/>
              <c:x val="0.49198565051631299"/>
              <c:y val="0.8772780075918500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632128"/>
        <c:crosses val="autoZero"/>
        <c:auto val="1"/>
        <c:lblAlgn val="ctr"/>
        <c:lblOffset val="100"/>
        <c:noMultiLvlLbl val="0"/>
      </c:catAx>
      <c:valAx>
        <c:axId val="20563212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2"/>
                    </a:solidFill>
                    <a:latin typeface="+mn-lt"/>
                    <a:ea typeface="+mn-ea"/>
                    <a:cs typeface="+mn-cs"/>
                  </a:defRPr>
                </a:pPr>
                <a:r>
                  <a:rPr lang="en-US" sz="1050"/>
                  <a:t>Investments Maturing</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2"/>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60677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520700</xdr:colOff>
      <xdr:row>1</xdr:row>
      <xdr:rowOff>104775</xdr:rowOff>
    </xdr:from>
    <xdr:to>
      <xdr:col>18</xdr:col>
      <xdr:colOff>444500</xdr:colOff>
      <xdr:row>25</xdr:row>
      <xdr:rowOff>88900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12389</xdr:colOff>
      <xdr:row>1</xdr:row>
      <xdr:rowOff>6195</xdr:rowOff>
    </xdr:from>
    <xdr:to>
      <xdr:col>9</xdr:col>
      <xdr:colOff>6195</xdr:colOff>
      <xdr:row>51</xdr:row>
      <xdr:rowOff>6195</xdr:rowOff>
    </xdr:to>
    <xdr:sp macro="" textlink="">
      <xdr:nvSpPr>
        <xdr:cNvPr id="2" name="TextBox 1">
          <a:extLst>
            <a:ext uri="{FF2B5EF4-FFF2-40B4-BE49-F238E27FC236}">
              <a16:creationId xmlns:a16="http://schemas.microsoft.com/office/drawing/2014/main" id="{67BCD6B4-028A-4226-9007-A4C75E8E90F0}"/>
            </a:ext>
          </a:extLst>
        </xdr:cNvPr>
        <xdr:cNvSpPr txBox="1"/>
      </xdr:nvSpPr>
      <xdr:spPr>
        <a:xfrm>
          <a:off x="204438" y="192049"/>
          <a:ext cx="6288050" cy="9292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u="none" strike="noStrike">
              <a:solidFill>
                <a:schemeClr val="dk1"/>
              </a:solidFill>
              <a:effectLst/>
              <a:latin typeface="+mn-lt"/>
              <a:ea typeface="+mn-ea"/>
              <a:cs typeface="+mn-cs"/>
            </a:rPr>
            <a:t>Dear Dr. Jones, </a:t>
          </a:r>
          <a:endParaRPr lang="en-US" b="0">
            <a:effectLst/>
          </a:endParaRPr>
        </a:p>
        <a:p>
          <a:pPr rtl="0"/>
          <a:br>
            <a:rPr lang="en-US" b="0">
              <a:effectLst/>
            </a:rPr>
          </a:br>
          <a:r>
            <a:rPr lang="en-US" sz="1100" b="0" i="0" u="none" strike="noStrike">
              <a:solidFill>
                <a:schemeClr val="dk1"/>
              </a:solidFill>
              <a:effectLst/>
              <a:latin typeface="+mn-lt"/>
              <a:ea typeface="+mn-ea"/>
              <a:cs typeface="+mn-cs"/>
            </a:rPr>
            <a:t>Thank you for considering our firm, we hope our plan meets your needs and desires and that you’ll choose us for your financial needs.</a:t>
          </a:r>
          <a:endParaRPr lang="en-US" b="0">
            <a:effectLst/>
          </a:endParaRPr>
        </a:p>
        <a:p>
          <a:pPr rtl="0"/>
          <a:br>
            <a:rPr lang="en-US" b="0">
              <a:effectLst/>
            </a:rPr>
          </a:br>
          <a:r>
            <a:rPr lang="en-US" sz="1100" b="1" i="0" u="sng">
              <a:solidFill>
                <a:schemeClr val="dk1"/>
              </a:solidFill>
              <a:effectLst/>
              <a:latin typeface="+mn-lt"/>
              <a:ea typeface="+mn-ea"/>
              <a:cs typeface="+mn-cs"/>
            </a:rPr>
            <a:t>Risk</a:t>
          </a:r>
          <a:endParaRPr lang="en-US" b="0">
            <a:effectLst/>
          </a:endParaRPr>
        </a:p>
        <a:p>
          <a:pPr rtl="0"/>
          <a:br>
            <a:rPr lang="en-US" b="0">
              <a:effectLst/>
            </a:rPr>
          </a:br>
          <a:r>
            <a:rPr lang="en-US" sz="1100" b="0" i="0" u="none" strike="noStrike">
              <a:solidFill>
                <a:schemeClr val="dk1"/>
              </a:solidFill>
              <a:effectLst/>
              <a:latin typeface="+mn-lt"/>
              <a:ea typeface="+mn-ea"/>
              <a:cs typeface="+mn-cs"/>
            </a:rPr>
            <a:t>Initially, we recommend that you invest your the $5 million you hold, in highly rated investment bonds that are safe and will earn a higher rate of net after tax income than your current 1%, increasing at a minimum of 2.5%. Doing this will make your money work more efficiently for you than it would if it is sitting in your savings account. Additionally we recommend that you retain $460,815.61 for a rainy day fund that will be completely liquid that you will have access to at any point in time. We agree with your concern that the interest rates will probably increase over the next 5-10 years, because of this we would suggest that you incorporate a laddered bond portfolio strategy where you have bonds maturing every few years. So that as the bonds come due you can reinvest the proceeds into high rate bonds, thus mitigating your overall portfolio value fluctuations.</a:t>
          </a:r>
          <a:endParaRPr lang="en-US" b="0">
            <a:effectLst/>
          </a:endParaRPr>
        </a:p>
        <a:p>
          <a:pPr rtl="0"/>
          <a:br>
            <a:rPr lang="en-US" b="0">
              <a:effectLst/>
            </a:rPr>
          </a:br>
          <a:r>
            <a:rPr lang="en-US" sz="1100" b="0" i="0" u="none" strike="noStrike">
              <a:solidFill>
                <a:schemeClr val="dk1"/>
              </a:solidFill>
              <a:effectLst/>
              <a:latin typeface="+mn-lt"/>
              <a:ea typeface="+mn-ea"/>
              <a:cs typeface="+mn-cs"/>
            </a:rPr>
            <a:t>To protect you against default risk we diversified your portfolio by personally selecting 18 bonds that are “A” rated and above by S&amp;P, which are considered above the minimum safe investment grade of Baa. The geographic regions the bonds originate from are the Pacific Northwest, South West, and Mid-Atlantic. The majority of bonds are to generate revenue for places of higher education and public services within those geographical locations.</a:t>
          </a:r>
          <a:endParaRPr lang="en-US" b="0">
            <a:effectLst/>
          </a:endParaRPr>
        </a:p>
        <a:p>
          <a:pPr rtl="0"/>
          <a:br>
            <a:rPr lang="en-US" b="0">
              <a:effectLst/>
            </a:rPr>
          </a:br>
          <a:r>
            <a:rPr lang="en-US" sz="1100" b="1" i="0" u="sng">
              <a:solidFill>
                <a:schemeClr val="dk1"/>
              </a:solidFill>
              <a:effectLst/>
              <a:latin typeface="+mn-lt"/>
              <a:ea typeface="+mn-ea"/>
              <a:cs typeface="+mn-cs"/>
            </a:rPr>
            <a:t>Cash Flow</a:t>
          </a:r>
          <a:endParaRPr lang="en-US" b="0">
            <a:effectLst/>
          </a:endParaRPr>
        </a:p>
        <a:p>
          <a:pPr rtl="0"/>
          <a:br>
            <a:rPr lang="en-US" b="0">
              <a:effectLst/>
            </a:rPr>
          </a:br>
          <a:r>
            <a:rPr lang="en-US" sz="1100" b="0" i="0" u="none" strike="noStrike">
              <a:solidFill>
                <a:schemeClr val="dk1"/>
              </a:solidFill>
              <a:effectLst/>
              <a:latin typeface="+mn-lt"/>
              <a:ea typeface="+mn-ea"/>
              <a:cs typeface="+mn-cs"/>
            </a:rPr>
            <a:t>We specifically tailored the years to maturity around your concerns of the market,  earliest year of maturity is 2020, and the latest is 2047. We recommend this so that you will have a safe, steady inflow of cash throughout the foreseeable future. Your average monthly income will be $16,585.42. With our recommendations, we believe you will be generating enough interest off of the bonds to be able to live comfortably, and consistently have the opportunity to donate to St. Jude Children's Orphanage.</a:t>
          </a:r>
          <a:endParaRPr lang="en-US" b="0">
            <a:effectLst/>
          </a:endParaRPr>
        </a:p>
        <a:p>
          <a:pPr rtl="0"/>
          <a:br>
            <a:rPr lang="en-US" b="0">
              <a:effectLst/>
            </a:rPr>
          </a:br>
          <a:r>
            <a:rPr lang="en-US" sz="1100" b="0" i="0" u="none" strike="noStrike">
              <a:solidFill>
                <a:schemeClr val="dk1"/>
              </a:solidFill>
              <a:effectLst/>
              <a:latin typeface="+mn-lt"/>
              <a:ea typeface="+mn-ea"/>
              <a:cs typeface="+mn-cs"/>
            </a:rPr>
            <a:t>Before income tax, you will make $200,000, after tax, you will make around $136,000 from Dr. Tooth-Ferry because the $200,000 in income places you in the Federal designated 32% tax bracket. We believe if the market stays consistent you will be making $199,025 of nontaxable income due to your residency in Washington and then Texas; this is all tax-free income, this will put you around $63,000 over your income from Dr. Tooth-Ferry.</a:t>
          </a:r>
          <a:endParaRPr lang="en-US" b="0">
            <a:effectLst/>
          </a:endParaRPr>
        </a:p>
        <a:p>
          <a:pPr rtl="0"/>
          <a:br>
            <a:rPr lang="en-US" b="0">
              <a:effectLst/>
            </a:rPr>
          </a:br>
          <a:r>
            <a:rPr lang="en-US" sz="1100" b="1" i="0" u="sng">
              <a:solidFill>
                <a:schemeClr val="dk1"/>
              </a:solidFill>
              <a:effectLst/>
              <a:latin typeface="+mn-lt"/>
              <a:ea typeface="+mn-ea"/>
              <a:cs typeface="+mn-cs"/>
            </a:rPr>
            <a:t>Closing Remarks</a:t>
          </a:r>
          <a:endParaRPr lang="en-US" b="0">
            <a:effectLst/>
          </a:endParaRPr>
        </a:p>
        <a:p>
          <a:pPr rtl="0"/>
          <a:br>
            <a:rPr lang="en-US" b="0">
              <a:effectLst/>
            </a:rPr>
          </a:br>
          <a:r>
            <a:rPr lang="en-US" sz="1100" b="0" i="0" u="none" strike="noStrike">
              <a:solidFill>
                <a:schemeClr val="dk1"/>
              </a:solidFill>
              <a:effectLst/>
              <a:latin typeface="+mn-lt"/>
              <a:ea typeface="+mn-ea"/>
              <a:cs typeface="+mn-cs"/>
            </a:rPr>
            <a:t>To reiterate, we believe we have created a portfolio that directly addresses your concerns and preferences towards the market without generating a significant amount of risk. At the same time, it will provide a steady flow of income to allow you to live comfortably while still being able to donate to charity. Keeping in mind that we have set aside a completely liquid $460,815.61, that you will have access to at any point in time. Thank you for granting us the opportunity to present our proposed portfolio, we look forward to hearing from you soon. If you have any questions or concerns, please feel free to contact us at </a:t>
          </a:r>
          <a:r>
            <a:rPr lang="en-US" sz="1100" b="0" i="0" u="sng" strike="noStrike">
              <a:solidFill>
                <a:schemeClr val="dk1"/>
              </a:solidFill>
              <a:effectLst/>
              <a:latin typeface="+mn-lt"/>
              <a:ea typeface="+mn-ea"/>
              <a:cs typeface="+mn-cs"/>
              <a:hlinkClick xmlns:r="http://schemas.openxmlformats.org/officeDocument/2006/relationships" r:id=""/>
            </a:rPr>
            <a:t>DunnSquad@associates.com</a:t>
          </a:r>
          <a:r>
            <a:rPr lang="en-US" sz="1100" b="0" i="0" u="none" strike="noStrike">
              <a:solidFill>
                <a:schemeClr val="dk1"/>
              </a:solidFill>
              <a:effectLst/>
              <a:latin typeface="+mn-lt"/>
              <a:ea typeface="+mn-ea"/>
              <a:cs typeface="+mn-cs"/>
            </a:rPr>
            <a:t>.</a:t>
          </a:r>
          <a:endParaRPr lang="en-US" b="0">
            <a:effectLst/>
          </a:endParaRPr>
        </a:p>
        <a:p>
          <a:pPr rtl="0"/>
          <a:br>
            <a:rPr lang="en-US" b="0">
              <a:effectLst/>
            </a:rPr>
          </a:br>
          <a:br>
            <a:rPr lang="en-US" b="0">
              <a:effectLst/>
            </a:rPr>
          </a:br>
          <a:r>
            <a:rPr lang="en-US" sz="1100" b="0" i="0" u="none" strike="noStrike">
              <a:solidFill>
                <a:schemeClr val="dk1"/>
              </a:solidFill>
              <a:effectLst/>
              <a:latin typeface="+mn-lt"/>
              <a:ea typeface="+mn-ea"/>
              <a:cs typeface="+mn-cs"/>
            </a:rPr>
            <a:t>Cheers,</a:t>
          </a:r>
          <a:endParaRPr lang="en-US" b="0">
            <a:effectLst/>
          </a:endParaRPr>
        </a:p>
        <a:p>
          <a:pPr rtl="0"/>
          <a:endParaRPr lang="en-US" b="0">
            <a:effectLst/>
          </a:endParaRPr>
        </a:p>
        <a:p>
          <a:pPr rtl="0"/>
          <a:r>
            <a:rPr lang="en-US" sz="1800" b="0">
              <a:effectLst/>
              <a:latin typeface="Mistral" panose="03090702030407020403" pitchFamily="66" charset="0"/>
            </a:rPr>
            <a:t>Dunn Squad Associates</a:t>
          </a:r>
        </a:p>
        <a:p>
          <a:pPr rtl="0"/>
          <a:endParaRPr lang="en-US" sz="8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Dunn Squad Associates</a:t>
          </a:r>
          <a:br>
            <a:rPr lang="en-US" b="0">
              <a:effectLst/>
            </a:rPr>
          </a:b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N21" totalsRowShown="0" headerRowDxfId="37" dataDxfId="35" headerRowBorderDxfId="36" tableBorderDxfId="34">
  <autoFilter ref="A1:N21" xr:uid="{00000000-0009-0000-0100-000002000000}"/>
  <tableColumns count="14">
    <tableColumn id="1" xr3:uid="{00000000-0010-0000-0000-000001000000}" name="Issue Name" dataDxfId="33"/>
    <tableColumn id="2" xr3:uid="{00000000-0010-0000-0000-000002000000}" name="CUSIP" dataDxfId="32"/>
    <tableColumn id="3" xr3:uid="{00000000-0010-0000-0000-000003000000}" name="Bond Ratings Moody's/S&amp;P" dataDxfId="31"/>
    <tableColumn id="4" xr3:uid="{00000000-0010-0000-0000-000004000000}" name="Coupon" dataDxfId="30"/>
    <tableColumn id="5" xr3:uid="{00000000-0010-0000-0000-000005000000}" name="Par Value" dataDxfId="29"/>
    <tableColumn id="6" xr3:uid="{00000000-0010-0000-0000-000006000000}" name="Maturity Date" dataDxfId="28"/>
    <tableColumn id="7" xr3:uid="{00000000-0010-0000-0000-000007000000}" name="Issue Date" dataDxfId="27"/>
    <tableColumn id="14" xr3:uid="{00000000-0010-0000-0000-00000E000000}" name="Call Date" dataDxfId="26"/>
    <tableColumn id="8" xr3:uid="{00000000-0010-0000-0000-000008000000}" name="Mkt Price" dataDxfId="25"/>
    <tableColumn id="13" xr3:uid="{00000000-0010-0000-0000-00000D000000}" name="Current Yield" dataDxfId="24"/>
    <tableColumn id="15" xr3:uid="{00000000-0010-0000-0000-00000F000000}" name="Yield to Maturiry" dataDxfId="23"/>
    <tableColumn id="12" xr3:uid="{00000000-0010-0000-0000-00000C000000}" name="YTW" dataDxfId="22"/>
    <tableColumn id="9" xr3:uid="{00000000-0010-0000-0000-000009000000}" name="Qty (in 1000s)" dataDxfId="21"/>
    <tableColumn id="10" xr3:uid="{00000000-0010-0000-0000-00000A000000}" name="Total Market Value" dataDxfId="20" dataCellStyle="Currency">
      <calculatedColumnFormula>I2*M2*10</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G20" totalsRowShown="0" headerRowDxfId="19" dataDxfId="17" headerRowBorderDxfId="18">
  <autoFilter ref="A1:G20" xr:uid="{00000000-0009-0000-0100-000003000000}"/>
  <tableColumns count="7">
    <tableColumn id="1" xr3:uid="{00000000-0010-0000-0100-000001000000}" name="Name of Issue" dataDxfId="16"/>
    <tableColumn id="2" xr3:uid="{00000000-0010-0000-0100-000002000000}" name="CUSIP" dataDxfId="15"/>
    <tableColumn id="3" xr3:uid="{00000000-0010-0000-0100-000003000000}" name="QTY (in 1000s)" dataDxfId="14"/>
    <tableColumn id="4" xr3:uid="{00000000-0010-0000-0100-000004000000}" name="Px" dataDxfId="13"/>
    <tableColumn id="10" xr3:uid="{00000000-0010-0000-0100-00000A000000}" name="Cost per bond possition" dataDxfId="12">
      <calculatedColumnFormula>(Table3[[#This Row],[Px]]*Table3[[#This Row],[QTY (in 1000s)]])</calculatedColumnFormula>
    </tableColumn>
    <tableColumn id="5" xr3:uid="{00000000-0010-0000-0100-000005000000}" name="Accured Interest" dataDxfId="11"/>
    <tableColumn id="7" xr3:uid="{00000000-0010-0000-0100-000007000000}" name="Total Cost" dataDxfId="10" dataCellStyle="Currency">
      <calculatedColumnFormula>Table2[[#This Row],[Total Market Value]]+Table3[[#This Row],[Accured Interest]]</calculatedColumnFormula>
    </tableColum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O19" totalsRowShown="0" headerRowDxfId="9" headerRowBorderDxfId="8" totalsRowBorderDxfId="7">
  <autoFilter ref="A1:O19" xr:uid="{00000000-0009-0000-0100-000004000000}"/>
  <tableColumns count="15">
    <tableColumn id="1" xr3:uid="{00000000-0010-0000-0200-000001000000}" name="Issue Name" dataDxfId="6"/>
    <tableColumn id="2" xr3:uid="{00000000-0010-0000-0200-000002000000}" name="CUSIP" dataDxfId="5"/>
    <tableColumn id="3" xr3:uid="{00000000-0010-0000-0200-000003000000}" name="Jan">
      <calculatedColumnFormula>(Table2[[#This Row],[Coupon]])*(Table2[[#This Row],[Qty (in 1000s)]]*1000)/2</calculatedColumnFormula>
    </tableColumn>
    <tableColumn id="4" xr3:uid="{00000000-0010-0000-0200-000004000000}" name="Feb">
      <calculatedColumnFormula>(Table2[[#This Row],[Coupon]])*(Table2[[#This Row],[Qty (in 1000s)]]*1000)/2</calculatedColumnFormula>
    </tableColumn>
    <tableColumn id="5" xr3:uid="{00000000-0010-0000-0200-000005000000}" name="Mar">
      <calculatedColumnFormula>(Table2[[#This Row],[Coupon]])*(Table2[[#This Row],[Qty (in 1000s)]]*1000)/2</calculatedColumnFormula>
    </tableColumn>
    <tableColumn id="6" xr3:uid="{00000000-0010-0000-0200-000006000000}" name="Apr">
      <calculatedColumnFormula>(Table2[[#This Row],[Coupon]])*(Table2[[#This Row],[Qty (in 1000s)]]*1000)/2</calculatedColumnFormula>
    </tableColumn>
    <tableColumn id="7" xr3:uid="{00000000-0010-0000-0200-000007000000}" name="May">
      <calculatedColumnFormula>(Table2[[#This Row],[Coupon]])*(Table2[[#This Row],[Qty (in 1000s)]]*1000)/2</calculatedColumnFormula>
    </tableColumn>
    <tableColumn id="8" xr3:uid="{00000000-0010-0000-0200-000008000000}" name="Jun">
      <calculatedColumnFormula>(Table2[[#This Row],[Coupon]])*(Table2[[#This Row],[Qty (in 1000s)]]*1000)/2</calculatedColumnFormula>
    </tableColumn>
    <tableColumn id="9" xr3:uid="{00000000-0010-0000-0200-000009000000}" name="Jul">
      <calculatedColumnFormula>(Table2[[#This Row],[Coupon]])*(Table2[[#This Row],[Qty (in 1000s)]]*1000)/2</calculatedColumnFormula>
    </tableColumn>
    <tableColumn id="10" xr3:uid="{00000000-0010-0000-0200-00000A000000}" name="Aug">
      <calculatedColumnFormula>(Table2[[#This Row],[Coupon]])*(Table2[[#This Row],[Qty (in 1000s)]]*1000)/2</calculatedColumnFormula>
    </tableColumn>
    <tableColumn id="11" xr3:uid="{00000000-0010-0000-0200-00000B000000}" name="Sep">
      <calculatedColumnFormula>(Table2[[#This Row],[Coupon]])*(Table2[[#This Row],[Qty (in 1000s)]]*1000)/2</calculatedColumnFormula>
    </tableColumn>
    <tableColumn id="12" xr3:uid="{00000000-0010-0000-0200-00000C000000}" name="Oct">
      <calculatedColumnFormula>(Table2[[#This Row],[Coupon]])*(Table2[[#This Row],[Qty (in 1000s)]]*1000)/2</calculatedColumnFormula>
    </tableColumn>
    <tableColumn id="13" xr3:uid="{00000000-0010-0000-0200-00000D000000}" name="Nov">
      <calculatedColumnFormula>(Table2[[#This Row],[Coupon]])*(Table2[[#This Row],[Qty (in 1000s)]]*1000)/2</calculatedColumnFormula>
    </tableColumn>
    <tableColumn id="14" xr3:uid="{00000000-0010-0000-0200-00000E000000}" name="Dec">
      <calculatedColumnFormula>(Table2[[#This Row],[Coupon]])*(Table2[[#This Row],[Qty (in 1000s)]]*1000)/2</calculatedColumnFormula>
    </tableColumn>
    <tableColumn id="15" xr3:uid="{00000000-0010-0000-0200-00000F000000}" name="Year">
      <calculatedColumnFormula>C2+I2</calculatedColumnFormula>
    </tableColumn>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6:B13" totalsRowShown="0" headerRowDxfId="4" dataDxfId="2" headerRowBorderDxfId="3">
  <autoFilter ref="A6:B13" xr:uid="{00000000-0009-0000-0100-000001000000}">
    <filterColumn colId="0" hiddenButton="1"/>
    <filterColumn colId="1" hiddenButton="1"/>
  </autoFilter>
  <tableColumns count="2">
    <tableColumn id="1" xr3:uid="{00000000-0010-0000-0300-000001000000}" name="Year" dataDxfId="1"/>
    <tableColumn id="2" xr3:uid="{00000000-0010-0000-0300-000002000000}" name="Mature (in 1000s)" dataDxfId="0" dataCellStyle="Comma">
      <calculatedColumnFormula>SUM(AP2:AP5)</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standardandpoors.com/en_US/web/guest/home" TargetMode="External"/><Relationship Id="rId2" Type="http://schemas.openxmlformats.org/officeDocument/2006/relationships/hyperlink" Target="https://www.moodys.com/" TargetMode="External"/><Relationship Id="rId1" Type="http://schemas.openxmlformats.org/officeDocument/2006/relationships/hyperlink" Target="https://www.thebondcenter.com/hennionandwalsh/?utm_source=bing&amp;utm_medium=cpc&amp;utm_campaign=_1Municipal%20Bonds%20-%20New%20Off%20Hours%20-%20Efficient%20List&amp;utm_term=municipal%20bond%20offe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
  <sheetViews>
    <sheetView showGridLines="0" tabSelected="1" zoomScaleNormal="100" zoomScalePageLayoutView="97" workbookViewId="0">
      <selection activeCell="A19" sqref="A19"/>
    </sheetView>
  </sheetViews>
  <sheetFormatPr defaultColWidth="8.77734375" defaultRowHeight="14.4" x14ac:dyDescent="0.3"/>
  <cols>
    <col min="1" max="1" width="57.33203125" bestFit="1" customWidth="1"/>
    <col min="2" max="2" width="26.44140625" bestFit="1" customWidth="1"/>
    <col min="3" max="3" width="34" bestFit="1" customWidth="1"/>
    <col min="4" max="4" width="14" bestFit="1" customWidth="1"/>
    <col min="5" max="5" width="15.6640625" bestFit="1" customWidth="1"/>
    <col min="6" max="6" width="20.109375" bestFit="1" customWidth="1"/>
    <col min="7" max="7" width="16.44140625" bestFit="1" customWidth="1"/>
    <col min="8" max="8" width="15.109375" bestFit="1" customWidth="1"/>
    <col min="9" max="9" width="15.6640625" bestFit="1" customWidth="1"/>
    <col min="10" max="10" width="19.109375" bestFit="1" customWidth="1"/>
    <col min="11" max="11" width="22.77734375" bestFit="1" customWidth="1"/>
    <col min="12" max="12" width="10.77734375" bestFit="1" customWidth="1"/>
    <col min="13" max="13" width="20.44140625" bestFit="1" customWidth="1"/>
    <col min="14" max="14" width="25" bestFit="1" customWidth="1"/>
  </cols>
  <sheetData>
    <row r="1" spans="1:20" ht="18.600000000000001" thickBot="1" x14ac:dyDescent="0.35">
      <c r="A1" s="20" t="s">
        <v>0</v>
      </c>
      <c r="B1" s="20" t="s">
        <v>1</v>
      </c>
      <c r="C1" s="20" t="s">
        <v>2</v>
      </c>
      <c r="D1" s="20" t="s">
        <v>3</v>
      </c>
      <c r="E1" s="20" t="s">
        <v>4</v>
      </c>
      <c r="F1" s="20" t="s">
        <v>5</v>
      </c>
      <c r="G1" s="20" t="s">
        <v>6</v>
      </c>
      <c r="H1" s="20" t="s">
        <v>7</v>
      </c>
      <c r="I1" s="20" t="s">
        <v>8</v>
      </c>
      <c r="J1" s="20" t="s">
        <v>9</v>
      </c>
      <c r="K1" s="20" t="s">
        <v>10</v>
      </c>
      <c r="L1" s="20" t="s">
        <v>11</v>
      </c>
      <c r="M1" s="20" t="s">
        <v>12</v>
      </c>
      <c r="N1" s="20" t="s">
        <v>13</v>
      </c>
    </row>
    <row r="2" spans="1:20" ht="15.6" x14ac:dyDescent="0.3">
      <c r="A2" s="75" t="s">
        <v>14</v>
      </c>
      <c r="B2" s="76" t="s">
        <v>15</v>
      </c>
      <c r="C2" s="76" t="s">
        <v>16</v>
      </c>
      <c r="D2" s="77">
        <v>0.05</v>
      </c>
      <c r="E2" s="78">
        <v>5000</v>
      </c>
      <c r="F2" s="79">
        <v>43831</v>
      </c>
      <c r="G2" s="79">
        <v>40351</v>
      </c>
      <c r="H2" s="79" t="s">
        <v>17</v>
      </c>
      <c r="I2" s="74">
        <v>105.85</v>
      </c>
      <c r="J2" s="76">
        <v>4.7240000000000002</v>
      </c>
      <c r="K2" s="76">
        <v>1.5109999999999999</v>
      </c>
      <c r="L2" s="76">
        <v>1.5109999999999999</v>
      </c>
      <c r="M2" s="76">
        <v>245</v>
      </c>
      <c r="N2" s="80">
        <f>(E2)*(I2/100)*(M2/5)</f>
        <v>259332.5</v>
      </c>
    </row>
    <row r="3" spans="1:20" ht="15.6" x14ac:dyDescent="0.3">
      <c r="A3" s="75" t="s">
        <v>18</v>
      </c>
      <c r="B3" s="76" t="s">
        <v>19</v>
      </c>
      <c r="C3" s="76" t="s">
        <v>20</v>
      </c>
      <c r="D3" s="77">
        <v>0.05</v>
      </c>
      <c r="E3" s="78">
        <v>5000</v>
      </c>
      <c r="F3" s="79">
        <v>43831</v>
      </c>
      <c r="G3" s="79">
        <v>42789</v>
      </c>
      <c r="H3" s="79" t="s">
        <v>17</v>
      </c>
      <c r="I3" s="74">
        <v>105.96899999999999</v>
      </c>
      <c r="J3" s="76">
        <v>4.718</v>
      </c>
      <c r="K3" s="76">
        <v>1.4430000000000001</v>
      </c>
      <c r="L3" s="76">
        <v>1.4430000000000001</v>
      </c>
      <c r="M3" s="76">
        <v>250</v>
      </c>
      <c r="N3" s="80">
        <f>(E3)*(I3/100)*(M3/5)</f>
        <v>264922.5</v>
      </c>
      <c r="O3" s="1"/>
    </row>
    <row r="4" spans="1:20" ht="15.6" x14ac:dyDescent="0.3">
      <c r="A4" s="75" t="s">
        <v>21</v>
      </c>
      <c r="B4" s="76" t="s">
        <v>22</v>
      </c>
      <c r="C4" s="76" t="s">
        <v>20</v>
      </c>
      <c r="D4" s="77">
        <v>0.05</v>
      </c>
      <c r="E4" s="78">
        <v>5000</v>
      </c>
      <c r="F4" s="79">
        <v>43983</v>
      </c>
      <c r="G4" s="79">
        <v>40469</v>
      </c>
      <c r="H4" s="76" t="s">
        <v>17</v>
      </c>
      <c r="I4" s="74">
        <v>107.28</v>
      </c>
      <c r="J4" s="76">
        <v>3.8069999999999999</v>
      </c>
      <c r="K4" s="76">
        <v>1.5660000000000001</v>
      </c>
      <c r="L4" s="76">
        <v>1.5660000000000001</v>
      </c>
      <c r="M4" s="76">
        <v>215</v>
      </c>
      <c r="N4" s="80">
        <f t="shared" ref="N4:N19" si="0">(E4)*(I4/100)*(M4/5)</f>
        <v>230652</v>
      </c>
      <c r="O4" s="1"/>
    </row>
    <row r="5" spans="1:20" ht="15.6" x14ac:dyDescent="0.3">
      <c r="A5" s="75" t="s">
        <v>23</v>
      </c>
      <c r="B5" s="76" t="s">
        <v>24</v>
      </c>
      <c r="C5" s="76" t="s">
        <v>25</v>
      </c>
      <c r="D5" s="77">
        <v>0.05</v>
      </c>
      <c r="E5" s="78">
        <v>5000</v>
      </c>
      <c r="F5" s="79">
        <v>43983</v>
      </c>
      <c r="G5" s="79">
        <v>42026</v>
      </c>
      <c r="H5" s="79" t="s">
        <v>17</v>
      </c>
      <c r="I5" s="74">
        <v>107.131</v>
      </c>
      <c r="J5" s="76">
        <v>4.6669999999999998</v>
      </c>
      <c r="K5" s="76">
        <v>1.57</v>
      </c>
      <c r="L5" s="76">
        <v>1.57</v>
      </c>
      <c r="M5" s="76">
        <v>215</v>
      </c>
      <c r="N5" s="80">
        <f t="shared" si="0"/>
        <v>230331.65</v>
      </c>
      <c r="O5" s="1"/>
    </row>
    <row r="6" spans="1:20" ht="15.6" x14ac:dyDescent="0.3">
      <c r="A6" s="11" t="s">
        <v>26</v>
      </c>
      <c r="B6" s="4" t="s">
        <v>27</v>
      </c>
      <c r="C6" s="4" t="s">
        <v>20</v>
      </c>
      <c r="D6" s="9">
        <v>0.05</v>
      </c>
      <c r="E6" s="64">
        <v>5000</v>
      </c>
      <c r="F6" s="10">
        <v>44972</v>
      </c>
      <c r="G6" s="10">
        <v>41319</v>
      </c>
      <c r="H6" s="10" t="s">
        <v>17</v>
      </c>
      <c r="I6" s="4">
        <v>113.59399999999999</v>
      </c>
      <c r="J6" s="4">
        <v>4.4509999999999996</v>
      </c>
      <c r="K6" s="4">
        <v>2.2890000000000001</v>
      </c>
      <c r="L6" s="4">
        <v>2.2890000000000001</v>
      </c>
      <c r="M6" s="4">
        <v>275</v>
      </c>
      <c r="N6" s="12">
        <f>(E6)*(I6/100)*(M6/5)</f>
        <v>312383.5</v>
      </c>
      <c r="O6" s="1"/>
    </row>
    <row r="7" spans="1:20" ht="15.6" x14ac:dyDescent="0.3">
      <c r="A7" s="11" t="s">
        <v>28</v>
      </c>
      <c r="B7" s="4" t="s">
        <v>29</v>
      </c>
      <c r="C7" s="4" t="s">
        <v>20</v>
      </c>
      <c r="D7" s="9">
        <v>0.05</v>
      </c>
      <c r="E7" s="64">
        <v>5000</v>
      </c>
      <c r="F7" s="10">
        <v>44972</v>
      </c>
      <c r="G7" s="10">
        <v>41654</v>
      </c>
      <c r="H7" s="4" t="s">
        <v>17</v>
      </c>
      <c r="I7" s="4">
        <v>112.09699999999999</v>
      </c>
      <c r="J7" s="4">
        <v>4.4359999999999999</v>
      </c>
      <c r="K7" s="4">
        <v>2.21</v>
      </c>
      <c r="L7" s="4">
        <v>2.21</v>
      </c>
      <c r="M7" s="4">
        <v>275</v>
      </c>
      <c r="N7" s="12">
        <f t="shared" si="0"/>
        <v>308266.75</v>
      </c>
      <c r="O7" s="1"/>
    </row>
    <row r="8" spans="1:20" ht="15.6" x14ac:dyDescent="0.3">
      <c r="A8" s="11" t="s">
        <v>30</v>
      </c>
      <c r="B8" s="4" t="s">
        <v>31</v>
      </c>
      <c r="C8" s="4" t="s">
        <v>20</v>
      </c>
      <c r="D8" s="9">
        <v>0.05</v>
      </c>
      <c r="E8" s="64">
        <v>5000</v>
      </c>
      <c r="F8" s="10">
        <v>44972</v>
      </c>
      <c r="G8" s="10">
        <v>42415</v>
      </c>
      <c r="H8" s="10" t="s">
        <v>17</v>
      </c>
      <c r="I8" s="4">
        <v>112.901</v>
      </c>
      <c r="J8" s="4">
        <v>4.4320000000000004</v>
      </c>
      <c r="K8" s="4">
        <v>2.1909999999999998</v>
      </c>
      <c r="L8" s="4">
        <v>2.1909999999999998</v>
      </c>
      <c r="M8" s="4">
        <v>255</v>
      </c>
      <c r="N8" s="12">
        <f t="shared" si="0"/>
        <v>287897.55</v>
      </c>
      <c r="O8" s="1"/>
    </row>
    <row r="9" spans="1:20" ht="15.6" x14ac:dyDescent="0.3">
      <c r="A9" s="3" t="s">
        <v>32</v>
      </c>
      <c r="B9" s="2" t="s">
        <v>33</v>
      </c>
      <c r="C9" s="4" t="s">
        <v>16</v>
      </c>
      <c r="D9" s="9">
        <v>0.05</v>
      </c>
      <c r="E9" s="64">
        <v>5000</v>
      </c>
      <c r="F9" s="10">
        <v>46813</v>
      </c>
      <c r="G9" s="10">
        <v>42917</v>
      </c>
      <c r="H9" s="10">
        <v>45536</v>
      </c>
      <c r="I9" s="4">
        <v>113.92</v>
      </c>
      <c r="J9" s="4">
        <v>4.4279999999999999</v>
      </c>
      <c r="K9" s="4">
        <v>3.4470000000000001</v>
      </c>
      <c r="L9" s="4">
        <v>2.7770000000000001</v>
      </c>
      <c r="M9" s="2">
        <v>200</v>
      </c>
      <c r="N9" s="12">
        <f t="shared" si="0"/>
        <v>227840</v>
      </c>
      <c r="O9" s="1"/>
    </row>
    <row r="10" spans="1:20" ht="15.6" x14ac:dyDescent="0.3">
      <c r="A10" s="3" t="s">
        <v>34</v>
      </c>
      <c r="B10" s="2" t="s">
        <v>35</v>
      </c>
      <c r="C10" s="4" t="s">
        <v>25</v>
      </c>
      <c r="D10" s="9">
        <v>0.05</v>
      </c>
      <c r="E10" s="64">
        <v>5000</v>
      </c>
      <c r="F10" s="10">
        <v>46813</v>
      </c>
      <c r="G10" s="10">
        <v>42370</v>
      </c>
      <c r="H10" s="10">
        <v>46082</v>
      </c>
      <c r="I10" s="4">
        <v>116.617</v>
      </c>
      <c r="J10" s="4">
        <v>4.2619999999999996</v>
      </c>
      <c r="K10" s="4">
        <v>2.9660000000000002</v>
      </c>
      <c r="L10" s="4">
        <v>2.56</v>
      </c>
      <c r="M10" s="2">
        <v>200</v>
      </c>
      <c r="N10" s="12">
        <f t="shared" si="0"/>
        <v>233234</v>
      </c>
      <c r="O10" s="1"/>
    </row>
    <row r="11" spans="1:20" ht="15.6" x14ac:dyDescent="0.3">
      <c r="A11" s="3" t="s">
        <v>36</v>
      </c>
      <c r="B11" s="2" t="s">
        <v>37</v>
      </c>
      <c r="C11" s="4" t="s">
        <v>38</v>
      </c>
      <c r="D11" s="9">
        <v>0.05</v>
      </c>
      <c r="E11" s="64">
        <v>5000</v>
      </c>
      <c r="F11" s="10">
        <v>46813</v>
      </c>
      <c r="G11" s="10">
        <v>42278</v>
      </c>
      <c r="H11" s="10">
        <v>45717</v>
      </c>
      <c r="I11" s="4">
        <v>113.38800000000001</v>
      </c>
      <c r="J11" s="4">
        <v>4.3319999999999999</v>
      </c>
      <c r="K11" s="4">
        <v>3.169</v>
      </c>
      <c r="L11" s="4">
        <v>2.54</v>
      </c>
      <c r="M11" s="2">
        <v>200</v>
      </c>
      <c r="N11" s="12">
        <f t="shared" si="0"/>
        <v>226776</v>
      </c>
      <c r="O11" s="1"/>
    </row>
    <row r="12" spans="1:20" ht="15.6" x14ac:dyDescent="0.3">
      <c r="A12" s="11" t="s">
        <v>39</v>
      </c>
      <c r="B12" s="4" t="s">
        <v>40</v>
      </c>
      <c r="C12" s="4" t="s">
        <v>41</v>
      </c>
      <c r="D12" s="9">
        <v>4.6249999999999999E-2</v>
      </c>
      <c r="E12" s="64">
        <v>5000</v>
      </c>
      <c r="F12" s="10">
        <v>46827</v>
      </c>
      <c r="G12" s="10">
        <v>41518</v>
      </c>
      <c r="H12" s="10">
        <v>44635</v>
      </c>
      <c r="I12" s="2">
        <v>108</v>
      </c>
      <c r="J12" s="2">
        <v>4.2489999999999997</v>
      </c>
      <c r="K12" s="4">
        <v>3.5579999999999998</v>
      </c>
      <c r="L12" s="4">
        <v>2.2490000000000001</v>
      </c>
      <c r="M12" s="2">
        <v>200</v>
      </c>
      <c r="N12" s="12">
        <f t="shared" si="0"/>
        <v>216000</v>
      </c>
      <c r="O12" s="1"/>
    </row>
    <row r="13" spans="1:20" ht="15.6" x14ac:dyDescent="0.3">
      <c r="A13" s="11" t="s">
        <v>42</v>
      </c>
      <c r="B13" s="4" t="s">
        <v>43</v>
      </c>
      <c r="C13" s="4" t="s">
        <v>41</v>
      </c>
      <c r="D13" s="9">
        <v>0.04</v>
      </c>
      <c r="E13" s="64">
        <v>5000</v>
      </c>
      <c r="F13" s="10">
        <v>50496</v>
      </c>
      <c r="G13" s="10">
        <v>42437</v>
      </c>
      <c r="H13" s="10">
        <v>46113</v>
      </c>
      <c r="I13" s="4">
        <v>100.49</v>
      </c>
      <c r="J13" s="4">
        <v>3.9060000000000001</v>
      </c>
      <c r="K13" s="4">
        <v>3.827</v>
      </c>
      <c r="L13" s="4">
        <v>3.65</v>
      </c>
      <c r="M13" s="4">
        <v>245</v>
      </c>
      <c r="N13" s="12">
        <f t="shared" si="0"/>
        <v>246200.49999999994</v>
      </c>
      <c r="O13" s="1"/>
      <c r="T13" t="s">
        <v>44</v>
      </c>
    </row>
    <row r="14" spans="1:20" ht="15.6" x14ac:dyDescent="0.3">
      <c r="A14" s="11" t="s">
        <v>45</v>
      </c>
      <c r="B14" s="4" t="s">
        <v>46</v>
      </c>
      <c r="C14" s="4" t="s">
        <v>47</v>
      </c>
      <c r="D14" s="9">
        <v>0.05</v>
      </c>
      <c r="E14" s="64">
        <v>5000</v>
      </c>
      <c r="F14" s="10">
        <v>50632</v>
      </c>
      <c r="G14" s="10">
        <v>42993</v>
      </c>
      <c r="H14" s="10">
        <v>46614</v>
      </c>
      <c r="I14" s="4">
        <v>115.288</v>
      </c>
      <c r="J14" s="4">
        <v>4.2779999999999996</v>
      </c>
      <c r="K14" s="4">
        <v>3.8</v>
      </c>
      <c r="L14" s="4">
        <v>2.92</v>
      </c>
      <c r="M14" s="4">
        <v>195</v>
      </c>
      <c r="N14" s="12">
        <f t="shared" si="0"/>
        <v>224811.59999999998</v>
      </c>
      <c r="O14" s="1"/>
    </row>
    <row r="15" spans="1:20" ht="15.6" x14ac:dyDescent="0.3">
      <c r="A15" s="11" t="s">
        <v>48</v>
      </c>
      <c r="B15" s="4" t="s">
        <v>49</v>
      </c>
      <c r="C15" s="4" t="s">
        <v>38</v>
      </c>
      <c r="D15" s="9">
        <v>4.4999999999999998E-2</v>
      </c>
      <c r="E15" s="64">
        <v>5000</v>
      </c>
      <c r="F15" s="10">
        <v>50724</v>
      </c>
      <c r="G15" s="10">
        <v>42437</v>
      </c>
      <c r="H15" s="10">
        <v>46341</v>
      </c>
      <c r="I15" s="4">
        <v>109.29900000000001</v>
      </c>
      <c r="J15" s="4">
        <v>4.1109999999999998</v>
      </c>
      <c r="K15" s="4">
        <v>3.8319999999999999</v>
      </c>
      <c r="L15" s="4">
        <v>3.23</v>
      </c>
      <c r="M15" s="4">
        <v>205</v>
      </c>
      <c r="N15" s="12">
        <f t="shared" si="0"/>
        <v>224062.95000000004</v>
      </c>
      <c r="O15" s="1"/>
    </row>
    <row r="16" spans="1:20" ht="15.6" x14ac:dyDescent="0.3">
      <c r="A16" s="11" t="s">
        <v>50</v>
      </c>
      <c r="B16" s="4" t="s">
        <v>51</v>
      </c>
      <c r="C16" s="4" t="s">
        <v>38</v>
      </c>
      <c r="D16" s="9">
        <v>0.05</v>
      </c>
      <c r="E16" s="64">
        <v>5000</v>
      </c>
      <c r="F16" s="10">
        <v>50679</v>
      </c>
      <c r="G16" s="10">
        <v>43076</v>
      </c>
      <c r="H16" s="10">
        <v>46661</v>
      </c>
      <c r="I16" s="4">
        <v>116.554</v>
      </c>
      <c r="J16" s="4">
        <v>4.29</v>
      </c>
      <c r="K16" s="4">
        <v>3.827</v>
      </c>
      <c r="L16" s="4">
        <v>2.98</v>
      </c>
      <c r="M16" s="4">
        <v>255</v>
      </c>
      <c r="N16" s="12">
        <f t="shared" si="0"/>
        <v>297212.7</v>
      </c>
      <c r="O16" s="1"/>
    </row>
    <row r="17" spans="1:15" ht="15.6" x14ac:dyDescent="0.3">
      <c r="A17" s="11" t="s">
        <v>52</v>
      </c>
      <c r="B17" s="4" t="s">
        <v>53</v>
      </c>
      <c r="C17" s="4" t="s">
        <v>54</v>
      </c>
      <c r="D17" s="9">
        <v>0.05</v>
      </c>
      <c r="E17" s="64">
        <v>5000</v>
      </c>
      <c r="F17" s="10">
        <v>54377</v>
      </c>
      <c r="G17" s="10">
        <v>43132</v>
      </c>
      <c r="H17" s="10">
        <v>46888</v>
      </c>
      <c r="I17" s="4">
        <v>104.04</v>
      </c>
      <c r="J17" s="4">
        <v>3.8279999999999998</v>
      </c>
      <c r="K17" s="62">
        <v>3.7530000000000001</v>
      </c>
      <c r="L17" s="4">
        <v>3.47</v>
      </c>
      <c r="M17" s="4">
        <v>250</v>
      </c>
      <c r="N17" s="12">
        <f>(E17)*(I17/100)*(M17/5)</f>
        <v>260100</v>
      </c>
      <c r="O17" s="1"/>
    </row>
    <row r="18" spans="1:15" ht="15.6" x14ac:dyDescent="0.3">
      <c r="A18" s="11" t="s">
        <v>55</v>
      </c>
      <c r="B18" s="4" t="s">
        <v>56</v>
      </c>
      <c r="C18" s="4" t="s">
        <v>20</v>
      </c>
      <c r="D18" s="9">
        <v>0.05</v>
      </c>
      <c r="E18" s="64">
        <v>5000</v>
      </c>
      <c r="F18" s="10">
        <v>51271</v>
      </c>
      <c r="G18" s="10">
        <v>40087</v>
      </c>
      <c r="H18" s="10">
        <v>43784</v>
      </c>
      <c r="I18" s="4">
        <v>104.943</v>
      </c>
      <c r="J18" s="4">
        <v>4.7640000000000002</v>
      </c>
      <c r="K18" s="4">
        <v>1.802</v>
      </c>
      <c r="L18" s="4">
        <v>1.802</v>
      </c>
      <c r="M18" s="63">
        <v>245</v>
      </c>
      <c r="N18" s="12">
        <f t="shared" si="0"/>
        <v>257110.35000000003</v>
      </c>
      <c r="O18" s="1"/>
    </row>
    <row r="19" spans="1:15" ht="16.2" thickBot="1" x14ac:dyDescent="0.35">
      <c r="A19" s="15" t="s">
        <v>57</v>
      </c>
      <c r="B19" s="16" t="s">
        <v>58</v>
      </c>
      <c r="C19" s="16" t="s">
        <v>59</v>
      </c>
      <c r="D19" s="17">
        <v>3.5000000000000003E-2</v>
      </c>
      <c r="E19" s="71">
        <v>5000</v>
      </c>
      <c r="F19" s="18">
        <v>51957</v>
      </c>
      <c r="G19" s="18">
        <v>42689</v>
      </c>
      <c r="H19" s="18">
        <v>51957</v>
      </c>
      <c r="I19" s="16">
        <v>95.308000000000007</v>
      </c>
      <c r="J19" s="16">
        <v>3.6720000000000002</v>
      </c>
      <c r="K19" s="16">
        <v>3.8</v>
      </c>
      <c r="L19" s="16">
        <v>3.8</v>
      </c>
      <c r="M19" s="16">
        <v>200</v>
      </c>
      <c r="N19" s="19">
        <f t="shared" si="0"/>
        <v>190616.00000000003</v>
      </c>
      <c r="O19" s="1"/>
    </row>
    <row r="20" spans="1:15" ht="18" x14ac:dyDescent="0.3">
      <c r="A20" s="22" t="s">
        <v>60</v>
      </c>
      <c r="B20" s="23"/>
      <c r="C20" s="23"/>
      <c r="D20" s="24">
        <f>SUBTOTAL(101,D2:D19)</f>
        <v>4.8125000000000008E-2</v>
      </c>
      <c r="E20" s="65">
        <v>5000</v>
      </c>
      <c r="F20" s="23"/>
      <c r="G20" s="23"/>
      <c r="H20" s="23"/>
      <c r="I20" s="25">
        <f>SUBTOTAL(101,I2:I19)</f>
        <v>109.03716666666666</v>
      </c>
      <c r="J20" s="25">
        <f>AVERAGE(J2:J19)</f>
        <v>4.2974999999999994</v>
      </c>
      <c r="K20" s="25">
        <f>SUBTOTAL(101,K2:K19)</f>
        <v>2.8089444444444442</v>
      </c>
      <c r="L20" s="25">
        <f>SUBTOTAL(101,L2:L19)</f>
        <v>2.4865555555555545</v>
      </c>
      <c r="M20" s="26">
        <f>AVERAGE(M2:M19)</f>
        <v>229.16666666666666</v>
      </c>
      <c r="N20" s="27">
        <f>AVERAGE(N2:N19)</f>
        <v>249875.0305555556</v>
      </c>
      <c r="O20" s="1"/>
    </row>
    <row r="21" spans="1:15" ht="18.600000000000001" thickBot="1" x14ac:dyDescent="0.35">
      <c r="A21" s="5" t="s">
        <v>61</v>
      </c>
      <c r="B21" s="6"/>
      <c r="C21" s="6"/>
      <c r="D21" s="7"/>
      <c r="E21" s="6"/>
      <c r="F21" s="6"/>
      <c r="G21" s="6"/>
      <c r="H21" s="6"/>
      <c r="I21" s="6"/>
      <c r="J21" s="6"/>
      <c r="K21" s="6"/>
      <c r="L21" s="6"/>
      <c r="M21" s="14">
        <f>SUM(M2:M19)</f>
        <v>4125</v>
      </c>
      <c r="N21" s="8">
        <f>SUM(N2:N19)</f>
        <v>4497750.5500000007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showGridLines="0" zoomScaleNormal="100" workbookViewId="0">
      <selection activeCell="G3" sqref="G3"/>
    </sheetView>
  </sheetViews>
  <sheetFormatPr defaultColWidth="8.77734375" defaultRowHeight="14.4" x14ac:dyDescent="0.3"/>
  <cols>
    <col min="1" max="1" width="73.44140625" customWidth="1"/>
    <col min="2" max="2" width="13.77734375" customWidth="1"/>
    <col min="3" max="3" width="17.6640625" bestFit="1" customWidth="1"/>
    <col min="4" max="4" width="9.109375" bestFit="1" customWidth="1"/>
    <col min="5" max="5" width="22.77734375" customWidth="1"/>
    <col min="6" max="7" width="20.77734375" customWidth="1"/>
    <col min="9" max="9" width="13.77734375" bestFit="1" customWidth="1"/>
    <col min="11" max="11" width="16.44140625" bestFit="1" customWidth="1"/>
  </cols>
  <sheetData>
    <row r="1" spans="1:13" ht="18.600000000000001" thickBot="1" x14ac:dyDescent="0.4">
      <c r="A1" s="21" t="s">
        <v>62</v>
      </c>
      <c r="B1" s="21" t="s">
        <v>1</v>
      </c>
      <c r="C1" s="21" t="s">
        <v>63</v>
      </c>
      <c r="D1" s="101" t="s">
        <v>64</v>
      </c>
      <c r="E1" s="101" t="s">
        <v>110</v>
      </c>
      <c r="F1" s="101" t="s">
        <v>65</v>
      </c>
      <c r="G1" s="101" t="s">
        <v>66</v>
      </c>
      <c r="I1" s="87"/>
      <c r="J1" s="87"/>
      <c r="K1" s="90"/>
      <c r="L1" s="87"/>
      <c r="M1" s="87"/>
    </row>
    <row r="2" spans="1:13" ht="15.6" x14ac:dyDescent="0.3">
      <c r="A2" s="75" t="s">
        <v>14</v>
      </c>
      <c r="B2" s="76" t="s">
        <v>67</v>
      </c>
      <c r="C2" s="76">
        <v>245</v>
      </c>
      <c r="D2" s="74">
        <v>105.85</v>
      </c>
      <c r="E2" s="81">
        <f>(Table3[[#This Row],[Px]]/100)*245000</f>
        <v>259332.5</v>
      </c>
      <c r="F2" s="82">
        <v>2989.58</v>
      </c>
      <c r="G2" s="83">
        <f>SUM(E2:F2)</f>
        <v>262322.08</v>
      </c>
      <c r="H2" s="60"/>
      <c r="I2" s="91"/>
      <c r="J2" s="87"/>
      <c r="K2" s="92"/>
      <c r="L2" s="87"/>
      <c r="M2" s="87"/>
    </row>
    <row r="3" spans="1:13" ht="15.6" x14ac:dyDescent="0.3">
      <c r="A3" s="75" t="s">
        <v>18</v>
      </c>
      <c r="B3" s="76" t="s">
        <v>19</v>
      </c>
      <c r="C3" s="76">
        <v>250</v>
      </c>
      <c r="D3" s="74">
        <v>105.96899999999999</v>
      </c>
      <c r="E3" s="81">
        <f>(Table3[[#This Row],[Px]]/100)*250000</f>
        <v>264922.5</v>
      </c>
      <c r="F3" s="82">
        <v>2989.58</v>
      </c>
      <c r="G3" s="83">
        <f>SUM(E3:F3)</f>
        <v>267912.08</v>
      </c>
      <c r="H3" s="60"/>
      <c r="I3" s="91"/>
      <c r="J3" s="87"/>
      <c r="K3" s="92"/>
      <c r="L3" s="87"/>
      <c r="M3" s="87"/>
    </row>
    <row r="4" spans="1:13" ht="15.6" x14ac:dyDescent="0.3">
      <c r="A4" s="75" t="s">
        <v>21</v>
      </c>
      <c r="B4" s="76" t="s">
        <v>22</v>
      </c>
      <c r="C4" s="76">
        <v>215</v>
      </c>
      <c r="D4" s="74">
        <v>107.28</v>
      </c>
      <c r="E4" s="81">
        <f>(Table3[[#This Row],[Px]]/100)*215000</f>
        <v>230652</v>
      </c>
      <c r="F4" s="82">
        <v>3941.67</v>
      </c>
      <c r="G4" s="83">
        <f t="shared" ref="G4:G18" si="0">SUM(E4:F4)</f>
        <v>234593.67</v>
      </c>
      <c r="H4" s="60"/>
      <c r="I4" s="91"/>
      <c r="J4" s="87"/>
      <c r="K4" s="92"/>
      <c r="L4" s="87"/>
      <c r="M4" s="87"/>
    </row>
    <row r="5" spans="1:13" ht="15.6" x14ac:dyDescent="0.3">
      <c r="A5" s="75" t="s">
        <v>23</v>
      </c>
      <c r="B5" s="76" t="s">
        <v>24</v>
      </c>
      <c r="C5" s="76">
        <v>215</v>
      </c>
      <c r="D5" s="74">
        <v>107.131</v>
      </c>
      <c r="E5" s="81">
        <f>(Table3[[#This Row],[Px]]/100)*215000</f>
        <v>230331.65</v>
      </c>
      <c r="F5" s="82">
        <v>3941.67</v>
      </c>
      <c r="G5" s="83">
        <f t="shared" si="0"/>
        <v>234273.32</v>
      </c>
      <c r="H5" s="60"/>
      <c r="I5" s="91"/>
      <c r="J5" s="87"/>
      <c r="K5" s="92"/>
      <c r="L5" s="87"/>
      <c r="M5" s="87"/>
    </row>
    <row r="6" spans="1:13" ht="15.6" x14ac:dyDescent="0.3">
      <c r="A6" s="3" t="s">
        <v>68</v>
      </c>
      <c r="B6" s="2" t="s">
        <v>27</v>
      </c>
      <c r="C6" s="2">
        <v>275</v>
      </c>
      <c r="D6" s="2">
        <v>113.59399999999999</v>
      </c>
      <c r="E6" s="81">
        <f>(Table3[[#This Row],[Px]]/100)*275000</f>
        <v>312383.5</v>
      </c>
      <c r="F6" s="45">
        <v>2291.67</v>
      </c>
      <c r="G6" s="83">
        <f t="shared" si="0"/>
        <v>314675.17</v>
      </c>
      <c r="I6" s="87"/>
      <c r="J6" s="87"/>
      <c r="K6" s="93"/>
      <c r="L6" s="87"/>
      <c r="M6" s="87"/>
    </row>
    <row r="7" spans="1:13" ht="15.6" x14ac:dyDescent="0.3">
      <c r="A7" s="3" t="s">
        <v>28</v>
      </c>
      <c r="B7" s="2" t="s">
        <v>29</v>
      </c>
      <c r="C7" s="2">
        <v>275</v>
      </c>
      <c r="D7" s="2">
        <v>112.09699999999999</v>
      </c>
      <c r="E7" s="81">
        <f>(Table3[[#This Row],[Px]]/100)*275000</f>
        <v>308266.75</v>
      </c>
      <c r="F7" s="45">
        <v>2291.67</v>
      </c>
      <c r="G7" s="83">
        <f t="shared" si="0"/>
        <v>310558.42</v>
      </c>
      <c r="I7" s="87"/>
      <c r="J7" s="87"/>
      <c r="K7" s="93"/>
      <c r="L7" s="87"/>
      <c r="M7" s="87"/>
    </row>
    <row r="8" spans="1:13" ht="15.6" x14ac:dyDescent="0.3">
      <c r="A8" s="3" t="s">
        <v>30</v>
      </c>
      <c r="B8" s="2" t="s">
        <v>31</v>
      </c>
      <c r="C8" s="2">
        <v>255</v>
      </c>
      <c r="D8" s="2">
        <v>112.901</v>
      </c>
      <c r="E8" s="81">
        <f>(Table3[[#This Row],[Px]]/100)*255000</f>
        <v>287897.55000000005</v>
      </c>
      <c r="F8" s="45">
        <v>2125</v>
      </c>
      <c r="G8" s="83">
        <f t="shared" si="0"/>
        <v>290022.55000000005</v>
      </c>
      <c r="I8" s="87"/>
      <c r="J8" s="87"/>
      <c r="K8" s="93"/>
      <c r="L8" s="87"/>
      <c r="M8" s="87"/>
    </row>
    <row r="9" spans="1:13" ht="15.6" x14ac:dyDescent="0.3">
      <c r="A9" s="3" t="s">
        <v>69</v>
      </c>
      <c r="B9" s="2" t="s">
        <v>70</v>
      </c>
      <c r="C9" s="2">
        <v>200</v>
      </c>
      <c r="D9" s="2">
        <v>116.133</v>
      </c>
      <c r="E9" s="81">
        <f>(Table3[[#This Row],[Px]]/100)*200000</f>
        <v>232266</v>
      </c>
      <c r="F9" s="45">
        <v>1250</v>
      </c>
      <c r="G9" s="83">
        <f t="shared" si="0"/>
        <v>233516</v>
      </c>
      <c r="I9" s="87"/>
      <c r="J9" s="87"/>
      <c r="K9" s="93"/>
      <c r="L9" s="87"/>
      <c r="M9" s="87"/>
    </row>
    <row r="10" spans="1:13" ht="15.6" x14ac:dyDescent="0.3">
      <c r="A10" s="3" t="s">
        <v>34</v>
      </c>
      <c r="B10" s="2" t="s">
        <v>35</v>
      </c>
      <c r="C10" s="2">
        <v>200</v>
      </c>
      <c r="D10" s="2">
        <v>116.617</v>
      </c>
      <c r="E10" s="81">
        <f>(Table3[[#This Row],[Px]]/100)*200000</f>
        <v>233234.00000000003</v>
      </c>
      <c r="F10" s="45">
        <v>1250</v>
      </c>
      <c r="G10" s="83">
        <f t="shared" si="0"/>
        <v>234484.00000000003</v>
      </c>
      <c r="I10" s="87"/>
      <c r="J10" s="87"/>
      <c r="K10" s="93"/>
      <c r="L10" s="87"/>
      <c r="M10" s="87"/>
    </row>
    <row r="11" spans="1:13" ht="15.6" x14ac:dyDescent="0.3">
      <c r="A11" s="3" t="s">
        <v>71</v>
      </c>
      <c r="B11" s="2" t="s">
        <v>72</v>
      </c>
      <c r="C11" s="2">
        <v>200</v>
      </c>
      <c r="D11" s="2">
        <v>113.12</v>
      </c>
      <c r="E11" s="81">
        <f>(Table3[[#This Row],[Px]]/100)*200000</f>
        <v>226240</v>
      </c>
      <c r="F11" s="45">
        <v>1250</v>
      </c>
      <c r="G11" s="83">
        <f t="shared" si="0"/>
        <v>227490</v>
      </c>
      <c r="I11" s="87"/>
      <c r="J11" s="87"/>
      <c r="K11" s="93"/>
      <c r="L11" s="87"/>
      <c r="M11" s="87"/>
    </row>
    <row r="12" spans="1:13" ht="15.6" x14ac:dyDescent="0.3">
      <c r="A12" s="61" t="s">
        <v>39</v>
      </c>
      <c r="B12" s="2" t="s">
        <v>40</v>
      </c>
      <c r="C12" s="2">
        <v>200</v>
      </c>
      <c r="D12" s="2">
        <v>108</v>
      </c>
      <c r="E12" s="81">
        <f>(Table3[[#This Row],[Px]]/100)*200000</f>
        <v>216000</v>
      </c>
      <c r="F12" s="45">
        <v>861.11</v>
      </c>
      <c r="G12" s="83">
        <f t="shared" si="0"/>
        <v>216861.11</v>
      </c>
      <c r="I12" s="87"/>
      <c r="J12" s="87"/>
      <c r="K12" s="93"/>
      <c r="L12" s="87"/>
      <c r="M12" s="87"/>
    </row>
    <row r="13" spans="1:13" ht="15.6" x14ac:dyDescent="0.3">
      <c r="A13" s="3" t="s">
        <v>42</v>
      </c>
      <c r="B13" s="2" t="s">
        <v>43</v>
      </c>
      <c r="C13" s="2">
        <v>245</v>
      </c>
      <c r="D13" s="4">
        <v>100.49</v>
      </c>
      <c r="E13" s="81">
        <f>(Table3[[#This Row],[Px]]/100)*245000</f>
        <v>246200.49999999997</v>
      </c>
      <c r="F13" s="45">
        <v>408.33</v>
      </c>
      <c r="G13" s="83">
        <f t="shared" si="0"/>
        <v>246608.82999999996</v>
      </c>
      <c r="I13" s="87"/>
      <c r="J13" s="87"/>
      <c r="K13" s="93"/>
      <c r="L13" s="87"/>
      <c r="M13" s="87"/>
    </row>
    <row r="14" spans="1:13" ht="15.6" x14ac:dyDescent="0.3">
      <c r="A14" s="11" t="s">
        <v>45</v>
      </c>
      <c r="B14" s="2" t="s">
        <v>51</v>
      </c>
      <c r="C14" s="2">
        <v>195</v>
      </c>
      <c r="D14" s="4">
        <v>115.288</v>
      </c>
      <c r="E14" s="81">
        <f>(Table3[[#This Row],[Px]]/100)*195000</f>
        <v>224811.59999999998</v>
      </c>
      <c r="F14" s="45">
        <v>1652.08</v>
      </c>
      <c r="G14" s="83">
        <f t="shared" si="0"/>
        <v>226463.67999999996</v>
      </c>
      <c r="I14" s="87"/>
      <c r="J14" s="87"/>
      <c r="K14" s="93"/>
      <c r="L14" s="87"/>
      <c r="M14" s="87"/>
    </row>
    <row r="15" spans="1:13" ht="15.6" x14ac:dyDescent="0.3">
      <c r="A15" s="11" t="s">
        <v>48</v>
      </c>
      <c r="B15" s="2" t="s">
        <v>73</v>
      </c>
      <c r="C15" s="2">
        <v>205</v>
      </c>
      <c r="D15" s="4">
        <v>109.29900000000001</v>
      </c>
      <c r="E15" s="81">
        <f>(Table3[[#This Row],[Px]]/100)*205000</f>
        <v>224062.95000000004</v>
      </c>
      <c r="F15" s="45">
        <v>4299.3100000000004</v>
      </c>
      <c r="G15" s="83">
        <f t="shared" si="0"/>
        <v>228362.26000000004</v>
      </c>
      <c r="I15" s="87"/>
      <c r="J15" s="87"/>
      <c r="K15" s="93"/>
      <c r="L15" s="87"/>
      <c r="M15" s="87"/>
    </row>
    <row r="16" spans="1:13" ht="15.6" x14ac:dyDescent="0.3">
      <c r="A16" s="3" t="s">
        <v>74</v>
      </c>
      <c r="B16" s="2" t="s">
        <v>75</v>
      </c>
      <c r="C16" s="2">
        <v>255</v>
      </c>
      <c r="D16" s="4">
        <v>116.554</v>
      </c>
      <c r="E16" s="81">
        <f>(Table3[[#This Row],[Px]]/100)*255000</f>
        <v>297212.7</v>
      </c>
      <c r="F16" s="45">
        <v>531.25</v>
      </c>
      <c r="G16" s="83">
        <f t="shared" si="0"/>
        <v>297743.95</v>
      </c>
      <c r="I16" s="87"/>
      <c r="J16" s="87"/>
      <c r="K16" s="93"/>
      <c r="L16" s="87"/>
      <c r="M16" s="87"/>
    </row>
    <row r="17" spans="1:13" ht="15.6" x14ac:dyDescent="0.3">
      <c r="A17" s="11" t="s">
        <v>52</v>
      </c>
      <c r="B17" s="4" t="s">
        <v>53</v>
      </c>
      <c r="C17" s="2">
        <v>250</v>
      </c>
      <c r="D17" s="4">
        <v>104.04</v>
      </c>
      <c r="E17" s="81">
        <f>(Table3[[#This Row],[Px]]/100)*245000</f>
        <v>254898</v>
      </c>
      <c r="F17" s="45">
        <v>5243.06</v>
      </c>
      <c r="G17" s="83">
        <f t="shared" si="0"/>
        <v>260141.06</v>
      </c>
      <c r="I17" s="87"/>
      <c r="J17" s="87"/>
      <c r="K17" s="93"/>
      <c r="L17" s="87"/>
      <c r="M17" s="87"/>
    </row>
    <row r="18" spans="1:13" ht="15.6" x14ac:dyDescent="0.3">
      <c r="A18" s="3" t="s">
        <v>55</v>
      </c>
      <c r="B18" s="2" t="s">
        <v>56</v>
      </c>
      <c r="C18" s="2">
        <v>245</v>
      </c>
      <c r="D18" s="2">
        <v>104.943</v>
      </c>
      <c r="E18" s="81">
        <f>(Table3[[#This Row],[Px]]/100)*245000</f>
        <v>257110.35000000003</v>
      </c>
      <c r="F18" s="45">
        <v>5138.1899999999996</v>
      </c>
      <c r="G18" s="83">
        <f t="shared" si="0"/>
        <v>262248.54000000004</v>
      </c>
      <c r="I18" s="87"/>
      <c r="J18" s="87"/>
      <c r="K18" s="93"/>
      <c r="L18" s="87"/>
      <c r="M18" s="87"/>
    </row>
    <row r="19" spans="1:13" ht="16.2" thickBot="1" x14ac:dyDescent="0.35">
      <c r="A19" s="15" t="s">
        <v>57</v>
      </c>
      <c r="B19" s="16" t="s">
        <v>58</v>
      </c>
      <c r="C19" s="16">
        <v>200</v>
      </c>
      <c r="D19" s="16">
        <v>95.308000000000007</v>
      </c>
      <c r="E19" s="107">
        <f>(Table3[[#This Row],[Px]]/100)*200000</f>
        <v>190616</v>
      </c>
      <c r="F19" s="46">
        <v>291.67</v>
      </c>
      <c r="G19" s="110">
        <f>SUM(E19:F19)</f>
        <v>190907.67</v>
      </c>
      <c r="I19" s="87"/>
      <c r="J19" s="87"/>
      <c r="K19" s="93"/>
      <c r="L19" s="87"/>
      <c r="M19" s="87"/>
    </row>
    <row r="20" spans="1:13" ht="16.2" thickBot="1" x14ac:dyDescent="0.35">
      <c r="A20" s="28" t="s">
        <v>61</v>
      </c>
      <c r="B20" s="13"/>
      <c r="C20" s="13">
        <f>SUM(C2:C19)</f>
        <v>4125</v>
      </c>
      <c r="D20" s="13"/>
      <c r="E20" s="108">
        <f>SUM(E2:E19)</f>
        <v>4496438.5500000007</v>
      </c>
      <c r="F20" s="47">
        <f>SUM(F2:F19)</f>
        <v>42745.840000000004</v>
      </c>
      <c r="G20" s="48">
        <f>SUM(G2:G19)</f>
        <v>4539184.3900000006</v>
      </c>
      <c r="I20" s="87"/>
      <c r="J20" s="87"/>
      <c r="K20" s="93"/>
      <c r="L20" s="87"/>
      <c r="M20" s="87"/>
    </row>
    <row r="21" spans="1:13" ht="16.2" thickTop="1" x14ac:dyDescent="0.3">
      <c r="A21" s="94"/>
      <c r="B21" s="95"/>
      <c r="C21" s="95"/>
      <c r="D21" s="95"/>
      <c r="E21" s="96"/>
      <c r="F21" s="97"/>
      <c r="G21" s="98"/>
      <c r="H21" s="86"/>
      <c r="I21" s="87"/>
      <c r="J21" s="87"/>
      <c r="K21" s="87"/>
      <c r="L21" s="87"/>
      <c r="M21" s="87"/>
    </row>
    <row r="22" spans="1:13" x14ac:dyDescent="0.3">
      <c r="A22" s="86"/>
      <c r="B22" s="86"/>
      <c r="C22" s="86"/>
      <c r="D22" s="86"/>
      <c r="E22" s="86"/>
      <c r="F22" s="86"/>
      <c r="G22" s="86"/>
      <c r="H22" s="86"/>
      <c r="I22" s="87"/>
      <c r="J22" s="87"/>
      <c r="K22" s="87"/>
      <c r="L22" s="87"/>
      <c r="M22" s="87"/>
    </row>
    <row r="23" spans="1:13" x14ac:dyDescent="0.3">
      <c r="A23" t="s">
        <v>44</v>
      </c>
      <c r="I23" s="87"/>
      <c r="J23" s="87"/>
      <c r="K23" s="87"/>
      <c r="L23" s="87"/>
      <c r="M23" s="87"/>
    </row>
    <row r="24" spans="1:13" x14ac:dyDescent="0.3">
      <c r="I24" s="87"/>
      <c r="J24" s="87"/>
      <c r="K24" s="87"/>
      <c r="L24" s="87"/>
      <c r="M24" s="87"/>
    </row>
    <row r="25" spans="1:13" x14ac:dyDescent="0.3">
      <c r="I25" s="87"/>
      <c r="J25" s="87"/>
      <c r="K25" s="87"/>
      <c r="L25" s="87"/>
      <c r="M25" s="87"/>
    </row>
    <row r="26" spans="1:13" x14ac:dyDescent="0.3">
      <c r="F26" s="109"/>
    </row>
    <row r="29" spans="1:13" x14ac:dyDescent="0.3">
      <c r="F29" s="59"/>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showGridLines="0" zoomScaleNormal="100" workbookViewId="0">
      <selection activeCell="T19" sqref="T19"/>
    </sheetView>
  </sheetViews>
  <sheetFormatPr defaultColWidth="8.77734375" defaultRowHeight="14.4" x14ac:dyDescent="0.3"/>
  <cols>
    <col min="1" max="1" width="60.77734375" customWidth="1"/>
    <col min="2" max="2" width="13.77734375" bestFit="1" customWidth="1"/>
    <col min="3" max="14" width="12.77734375" customWidth="1"/>
    <col min="15" max="15" width="15.77734375" customWidth="1"/>
    <col min="16" max="16" width="12.77734375" customWidth="1"/>
  </cols>
  <sheetData>
    <row r="1" spans="1:15" ht="18.600000000000001" thickBot="1" x14ac:dyDescent="0.35">
      <c r="A1" s="35" t="s">
        <v>0</v>
      </c>
      <c r="B1" s="36" t="s">
        <v>1</v>
      </c>
      <c r="C1" s="20" t="s">
        <v>76</v>
      </c>
      <c r="D1" s="20" t="s">
        <v>77</v>
      </c>
      <c r="E1" s="20" t="s">
        <v>78</v>
      </c>
      <c r="F1" s="20" t="s">
        <v>79</v>
      </c>
      <c r="G1" s="20" t="s">
        <v>80</v>
      </c>
      <c r="H1" s="20" t="s">
        <v>81</v>
      </c>
      <c r="I1" s="20" t="s">
        <v>82</v>
      </c>
      <c r="J1" s="20" t="s">
        <v>83</v>
      </c>
      <c r="K1" s="20" t="s">
        <v>84</v>
      </c>
      <c r="L1" s="20" t="s">
        <v>85</v>
      </c>
      <c r="M1" s="20" t="s">
        <v>86</v>
      </c>
      <c r="N1" s="20" t="s">
        <v>87</v>
      </c>
      <c r="O1" s="20" t="s">
        <v>88</v>
      </c>
    </row>
    <row r="2" spans="1:15" ht="15.6" x14ac:dyDescent="0.3">
      <c r="A2" s="75" t="s">
        <v>14</v>
      </c>
      <c r="B2" s="76" t="s">
        <v>15</v>
      </c>
      <c r="C2" s="84">
        <f>(Table2[[#This Row],[Coupon]])*(Table2[[#This Row],[Qty (in 1000s)]]*1000)/2</f>
        <v>6125</v>
      </c>
      <c r="D2" s="84"/>
      <c r="E2" s="84"/>
      <c r="F2" s="84"/>
      <c r="G2" s="84"/>
      <c r="H2" s="84"/>
      <c r="I2" s="84">
        <f>(Table2[[#This Row],[Coupon]])*(Table2[[#This Row],[Qty (in 1000s)]]*1000)/2</f>
        <v>6125</v>
      </c>
      <c r="J2" s="84"/>
      <c r="K2" s="84"/>
      <c r="L2" s="84"/>
      <c r="M2" s="84"/>
      <c r="N2" s="84"/>
      <c r="O2" s="84">
        <f>SUM(C$2:N$2)</f>
        <v>12250</v>
      </c>
    </row>
    <row r="3" spans="1:15" ht="15.6" x14ac:dyDescent="0.3">
      <c r="A3" s="75" t="s">
        <v>18</v>
      </c>
      <c r="B3" s="76" t="s">
        <v>19</v>
      </c>
      <c r="C3" s="84">
        <f>(Table2[[#This Row],[Coupon]])*(Table2[[#This Row],[Qty (in 1000s)]]*1000)/2</f>
        <v>6250</v>
      </c>
      <c r="D3" s="85"/>
      <c r="E3" s="84"/>
      <c r="F3" s="84"/>
      <c r="G3" s="84"/>
      <c r="H3" s="84"/>
      <c r="I3" s="84">
        <f>(Table2[[#This Row],[Coupon]])*(Table2[[#This Row],[Qty (in 1000s)]]*1000)/2</f>
        <v>6250</v>
      </c>
      <c r="J3" s="85"/>
      <c r="K3" s="84"/>
      <c r="L3" s="84"/>
      <c r="M3" s="84"/>
      <c r="N3" s="84"/>
      <c r="O3" s="84">
        <f>C3+I3</f>
        <v>12500</v>
      </c>
    </row>
    <row r="4" spans="1:15" ht="15.6" x14ac:dyDescent="0.3">
      <c r="A4" s="75" t="s">
        <v>21</v>
      </c>
      <c r="B4" s="76" t="s">
        <v>22</v>
      </c>
      <c r="C4" s="84"/>
      <c r="D4" s="84"/>
      <c r="E4" s="85"/>
      <c r="F4" s="84"/>
      <c r="G4" s="84"/>
      <c r="H4" s="84">
        <f>(Table2[[#This Row],[Coupon]])*(Table2[[#This Row],[Qty (in 1000s)]]*1000)/2</f>
        <v>5375</v>
      </c>
      <c r="I4" s="84"/>
      <c r="J4" s="84"/>
      <c r="K4" s="85"/>
      <c r="L4" s="84"/>
      <c r="M4" s="84"/>
      <c r="N4" s="84">
        <f>(Table2[[#This Row],[Coupon]])*(Table2[[#This Row],[Qty (in 1000s)]]*1000)/2</f>
        <v>5375</v>
      </c>
      <c r="O4" s="84">
        <f>H4+N4</f>
        <v>10750</v>
      </c>
    </row>
    <row r="5" spans="1:15" ht="15.6" x14ac:dyDescent="0.3">
      <c r="A5" s="75" t="s">
        <v>23</v>
      </c>
      <c r="B5" s="76" t="s">
        <v>24</v>
      </c>
      <c r="C5" s="84"/>
      <c r="D5" s="84"/>
      <c r="E5" s="84"/>
      <c r="F5" s="85"/>
      <c r="G5" s="84"/>
      <c r="H5" s="84">
        <f>(Table2[[#This Row],[Coupon]])*(Table2[[#This Row],[Qty (in 1000s)]]*1000)/2</f>
        <v>5375</v>
      </c>
      <c r="I5" s="84"/>
      <c r="J5" s="84"/>
      <c r="K5" s="84"/>
      <c r="L5" s="85"/>
      <c r="M5" s="84"/>
      <c r="N5" s="84">
        <f>(Table2[[#This Row],[Coupon]])*(Table2[[#This Row],[Qty (in 1000s)]]*1000)/2</f>
        <v>5375</v>
      </c>
      <c r="O5" s="84">
        <f>H5+N5</f>
        <v>10750</v>
      </c>
    </row>
    <row r="6" spans="1:15" ht="15.6" x14ac:dyDescent="0.3">
      <c r="A6" s="37" t="s">
        <v>26</v>
      </c>
      <c r="B6" s="38" t="s">
        <v>27</v>
      </c>
      <c r="C6" s="29"/>
      <c r="D6" s="29">
        <f>(Table2[[#This Row],[Coupon]])*(Table2[[#This Row],[Qty (in 1000s)]]*1000)/2</f>
        <v>6875</v>
      </c>
      <c r="E6" s="29"/>
      <c r="F6" s="29"/>
      <c r="H6" s="29"/>
      <c r="I6" s="29"/>
      <c r="J6" s="29">
        <f>(Table2[[#This Row],[Coupon]])*(Table2[[#This Row],[Qty (in 1000s)]]*1000)/2</f>
        <v>6875</v>
      </c>
      <c r="K6" s="29"/>
      <c r="L6" s="29"/>
      <c r="N6" s="29"/>
      <c r="O6" s="29">
        <f>D6+J6</f>
        <v>13750</v>
      </c>
    </row>
    <row r="7" spans="1:15" ht="15.6" x14ac:dyDescent="0.3">
      <c r="A7" s="39" t="s">
        <v>28</v>
      </c>
      <c r="B7" s="40" t="s">
        <v>29</v>
      </c>
      <c r="C7" s="29"/>
      <c r="D7" s="29">
        <f>(Table2[[#This Row],[Coupon]])*(Table2[[#This Row],[Qty (in 1000s)]]*1000)/2</f>
        <v>6875</v>
      </c>
      <c r="E7" s="29"/>
      <c r="F7" s="29"/>
      <c r="G7" s="29"/>
      <c r="I7" s="29"/>
      <c r="J7" s="29">
        <f>(Table2[[#This Row],[Coupon]])*(Table2[[#This Row],[Qty (in 1000s)]]*1000)/2</f>
        <v>6875</v>
      </c>
      <c r="K7" s="29"/>
      <c r="L7" s="29"/>
      <c r="M7" s="29"/>
      <c r="O7" s="29">
        <f>D7+J7</f>
        <v>13750</v>
      </c>
    </row>
    <row r="8" spans="1:15" ht="15.6" x14ac:dyDescent="0.3">
      <c r="A8" s="37" t="s">
        <v>30</v>
      </c>
      <c r="B8" s="38" t="s">
        <v>31</v>
      </c>
      <c r="D8" s="29">
        <f>(Table2[[#This Row],[Coupon]])*(Table2[[#This Row],[Qty (in 1000s)]]*1000)/2</f>
        <v>6375</v>
      </c>
      <c r="E8" s="29"/>
      <c r="F8" s="29"/>
      <c r="G8" s="29"/>
      <c r="H8" s="29"/>
      <c r="J8" s="29">
        <f>(Table2[[#This Row],[Coupon]])*(Table2[[#This Row],[Qty (in 1000s)]]*1000)/2</f>
        <v>6375</v>
      </c>
      <c r="K8" s="29"/>
      <c r="L8" s="29"/>
      <c r="M8" s="29"/>
      <c r="N8" s="29"/>
      <c r="O8" s="29">
        <f>D8+J8</f>
        <v>12750</v>
      </c>
    </row>
    <row r="9" spans="1:15" ht="15.6" x14ac:dyDescent="0.3">
      <c r="A9" s="3" t="s">
        <v>32</v>
      </c>
      <c r="B9" s="40" t="s">
        <v>89</v>
      </c>
      <c r="C9" s="29"/>
      <c r="E9" s="29">
        <f>(Table2[[#This Row],[Coupon]])*(Table2[[#This Row],[Qty (in 1000s)]]*1000)/2</f>
        <v>5000</v>
      </c>
      <c r="F9" s="29"/>
      <c r="G9" s="29"/>
      <c r="H9" s="29"/>
      <c r="I9" s="29"/>
      <c r="K9" s="29">
        <f>(Table2[[#This Row],[Coupon]])*(Table2[[#This Row],[Qty (in 1000s)]]*1000)/2</f>
        <v>5000</v>
      </c>
      <c r="L9" s="29"/>
      <c r="M9" s="29"/>
      <c r="N9" s="29"/>
      <c r="O9" s="29">
        <f>E9+K9</f>
        <v>10000</v>
      </c>
    </row>
    <row r="10" spans="1:15" ht="15.6" x14ac:dyDescent="0.3">
      <c r="A10" s="3" t="s">
        <v>34</v>
      </c>
      <c r="B10" s="38" t="s">
        <v>90</v>
      </c>
      <c r="C10" s="29"/>
      <c r="D10" s="29"/>
      <c r="E10" s="29">
        <f>(Table2[[#This Row],[Coupon]])*(Table2[[#This Row],[Qty (in 1000s)]]*1000)/2</f>
        <v>5000</v>
      </c>
      <c r="F10" s="29"/>
      <c r="G10" s="29"/>
      <c r="H10" s="29"/>
      <c r="I10" s="29"/>
      <c r="J10" s="29"/>
      <c r="K10" s="29">
        <f>(Table2[[#This Row],[Coupon]])*(Table2[[#This Row],[Qty (in 1000s)]]*1000)/2</f>
        <v>5000</v>
      </c>
      <c r="L10" s="29"/>
      <c r="M10" s="29"/>
      <c r="N10" s="29"/>
      <c r="O10" s="29">
        <f>E10+K10</f>
        <v>10000</v>
      </c>
    </row>
    <row r="11" spans="1:15" ht="15.6" x14ac:dyDescent="0.3">
      <c r="A11" s="3" t="s">
        <v>36</v>
      </c>
      <c r="B11" s="40" t="s">
        <v>91</v>
      </c>
      <c r="C11" s="29"/>
      <c r="D11" s="29"/>
      <c r="E11" s="29">
        <f>(Table2[[#This Row],[Coupon]])*(Table2[[#This Row],[Qty (in 1000s)]]*1000)/2</f>
        <v>5000</v>
      </c>
      <c r="G11" s="29"/>
      <c r="H11" s="29"/>
      <c r="I11" s="29"/>
      <c r="J11" s="29"/>
      <c r="K11" s="29">
        <f>(Table2[[#This Row],[Coupon]])*(Table2[[#This Row],[Qty (in 1000s)]]*1000)/2</f>
        <v>5000</v>
      </c>
      <c r="M11" s="29"/>
      <c r="N11" s="29"/>
      <c r="O11" s="29">
        <f>E11+K11</f>
        <v>10000</v>
      </c>
    </row>
    <row r="12" spans="1:15" ht="15.6" x14ac:dyDescent="0.3">
      <c r="A12" s="11" t="s">
        <v>39</v>
      </c>
      <c r="B12" s="38" t="s">
        <v>92</v>
      </c>
      <c r="C12" s="29"/>
      <c r="D12" s="29"/>
      <c r="E12" s="29">
        <f>(Table2[[#This Row],[Coupon]])*(Table2[[#This Row],[Qty (in 1000s)]]*1000)/2</f>
        <v>4625</v>
      </c>
      <c r="F12" s="29"/>
      <c r="H12" s="29"/>
      <c r="I12" s="29"/>
      <c r="J12" s="29"/>
      <c r="K12" s="29">
        <f>(Table2[[#This Row],[Coupon]])*(Table2[[#This Row],[Qty (in 1000s)]]*1000)/2</f>
        <v>4625</v>
      </c>
      <c r="L12" s="29"/>
      <c r="N12" s="29"/>
      <c r="O12" s="29">
        <f>E12+K12</f>
        <v>9250</v>
      </c>
    </row>
    <row r="13" spans="1:15" ht="15.6" x14ac:dyDescent="0.3">
      <c r="A13" s="11" t="s">
        <v>42</v>
      </c>
      <c r="B13" s="40" t="s">
        <v>93</v>
      </c>
      <c r="C13" s="29"/>
      <c r="D13" s="29"/>
      <c r="E13" s="29"/>
      <c r="F13" s="29">
        <f>(Table2[[#This Row],[Coupon]])*(Table2[[#This Row],[Qty (in 1000s)]]*1000)/2</f>
        <v>4900</v>
      </c>
      <c r="G13" s="29"/>
      <c r="I13" s="29"/>
      <c r="J13" s="29"/>
      <c r="K13" s="29"/>
      <c r="L13" s="29">
        <f>(Table2[[#This Row],[Coupon]])*(Table2[[#This Row],[Qty (in 1000s)]]*1000)/2</f>
        <v>4900</v>
      </c>
      <c r="M13" s="29"/>
      <c r="O13" s="29">
        <f>F13+L13</f>
        <v>9800</v>
      </c>
    </row>
    <row r="14" spans="1:15" ht="15.6" x14ac:dyDescent="0.3">
      <c r="A14" s="11" t="s">
        <v>45</v>
      </c>
      <c r="B14" s="38" t="s">
        <v>94</v>
      </c>
      <c r="D14" s="29">
        <f>(Table2[[#This Row],[Coupon]])*(Table2[[#This Row],[Qty (in 1000s)]]*1000)/2</f>
        <v>4875</v>
      </c>
      <c r="E14" s="29"/>
      <c r="F14" s="29"/>
      <c r="G14" s="29"/>
      <c r="J14" s="29">
        <f>(Table2[[#This Row],[Coupon]])*(Table2[[#This Row],[Qty (in 1000s)]]*1000)/2</f>
        <v>4875</v>
      </c>
      <c r="K14" s="29"/>
      <c r="L14" s="29"/>
      <c r="M14" s="29"/>
      <c r="N14" s="29"/>
      <c r="O14" s="29">
        <f>D14+J14</f>
        <v>9750</v>
      </c>
    </row>
    <row r="15" spans="1:15" ht="15.6" x14ac:dyDescent="0.3">
      <c r="A15" s="11" t="s">
        <v>48</v>
      </c>
      <c r="B15" s="40" t="s">
        <v>73</v>
      </c>
      <c r="C15" s="29"/>
      <c r="E15" s="29"/>
      <c r="F15" s="29"/>
      <c r="G15" s="29">
        <f>(Table2[[#This Row],[Coupon]])*(Table2[[#This Row],[Qty (in 1000s)]]*1000)/2</f>
        <v>4612.5</v>
      </c>
      <c r="H15" s="29"/>
      <c r="I15" s="29"/>
      <c r="K15" s="29"/>
      <c r="L15" s="29"/>
      <c r="M15" s="29">
        <f>(Table2[[#This Row],[Coupon]])*(Table2[[#This Row],[Qty (in 1000s)]]*1000)/2</f>
        <v>4612.5</v>
      </c>
      <c r="N15" s="29"/>
      <c r="O15" s="29">
        <f>G15+M15</f>
        <v>9225</v>
      </c>
    </row>
    <row r="16" spans="1:15" ht="15.6" x14ac:dyDescent="0.3">
      <c r="A16" s="11" t="s">
        <v>50</v>
      </c>
      <c r="B16" s="38" t="s">
        <v>75</v>
      </c>
      <c r="C16" s="29"/>
      <c r="D16" s="29"/>
      <c r="F16" s="29">
        <f>(Table2[[#This Row],[Coupon]])*(Table2[[#This Row],[Qty (in 1000s)]]*1000)/2</f>
        <v>6375</v>
      </c>
      <c r="G16" s="29"/>
      <c r="H16" s="29"/>
      <c r="I16" s="29"/>
      <c r="J16" s="29"/>
      <c r="L16" s="29">
        <f>(Table2[[#This Row],[Coupon]])*(Table2[[#This Row],[Qty (in 1000s)]]*1000)/2</f>
        <v>6375</v>
      </c>
      <c r="N16" s="29"/>
      <c r="O16" s="29">
        <f>F16+L16</f>
        <v>12750</v>
      </c>
    </row>
    <row r="17" spans="1:16" ht="15.6" x14ac:dyDescent="0.3">
      <c r="A17" s="11" t="s">
        <v>52</v>
      </c>
      <c r="B17" s="40" t="s">
        <v>53</v>
      </c>
      <c r="C17" s="29"/>
      <c r="D17" s="29"/>
      <c r="E17" s="29"/>
      <c r="G17" s="29">
        <f>(Table2[[#This Row],[Coupon]])*(Table2[[#This Row],[Qty (in 1000s)]]*1000)/2</f>
        <v>6250</v>
      </c>
      <c r="H17" s="29"/>
      <c r="I17" s="29"/>
      <c r="J17" s="29"/>
      <c r="K17" s="29"/>
      <c r="M17" s="29">
        <f>(Table2[[#This Row],[Coupon]])*(Table2[[#This Row],[Qty (in 1000s)]]*1000)/2</f>
        <v>6250</v>
      </c>
      <c r="N17" s="29"/>
      <c r="O17" s="29">
        <f>G17+M17</f>
        <v>12500</v>
      </c>
    </row>
    <row r="18" spans="1:16" ht="15.6" x14ac:dyDescent="0.3">
      <c r="A18" s="37" t="s">
        <v>55</v>
      </c>
      <c r="B18" s="38" t="s">
        <v>56</v>
      </c>
      <c r="C18" s="29"/>
      <c r="D18" s="29"/>
      <c r="E18" s="29"/>
      <c r="F18" s="29"/>
      <c r="G18" s="29">
        <f>(Table2[[#This Row],[Coupon]])*(Table2[[#This Row],[Qty (in 1000s)]]*1000)/2</f>
        <v>6125</v>
      </c>
      <c r="H18" s="29"/>
      <c r="I18" s="29"/>
      <c r="J18" s="29"/>
      <c r="K18" s="29"/>
      <c r="L18" s="29"/>
      <c r="M18" s="29">
        <f>(Table2[[#This Row],[Coupon]])*(Table2[[#This Row],[Qty (in 1000s)]]*1000)/2</f>
        <v>6125</v>
      </c>
      <c r="N18" s="29"/>
      <c r="O18" s="29">
        <f>G18+M18</f>
        <v>12250</v>
      </c>
    </row>
    <row r="19" spans="1:16" ht="16.2" thickBot="1" x14ac:dyDescent="0.35">
      <c r="A19" s="41" t="s">
        <v>57</v>
      </c>
      <c r="B19" s="42" t="s">
        <v>58</v>
      </c>
      <c r="C19" s="30"/>
      <c r="D19" s="30"/>
      <c r="E19" s="30"/>
      <c r="F19" s="30">
        <f>(Table2[[#This Row],[Coupon]])*(Table2[[#This Row],[Qty (in 1000s)]]*1000)/2</f>
        <v>3500.0000000000005</v>
      </c>
      <c r="G19" s="30"/>
      <c r="H19" s="30"/>
      <c r="I19" s="30"/>
      <c r="J19" s="30"/>
      <c r="K19" s="30"/>
      <c r="L19" s="30">
        <f>(Table2[[#This Row],[Coupon]])*(Table2[[#This Row],[Qty (in 1000s)]]*1000)/2</f>
        <v>3500.0000000000005</v>
      </c>
      <c r="M19" s="30"/>
      <c r="N19" s="30"/>
      <c r="O19" s="30">
        <f>F19+L19</f>
        <v>7000.0000000000009</v>
      </c>
    </row>
    <row r="20" spans="1:16" ht="18.600000000000001" thickBot="1" x14ac:dyDescent="0.35">
      <c r="A20" s="67" t="s">
        <v>95</v>
      </c>
      <c r="B20" s="68"/>
      <c r="C20" s="69" t="s">
        <v>76</v>
      </c>
      <c r="D20" s="69" t="s">
        <v>77</v>
      </c>
      <c r="E20" s="69" t="s">
        <v>78</v>
      </c>
      <c r="F20" s="69" t="s">
        <v>79</v>
      </c>
      <c r="G20" s="69" t="s">
        <v>80</v>
      </c>
      <c r="H20" s="69" t="s">
        <v>81</v>
      </c>
      <c r="I20" s="69" t="s">
        <v>82</v>
      </c>
      <c r="J20" s="69" t="s">
        <v>83</v>
      </c>
      <c r="K20" s="69" t="s">
        <v>84</v>
      </c>
      <c r="L20" s="69" t="s">
        <v>85</v>
      </c>
      <c r="M20" s="69" t="s">
        <v>86</v>
      </c>
      <c r="N20" s="69" t="s">
        <v>87</v>
      </c>
      <c r="O20" s="70" t="s">
        <v>88</v>
      </c>
      <c r="P20" s="73" t="s">
        <v>111</v>
      </c>
    </row>
    <row r="21" spans="1:16" ht="16.2" thickBot="1" x14ac:dyDescent="0.35">
      <c r="A21" s="31" t="s">
        <v>96</v>
      </c>
      <c r="B21" s="32"/>
      <c r="C21" s="33">
        <f>SUM(C2:C19)</f>
        <v>12375</v>
      </c>
      <c r="D21" s="33">
        <f t="shared" ref="D21:N21" si="0">SUM(D2:D19)</f>
        <v>25000</v>
      </c>
      <c r="E21" s="33">
        <f t="shared" si="0"/>
        <v>19625</v>
      </c>
      <c r="F21" s="33">
        <f>SUM(F2:F19)</f>
        <v>14775</v>
      </c>
      <c r="G21" s="33">
        <f t="shared" si="0"/>
        <v>16987.5</v>
      </c>
      <c r="H21" s="33">
        <f t="shared" si="0"/>
        <v>10750</v>
      </c>
      <c r="I21" s="33">
        <f t="shared" si="0"/>
        <v>12375</v>
      </c>
      <c r="J21" s="33">
        <f t="shared" si="0"/>
        <v>25000</v>
      </c>
      <c r="K21" s="33">
        <f t="shared" si="0"/>
        <v>19625</v>
      </c>
      <c r="L21" s="33">
        <f t="shared" si="0"/>
        <v>14775</v>
      </c>
      <c r="M21" s="33">
        <f t="shared" si="0"/>
        <v>16987.5</v>
      </c>
      <c r="N21" s="33">
        <f t="shared" si="0"/>
        <v>10750</v>
      </c>
      <c r="O21" s="49">
        <f>SUM(C21:N21)</f>
        <v>199025</v>
      </c>
      <c r="P21" s="72">
        <f>(O21/12)</f>
        <v>16585.416666666668</v>
      </c>
    </row>
    <row r="22" spans="1:16" ht="15" thickTop="1" x14ac:dyDescent="0.3"/>
    <row r="25" spans="1:16" ht="15.6" x14ac:dyDescent="0.3">
      <c r="A25" s="88"/>
      <c r="B25" s="88"/>
      <c r="C25" s="89"/>
      <c r="D25" s="89"/>
      <c r="E25" s="89"/>
      <c r="F25" s="89"/>
      <c r="G25" s="89"/>
      <c r="H25" s="89"/>
      <c r="I25" s="89"/>
      <c r="J25" s="89"/>
      <c r="K25" s="89"/>
      <c r="L25" s="89"/>
      <c r="M25" s="89"/>
      <c r="N25" s="89"/>
      <c r="O25" s="89"/>
      <c r="P25" s="87"/>
    </row>
    <row r="26" spans="1:16" x14ac:dyDescent="0.3">
      <c r="A26" s="87"/>
      <c r="B26" s="87"/>
      <c r="C26" s="87"/>
      <c r="D26" s="87"/>
      <c r="E26" s="87"/>
      <c r="F26" s="87"/>
      <c r="G26" s="87"/>
      <c r="H26" s="87"/>
      <c r="I26" s="87"/>
      <c r="J26" s="87"/>
      <c r="K26" s="87"/>
      <c r="L26" s="87"/>
      <c r="M26" s="87"/>
      <c r="N26" s="87"/>
      <c r="O26" s="87"/>
      <c r="P26" s="87"/>
    </row>
    <row r="27" spans="1:16" x14ac:dyDescent="0.3">
      <c r="A27" s="87"/>
      <c r="B27" s="87"/>
      <c r="C27" s="87"/>
      <c r="D27" s="87"/>
      <c r="E27" s="87"/>
      <c r="F27" s="87"/>
      <c r="G27" s="87"/>
      <c r="H27" s="87"/>
      <c r="I27" s="87"/>
      <c r="J27" s="87"/>
      <c r="K27" s="87"/>
      <c r="L27" s="87"/>
      <c r="M27" s="87"/>
      <c r="N27" s="87"/>
      <c r="O27" s="87"/>
      <c r="P27" s="87"/>
    </row>
    <row r="28" spans="1:16" x14ac:dyDescent="0.3">
      <c r="A28" s="87"/>
      <c r="B28" s="87"/>
      <c r="C28" s="87"/>
      <c r="D28" s="87"/>
      <c r="E28" s="87"/>
      <c r="F28" s="87"/>
      <c r="G28" s="87"/>
      <c r="H28" s="87"/>
      <c r="I28" s="87"/>
      <c r="J28" s="87"/>
      <c r="K28" s="87"/>
      <c r="L28" s="87"/>
      <c r="M28" s="87"/>
      <c r="N28" s="87"/>
      <c r="O28" s="87"/>
      <c r="P28" s="87"/>
    </row>
    <row r="29" spans="1:16" x14ac:dyDescent="0.3">
      <c r="A29" s="87"/>
      <c r="B29" s="87"/>
      <c r="C29" s="87"/>
      <c r="D29" s="87"/>
      <c r="E29" s="87"/>
      <c r="F29" s="87"/>
      <c r="G29" s="87"/>
      <c r="H29" s="87"/>
      <c r="I29" s="87"/>
      <c r="J29" s="87"/>
      <c r="K29" s="87"/>
      <c r="L29" s="87"/>
      <c r="M29" s="87"/>
      <c r="N29" s="87"/>
      <c r="O29" s="87"/>
      <c r="P29" s="8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B21"/>
  <sheetViews>
    <sheetView showGridLines="0" workbookViewId="0">
      <selection activeCell="B7" sqref="B7"/>
    </sheetView>
  </sheetViews>
  <sheetFormatPr defaultColWidth="8.77734375" defaultRowHeight="14.4" x14ac:dyDescent="0.3"/>
  <cols>
    <col min="1" max="1" width="11.44140625" bestFit="1" customWidth="1"/>
    <col min="2" max="2" width="16.77734375" customWidth="1"/>
  </cols>
  <sheetData>
    <row r="6" spans="1:2" ht="16.2" thickBot="1" x14ac:dyDescent="0.35">
      <c r="A6" s="43" t="s">
        <v>88</v>
      </c>
      <c r="B6" s="101" t="s">
        <v>112</v>
      </c>
    </row>
    <row r="7" spans="1:2" ht="15.6" x14ac:dyDescent="0.3">
      <c r="A7" s="34">
        <v>2020</v>
      </c>
      <c r="B7" s="102">
        <f>SUM('Portfolio Holdings'!M2:M5)</f>
        <v>925</v>
      </c>
    </row>
    <row r="8" spans="1:2" ht="15.6" x14ac:dyDescent="0.3">
      <c r="A8" s="34">
        <v>2023</v>
      </c>
      <c r="B8" s="103">
        <f>SUM('Portfolio Holdings'!M6:M8)</f>
        <v>805</v>
      </c>
    </row>
    <row r="9" spans="1:2" ht="15.6" x14ac:dyDescent="0.3">
      <c r="A9" s="34">
        <v>2028</v>
      </c>
      <c r="B9" s="103">
        <f>SUM('Portfolio Holdings'!M9:M12)</f>
        <v>800</v>
      </c>
    </row>
    <row r="10" spans="1:2" ht="15.6" x14ac:dyDescent="0.3">
      <c r="A10" s="34">
        <v>2038</v>
      </c>
      <c r="B10" s="103">
        <f>SUM('Portfolio Holdings'!M13:M16)</f>
        <v>900</v>
      </c>
    </row>
    <row r="11" spans="1:2" ht="15.6" x14ac:dyDescent="0.3">
      <c r="A11" s="34">
        <v>2040</v>
      </c>
      <c r="B11" s="104">
        <f>SUM('Portfolio Holdings'!M18)</f>
        <v>245</v>
      </c>
    </row>
    <row r="12" spans="1:2" ht="15.6" x14ac:dyDescent="0.3">
      <c r="A12" s="34">
        <v>2042</v>
      </c>
      <c r="B12" s="103">
        <f>SUM('Portfolio Holdings'!M19)</f>
        <v>200</v>
      </c>
    </row>
    <row r="13" spans="1:2" ht="15.6" x14ac:dyDescent="0.3">
      <c r="A13" s="34">
        <v>2048</v>
      </c>
      <c r="B13" s="103">
        <f>SUM('Portfolio Holdings'!M17)</f>
        <v>250</v>
      </c>
    </row>
    <row r="14" spans="1:2" ht="15.6" x14ac:dyDescent="0.3">
      <c r="A14" s="99"/>
      <c r="B14" s="100"/>
    </row>
    <row r="15" spans="1:2" ht="15.6" x14ac:dyDescent="0.3">
      <c r="A15" s="99"/>
      <c r="B15" s="100"/>
    </row>
    <row r="16" spans="1:2" ht="15.6" x14ac:dyDescent="0.3">
      <c r="A16" s="105"/>
      <c r="B16" s="106"/>
    </row>
    <row r="17" spans="1:2" x14ac:dyDescent="0.3">
      <c r="A17" s="111"/>
      <c r="B17" s="111"/>
    </row>
    <row r="18" spans="1:2" x14ac:dyDescent="0.3">
      <c r="A18" s="111"/>
      <c r="B18" s="111"/>
    </row>
    <row r="19" spans="1:2" x14ac:dyDescent="0.3">
      <c r="A19" s="1"/>
      <c r="B19" s="1"/>
    </row>
    <row r="20" spans="1:2" x14ac:dyDescent="0.3">
      <c r="A20" s="1"/>
      <c r="B20" s="1"/>
    </row>
    <row r="21" spans="1:2" x14ac:dyDescent="0.3">
      <c r="A21" s="1"/>
      <c r="B21" s="1"/>
    </row>
  </sheetData>
  <mergeCells count="1">
    <mergeCell ref="A17:B18"/>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zoomScale="123" zoomScaleNormal="123" zoomScalePageLayoutView="123" workbookViewId="0">
      <selection sqref="A1:A1048576"/>
    </sheetView>
  </sheetViews>
  <sheetFormatPr defaultColWidth="11.44140625" defaultRowHeight="14.4" x14ac:dyDescent="0.3"/>
  <cols>
    <col min="1" max="1" width="2.77734375" customWidth="1"/>
    <col min="11" max="11" width="11.33203125" customWidth="1"/>
    <col min="13" max="13" width="10.6640625"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13"/>
  <sheetViews>
    <sheetView showGridLines="0" workbookViewId="0">
      <selection activeCell="D5" sqref="D5"/>
    </sheetView>
  </sheetViews>
  <sheetFormatPr defaultColWidth="11.44140625" defaultRowHeight="14.4" x14ac:dyDescent="0.3"/>
  <cols>
    <col min="2" max="2" width="47" customWidth="1"/>
    <col min="5" max="5" width="36.6640625" customWidth="1"/>
  </cols>
  <sheetData>
    <row r="2" spans="2:2" ht="31.8" thickBot="1" x14ac:dyDescent="0.35">
      <c r="B2" s="52" t="s">
        <v>97</v>
      </c>
    </row>
    <row r="3" spans="2:2" ht="28.8" x14ac:dyDescent="0.3">
      <c r="B3" s="50" t="s">
        <v>98</v>
      </c>
    </row>
    <row r="4" spans="2:2" ht="28.8" x14ac:dyDescent="0.3">
      <c r="B4" s="51" t="s">
        <v>99</v>
      </c>
    </row>
    <row r="5" spans="2:2" ht="28.8" x14ac:dyDescent="0.3">
      <c r="B5" s="44" t="s">
        <v>100</v>
      </c>
    </row>
    <row r="8" spans="2:2" ht="31.8" thickBot="1" x14ac:dyDescent="0.35">
      <c r="B8" s="58" t="s">
        <v>101</v>
      </c>
    </row>
    <row r="9" spans="2:2" ht="28.8" x14ac:dyDescent="0.3">
      <c r="B9" s="53" t="s">
        <v>102</v>
      </c>
    </row>
    <row r="10" spans="2:2" ht="28.8" x14ac:dyDescent="0.3">
      <c r="B10" s="54" t="s">
        <v>103</v>
      </c>
    </row>
    <row r="11" spans="2:2" ht="28.8" x14ac:dyDescent="0.3">
      <c r="B11" s="55" t="s">
        <v>104</v>
      </c>
    </row>
    <row r="12" spans="2:2" ht="28.8" x14ac:dyDescent="0.3">
      <c r="B12" s="56" t="s">
        <v>105</v>
      </c>
    </row>
    <row r="13" spans="2:2" ht="28.8" x14ac:dyDescent="0.3">
      <c r="B13" s="57" t="s">
        <v>106</v>
      </c>
    </row>
  </sheetData>
  <hyperlinks>
    <hyperlink ref="B3" r:id="rId1" xr:uid="{00000000-0004-0000-0500-000000000000}"/>
    <hyperlink ref="B4" r:id="rId2" xr:uid="{00000000-0004-0000-0500-000001000000}"/>
    <hyperlink ref="B5"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heetViews>
  <sheetFormatPr defaultColWidth="8.77734375" defaultRowHeight="14.4" x14ac:dyDescent="0.3"/>
  <sheetData>
    <row r="1" spans="1:1" x14ac:dyDescent="0.3">
      <c r="A1" s="66" t="s">
        <v>107</v>
      </c>
    </row>
    <row r="2" spans="1:1" x14ac:dyDescent="0.3">
      <c r="A2" s="66" t="s">
        <v>108</v>
      </c>
    </row>
    <row r="3" spans="1:1" x14ac:dyDescent="0.3">
      <c r="A3" s="6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Portfolio Holdings</vt:lpstr>
      <vt:lpstr>Transactions</vt:lpstr>
      <vt:lpstr>Projected Monthly CF Statement</vt:lpstr>
      <vt:lpstr>Maturity</vt:lpstr>
      <vt:lpstr>Executive Summary</vt: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queen bitch</cp:lastModifiedBy>
  <cp:revision/>
  <dcterms:created xsi:type="dcterms:W3CDTF">2006-09-16T00:00:00Z</dcterms:created>
  <dcterms:modified xsi:type="dcterms:W3CDTF">2019-02-11T17:17:53Z</dcterms:modified>
  <cp:category/>
  <cp:contentStatus/>
</cp:coreProperties>
</file>