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4.xml.rels" ContentType="application/vnd.openxmlformats-package.relationships+xml"/>
  <Override PartName="/xl/pivotTables/pivotTable1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_rels/pivotCacheDefinition2.xml.rels" ContentType="application/vnd.openxmlformats-package.relationships+xml"/>
  <Override PartName="/xl/pivotCache/_rels/pivotCacheDefinition4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rite up" sheetId="1" state="visible" r:id="rId2"/>
    <sheet name="Charts of Expenses" sheetId="2" state="visible" r:id="rId3"/>
    <sheet name="Expenses Overview" sheetId="3" state="visible" r:id="rId4"/>
    <sheet name="Projections" sheetId="4" state="visible" r:id="rId5"/>
  </sheets>
  <calcPr iterateCount="100" refMode="A1" iterate="false" iterateDelta="0.0001"/>
  <pivotCaches>
    <pivotCache cacheId="1" r:id="rId7"/>
    <pivotCache cacheId="2" r:id="rId8"/>
    <pivotCache cacheId="3" r:id="rId9"/>
    <pivotCache cacheId="4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<sst xmlns="http://schemas.openxmlformats.org/spreadsheetml/2006/main" count="274" uniqueCount="111">
  <si>
    <t xml:space="preserve">January Expenses (start at beginning of semester)</t>
  </si>
  <si>
    <t xml:space="preserve">Feburary Expenses</t>
  </si>
  <si>
    <t xml:space="preserve">March Expenses</t>
  </si>
  <si>
    <t xml:space="preserve">April Expenses</t>
  </si>
  <si>
    <t xml:space="preserve">Date</t>
  </si>
  <si>
    <t xml:space="preserve">Category</t>
  </si>
  <si>
    <t xml:space="preserve">Cost</t>
  </si>
  <si>
    <t xml:space="preserve">Balance in Account</t>
  </si>
  <si>
    <t xml:space="preserve">Sum of Cost</t>
  </si>
  <si>
    <t xml:space="preserve">Beg Bal</t>
  </si>
  <si>
    <t xml:space="preserve">Totals</t>
  </si>
  <si>
    <t xml:space="preserve">Alcohol</t>
  </si>
  <si>
    <t xml:space="preserve">Eating Out</t>
  </si>
  <si>
    <t xml:space="preserve">Car Payment</t>
  </si>
  <si>
    <t xml:space="preserve">Transfer into Checking</t>
  </si>
  <si>
    <t xml:space="preserve">Groceries</t>
  </si>
  <si>
    <t xml:space="preserve">Coffee</t>
  </si>
  <si>
    <t xml:space="preserve">Clothing</t>
  </si>
  <si>
    <t xml:space="preserve">Personal Care</t>
  </si>
  <si>
    <t xml:space="preserve">City Parking</t>
  </si>
  <si>
    <t xml:space="preserve">Fuel</t>
  </si>
  <si>
    <t xml:space="preserve">Pay Day</t>
  </si>
  <si>
    <t xml:space="preserve">Eating out</t>
  </si>
  <si>
    <t xml:space="preserve">College</t>
  </si>
  <si>
    <t xml:space="preserve">Clothes</t>
  </si>
  <si>
    <t xml:space="preserve">Put into Savings</t>
  </si>
  <si>
    <t xml:space="preserve">Entertainment</t>
  </si>
  <si>
    <t xml:space="preserve">Food for Club</t>
  </si>
  <si>
    <t xml:space="preserve">Federal Tax Return</t>
  </si>
  <si>
    <t xml:space="preserve">Gifts</t>
  </si>
  <si>
    <t xml:space="preserve">Oregon Tax Return</t>
  </si>
  <si>
    <t xml:space="preserve">Laundry</t>
  </si>
  <si>
    <t xml:space="preserve">Shopping</t>
  </si>
  <si>
    <t xml:space="preserve">Transfer into Checkings</t>
  </si>
  <si>
    <t xml:space="preserve">Total Result</t>
  </si>
  <si>
    <t xml:space="preserve">Refund for Club</t>
  </si>
  <si>
    <t xml:space="preserve">$ Spent</t>
  </si>
  <si>
    <t xml:space="preserve">Venmo</t>
  </si>
  <si>
    <t xml:space="preserve">$ Earned</t>
  </si>
  <si>
    <t xml:space="preserve">Ending Bal</t>
  </si>
  <si>
    <r>
      <rPr>
        <b val="true"/>
        <u val="single"/>
        <sz val="11"/>
        <color rgb="FF000000"/>
        <rFont val="Calibri"/>
        <family val="2"/>
        <charset val="1"/>
      </rPr>
      <t xml:space="preserve">Notes on Expenses
</t>
    </r>
    <r>
      <rPr>
        <sz val="11"/>
        <color rgb="FF000000"/>
        <rFont val="Calibri"/>
        <family val="2"/>
        <charset val="1"/>
      </rPr>
      <t xml:space="preserve">- I forgot to account for my tax return into the initial flow of income that was given back to me so my income for April is drastically higher than expected so I did not account for it in the pivot table
- I received a refund for food I bought for my anime club in cash in March, I included it since the cash originally used on the food was a gift from my birthday
- There will probably be more expenses as of 4/29 and on, but I am unable to account for those since I do not exactly know how much they will be in the end. I am estimating around $10-$15 in gas since I will be driving around and am lower on gas
- April is the first month in which I refrained from spending as much in the prior months</t>
    </r>
  </si>
  <si>
    <t xml:space="preserve">End bal</t>
  </si>
  <si>
    <t xml:space="preserve">End Bal</t>
  </si>
  <si>
    <t xml:space="preserve">Total expenditures and gains for the semester</t>
  </si>
  <si>
    <t xml:space="preserve">Categories</t>
  </si>
  <si>
    <t xml:space="preserve">$ Spent/Gained</t>
  </si>
  <si>
    <t xml:space="preserve">Laundry (calc in notes)</t>
  </si>
  <si>
    <t xml:space="preserve">Total</t>
  </si>
  <si>
    <r>
      <rPr>
        <b val="true"/>
        <u val="single"/>
        <sz val="11"/>
        <color rgb="FF000000"/>
        <rFont val="Calibri"/>
        <family val="2"/>
        <charset val="1"/>
      </rPr>
      <t xml:space="preserve">Notes
</t>
    </r>
    <r>
      <rPr>
        <sz val="11"/>
        <color rgb="FF000000"/>
        <rFont val="Calibri"/>
        <family val="2"/>
        <charset val="1"/>
      </rPr>
      <t xml:space="preserve">- I did not account for the month I received as tax refunds since I want to focus on the month I got on an after tax basis
- The way how the university pays, I get the final pay period of March in April and the first part of April in the later part of April
- After March I realized that overall I would be making more than initial projections and ended up changing my expenses to 220 and my income to 250
</t>
    </r>
  </si>
  <si>
    <t xml:space="preserve">Month</t>
  </si>
  <si>
    <t xml:space="preserve">% of Income taken by expenses</t>
  </si>
  <si>
    <t xml:space="preserve">January</t>
  </si>
  <si>
    <t xml:space="preserve">February</t>
  </si>
  <si>
    <t xml:space="preserve">March </t>
  </si>
  <si>
    <t xml:space="preserve">April</t>
  </si>
  <si>
    <t xml:space="preserve">Budgeted Income</t>
  </si>
  <si>
    <t xml:space="preserve">Income Variance</t>
  </si>
  <si>
    <t xml:space="preserve">Actual Income</t>
  </si>
  <si>
    <t xml:space="preserve">Budgeted Expenses</t>
  </si>
  <si>
    <t xml:space="preserve">Expenses Variance</t>
  </si>
  <si>
    <t xml:space="preserve">Actual Expenses</t>
  </si>
  <si>
    <t xml:space="preserve">March</t>
  </si>
  <si>
    <t xml:space="preserve">Budgeted</t>
  </si>
  <si>
    <t xml:space="preserve">OR Tax Bracket</t>
  </si>
  <si>
    <t xml:space="preserve">Income generated</t>
  </si>
  <si>
    <t xml:space="preserve">Pay period</t>
  </si>
  <si>
    <t xml:space="preserve">$ earned</t>
  </si>
  <si>
    <t xml:space="preserve">$ received</t>
  </si>
  <si>
    <t xml:space="preserve">Running total earned</t>
  </si>
  <si>
    <t xml:space="preserve">Running total received</t>
  </si>
  <si>
    <t xml:space="preserve">Total taken out in taxes</t>
  </si>
  <si>
    <t xml:space="preserve">Est. Monthly Income</t>
  </si>
  <si>
    <t xml:space="preserve">&lt;3350</t>
  </si>
  <si>
    <t xml:space="preserve">Jan 16-31</t>
  </si>
  <si>
    <t xml:space="preserve">Money to go into savings</t>
  </si>
  <si>
    <t xml:space="preserve">3351-8400</t>
  </si>
  <si>
    <t xml:space="preserve">Feb 1-15</t>
  </si>
  <si>
    <t xml:space="preserve">Money left to spend</t>
  </si>
  <si>
    <t xml:space="preserve">8401-125000</t>
  </si>
  <si>
    <t xml:space="preserve">Feb 16-28</t>
  </si>
  <si>
    <t xml:space="preserve">&gt;125001</t>
  </si>
  <si>
    <t xml:space="preserve">Mar 1-15</t>
  </si>
  <si>
    <t xml:space="preserve">Mar 16-31</t>
  </si>
  <si>
    <t xml:space="preserve">Apr 1-15</t>
  </si>
  <si>
    <t xml:space="preserve">Income Generated</t>
  </si>
  <si>
    <t xml:space="preserve">Actual</t>
  </si>
  <si>
    <t xml:space="preserve">Estimates</t>
  </si>
  <si>
    <t xml:space="preserve">1st half of March</t>
  </si>
  <si>
    <t xml:space="preserve">2nd half of March</t>
  </si>
  <si>
    <t xml:space="preserve">1st part of April</t>
  </si>
  <si>
    <t xml:space="preserve">2nd part of April</t>
  </si>
  <si>
    <t xml:space="preserve">1st part of May</t>
  </si>
  <si>
    <t xml:space="preserve">Total Paycheck</t>
  </si>
  <si>
    <t xml:space="preserve">To go into savings</t>
  </si>
  <si>
    <t xml:space="preserve">To go into additonal savings</t>
  </si>
  <si>
    <t xml:space="preserve">To stay in checking</t>
  </si>
  <si>
    <t xml:space="preserve">Savings Projection while in school</t>
  </si>
  <si>
    <t xml:space="preserve">Current Amount</t>
  </si>
  <si>
    <t xml:space="preserve">Min End Bal needed by May 21st</t>
  </si>
  <si>
    <t xml:space="preserve">Savings</t>
  </si>
  <si>
    <t xml:space="preserve">Additional Savings</t>
  </si>
  <si>
    <t xml:space="preserve">Money in checking</t>
  </si>
  <si>
    <t xml:space="preserve">Tax Returns</t>
  </si>
  <si>
    <t xml:space="preserve">To go into savings 1 </t>
  </si>
  <si>
    <t xml:space="preserve">To go into savings 2</t>
  </si>
  <si>
    <t xml:space="preserve">Received?</t>
  </si>
  <si>
    <t xml:space="preserve">Oregon</t>
  </si>
  <si>
    <t xml:space="preserve">Yes</t>
  </si>
  <si>
    <t xml:space="preserve">Federal</t>
  </si>
  <si>
    <t xml:space="preserve">California</t>
  </si>
  <si>
    <t xml:space="preserve">No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</si>
</sst>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409]D\-MMM"/>
    <numFmt numFmtId="166" formatCode="_(* #,##0.00_);_(* \(#,##0.00\);_(* \-??_);_(@_)"/>
    <numFmt numFmtId="167" formatCode="[$-409]#,##0.00_);[RED]\(#,##0.00\)"/>
    <numFmt numFmtId="168" formatCode="0.00"/>
    <numFmt numFmtId="169" formatCode="0.00_);[RED]\(0.00\)"/>
    <numFmt numFmtId="170" formatCode="_(\$* #,##0.00_);_(\$* \(#,##0.00\);_(\$* \-??_);_(@_)"/>
    <numFmt numFmtId="171" formatCode="0%"/>
    <numFmt numFmtId="172" formatCode="#,##0"/>
    <numFmt numFmtId="173" formatCode="0.0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</font>
    <font>
      <sz val="11"/>
      <name val="Times New Roman"/>
      <family val="0"/>
    </font>
    <font>
      <b val="true"/>
      <u val="single"/>
      <sz val="11"/>
      <color rgb="FF000000"/>
      <name val="Calibri"/>
      <family val="2"/>
      <charset val="1"/>
    </font>
    <font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4" fillId="0" borderId="1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72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8" fillId="0" borderId="3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601920</xdr:colOff>
      <xdr:row>1</xdr:row>
      <xdr:rowOff>0</xdr:rowOff>
    </xdr:from>
    <xdr:to>
      <xdr:col>9</xdr:col>
      <xdr:colOff>601200</xdr:colOff>
      <xdr:row>28</xdr:row>
      <xdr:rowOff>182160</xdr:rowOff>
    </xdr:to>
    <xdr:sp>
      <xdr:nvSpPr>
        <xdr:cNvPr id="0" name="CustomShape 1"/>
        <xdr:cNvSpPr/>
      </xdr:nvSpPr>
      <xdr:spPr>
        <a:xfrm>
          <a:off x="601920" y="182880"/>
          <a:ext cx="6622920" cy="5119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Expense Tracking Write Up: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While tracking my expenses at first I did not really pay attention and mainly looked at the numbers in my account and did not see where my money was going. Around mid-March I really started to be attentive and acknowledge my spending habits. In April I was going to be under budget initially but I ended paying for a few things that I was not expecting to pay which put me over. I also realized going into April that I was not going to be making as little as I initially thought since I was picking up extra shifts, so I readjusted my income and also my expenses since I noticed that I was spending a lot more than I initially thought I would.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I was slowly figuring out what kind of trends I have when spending and tried to fight against them. This happened in April since I was more determined to not spend money on alcohol as much and if I did I gave myself a personal limit of $20 for the month. I ended up staying within the budget at the end only spending $13.20.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Over the course of this I realzied that I was not nearly saving enough money as well and decided that for each paycheck I was going to save 70% of it as one can see in the projections slide. I knew that I wanted to reach a goal of at least $500 in my savings account for a emergency fund. I was able to realize that I could reach that goal by the end of the May of I went through with the savings patern I started when I included my tax refund.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Another take-away I had was that I go for long stretches without spending money and then I tend to spend a larger amount all at once. I need to be more attentive to this and try to space it out and or just focus on spending less when I have moments like that to reduce my over spending habits. I will be able to do that this summer since I am staying at a friends house for free and can pocket all of the money I make and only spend it on food, transportation, and entertainment based things that will be within a budget. I will need to update my budget since I will have an internship at that time generating a different level of income than when I was working with the career center.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_rels/pivotCacheDefinition4.xml.rels><?xml version="1.0" encoding="UTF-8"?>
<Relationships xmlns="http://schemas.openxmlformats.org/package/2006/relationships"><Relationship Id="rId1" Type="http://schemas.openxmlformats.org/officeDocument/2006/relationships/pivotCacheRecords" Target="pivotCacheRecords4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" createdVersion="3">
  <cacheSource type="worksheet">
    <worksheetSource ref="B2:E22" sheet="Charts of Expenses"/>
  </cacheSource>
  <cacheFields count="4">
    <cacheField name="Date" numFmtId="0">
      <sharedItems containsSemiMixedTypes="0" containsNonDate="0" containsDate="1" containsString="0" minDate="2019-01-14T00:00:00" maxDate="2019-01-31T00:00:00" count="12">
        <d v="2019-01-14T00:00:00"/>
        <d v="2019-01-16T00:00:00"/>
        <d v="2019-01-17T00:00:00"/>
        <d v="2019-01-18T00:00:00"/>
        <d v="2019-01-19T00:00:00"/>
        <d v="2019-01-20T00:00:00"/>
        <d v="2019-01-21T00:00:00"/>
        <d v="2019-01-24T00:00:00"/>
        <d v="2019-01-25T00:00:00"/>
        <d v="2019-01-27T00:00:00"/>
        <d v="2019-01-29T00:00:00"/>
        <d v="2019-01-31T00:00:00"/>
      </sharedItems>
    </cacheField>
    <cacheField name="Category" numFmtId="0">
      <sharedItems count="13">
        <s v="Beg Bal"/>
        <s v="Car Payment"/>
        <s v="Clothing"/>
        <s v="Coffee"/>
        <s v="College"/>
        <s v="Eating Out"/>
        <s v="Ending Bal"/>
        <s v="Fuel"/>
        <s v="Gifts"/>
        <s v="Groceries"/>
        <s v="Pay Day"/>
        <s v="Put into Savings"/>
        <s v="Shopping"/>
      </sharedItems>
    </cacheField>
    <cacheField name="Cost" numFmtId="0">
      <sharedItems containsString="0" containsBlank="1" containsNumber="1" minValue="-636" maxValue="786" count="19">
        <n v="-636"/>
        <n v="-350"/>
        <n v="-73.48"/>
        <n v="-50"/>
        <n v="-49.99"/>
        <n v="-23.75"/>
        <n v="-20.37"/>
        <n v="-15"/>
        <n v="-12.55"/>
        <n v="-11.59"/>
        <n v="-10.97"/>
        <n v="-8.85"/>
        <n v="-8"/>
        <n v="-7.55"/>
        <n v="-6.25"/>
        <n v="-5.39"/>
        <n v="-5"/>
        <n v="786"/>
        <m/>
      </sharedItems>
    </cacheField>
    <cacheField name="Balance in Account" numFmtId="0">
      <sharedItems containsSemiMixedTypes="0" containsString="0" containsNumber="1" minValue="139.14" maxValue="987.46" count="19">
        <n v="139.14"/>
        <n v="150.11"/>
        <n v="173.86"/>
        <n v="201.46"/>
        <n v="214.01"/>
        <n v="223.85"/>
        <n v="231.4"/>
        <n v="242.99"/>
        <n v="249.24"/>
        <n v="258.09"/>
        <n v="273.09"/>
        <n v="323.09"/>
        <n v="564.01"/>
        <n v="569.01"/>
        <n v="642.49"/>
        <n v="647.88"/>
        <n v="959.09"/>
        <n v="967.09"/>
        <n v="987.4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3" createdVersion="3">
  <cacheSource type="worksheet">
    <worksheetSource ref="R2:U25" sheet="Charts of Expenses"/>
  </cacheSource>
  <cacheFields count="4">
    <cacheField name="Date" numFmtId="0">
      <sharedItems containsSemiMixedTypes="0" containsNonDate="0" containsDate="1" containsString="0" minDate="2019-03-01T00:00:00" maxDate="2019-03-31T00:00:00" count="14">
        <d v="2019-03-01T00:00:00"/>
        <d v="2019-03-03T00:00:00"/>
        <d v="2019-03-05T00:00:00"/>
        <d v="2019-03-07T00:00:00"/>
        <d v="2019-03-08T00:00:00"/>
        <d v="2019-03-09T00:00:00"/>
        <d v="2019-03-10T00:00:00"/>
        <d v="2019-03-15T00:00:00"/>
        <d v="2019-03-20T00:00:00"/>
        <d v="2019-03-22T00:00:00"/>
        <d v="2019-03-24T00:00:00"/>
        <d v="2019-03-26T00:00:00"/>
        <d v="2019-03-29T00:00:00"/>
        <d v="2019-03-31T00:00:00"/>
      </sharedItems>
    </cacheField>
    <cacheField name="Category" numFmtId="0">
      <sharedItems count="11">
        <s v="Alcohol"/>
        <s v="Beg Bal"/>
        <s v="Coffee"/>
        <s v="Eating out"/>
        <s v="End bal"/>
        <s v="Entertainment"/>
        <s v="Fuel"/>
        <s v="Groceries"/>
        <s v="Pay Day"/>
        <s v="Put into Savings"/>
        <s v="Transfer into Checkings"/>
      </sharedItems>
    </cacheField>
    <cacheField name="Cost" numFmtId="0">
      <sharedItems containsString="0" containsBlank="1" containsNumber="1" minValue="-127.8" maxValue="232.25" count="21">
        <n v="-127.8"/>
        <n v="-67.76"/>
        <n v="-60"/>
        <n v="-39.9"/>
        <n v="-30.98"/>
        <n v="-25.59"/>
        <n v="-24.13"/>
        <n v="-21.79"/>
        <n v="-20.75"/>
        <n v="-16.97"/>
        <n v="-14.26"/>
        <n v="-13.19"/>
        <n v="-10"/>
        <n v="-9"/>
        <n v="-7.5"/>
        <n v="-7"/>
        <n v="-2.75"/>
        <n v="25"/>
        <n v="135.55"/>
        <n v="232.25"/>
        <m/>
      </sharedItems>
    </cacheField>
    <cacheField name="Balance in Account" numFmtId="0">
      <sharedItems containsSemiMixedTypes="0" containsString="0" containsNumber="1" minValue="56.22" maxValue="314.27" count="22">
        <n v="56.22"/>
        <n v="57.02"/>
        <n v="69.41"/>
        <n v="71.28"/>
        <n v="76.41"/>
        <n v="82.02"/>
        <n v="83.91"/>
        <n v="91.02"/>
        <n v="93.77"/>
        <n v="103.77"/>
        <n v="109.5"/>
        <n v="112.77"/>
        <n v="126.47"/>
        <n v="134.56"/>
        <n v="139.04"/>
        <n v="165.54"/>
        <n v="178.94"/>
        <n v="199.69"/>
        <n v="223.82"/>
        <n v="226.57"/>
        <n v="254.27"/>
        <n v="314.27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24" createdVersion="3">
  <cacheSource type="worksheet">
    <worksheetSource ref="J2:M26" sheet="Charts of Expenses"/>
  </cacheSource>
  <cacheFields count="4">
    <cacheField name="Date" numFmtId="0">
      <sharedItems containsSemiMixedTypes="0" containsNonDate="0" containsDate="1" containsString="0" minDate="2019-01-01T00:00:00" maxDate="2019-02-28T00:00:00" count="14">
        <d v="2019-01-01T00:00:00"/>
        <d v="2019-02-01T00:00:00"/>
        <d v="2019-02-02T00:00:00"/>
        <d v="2019-02-03T00:00:00"/>
        <d v="2019-02-04T00:00:00"/>
        <d v="2019-02-07T00:00:00"/>
        <d v="2019-02-08T00:00:00"/>
        <d v="2019-02-09T00:00:00"/>
        <d v="2019-02-20T00:00:00"/>
        <d v="2019-02-21T00:00:00"/>
        <d v="2019-02-22T00:00:00"/>
        <d v="2019-02-23T00:00:00"/>
        <d v="2019-02-25T00:00:00"/>
        <d v="2019-02-28T00:00:00"/>
      </sharedItems>
    </cacheField>
    <cacheField name="Category" numFmtId="0">
      <sharedItems count="15">
        <s v="Alcohol"/>
        <s v="Beg Bal"/>
        <s v="City Parking"/>
        <s v="Clothes"/>
        <s v="Coffee"/>
        <s v="Eating out"/>
        <s v="Ending Bal"/>
        <s v="Fuel"/>
        <s v="Gifts"/>
        <s v="Groceries"/>
        <s v="Pay Day"/>
        <s v="Personal Care"/>
        <s v="Shopping"/>
        <s v="Transfer into Checking"/>
        <s v="Venmo"/>
      </sharedItems>
    </cacheField>
    <cacheField name="Cost" numFmtId="0">
      <sharedItems containsString="0" containsBlank="1" containsNumber="1" minValue="-53.77" maxValue="158.3" count="22">
        <n v="-53.77"/>
        <n v="-50.32"/>
        <n v="-34.94"/>
        <n v="-28.35"/>
        <n v="-26"/>
        <n v="-25.25"/>
        <n v="-24.52"/>
        <n v="-21"/>
        <n v="-19.48"/>
        <n v="-15"/>
        <n v="-14.5"/>
        <n v="-13.5"/>
        <n v="-12.93"/>
        <n v="-11"/>
        <n v="-9.09"/>
        <n v="-6"/>
        <n v="-4.1"/>
        <n v="16"/>
        <n v="77.85"/>
        <n v="150"/>
        <n v="158.3"/>
        <m/>
      </sharedItems>
    </cacheField>
    <cacheField name="Balance in Account" numFmtId="0">
      <sharedItems containsSemiMixedTypes="0" containsString="0" containsNumber="1" minValue="91.33" maxValue="289.14" count="23">
        <n v="91.33"/>
        <n v="126.27"/>
        <n v="137.27"/>
        <n v="139.14"/>
        <n v="156.75"/>
        <n v="159.1"/>
        <n v="165.54"/>
        <n v="174.79"/>
        <n v="180.1"/>
        <n v="186.1"/>
        <n v="190.79"/>
        <n v="199.31"/>
        <n v="210.52"/>
        <n v="212.1"/>
        <n v="216.2"/>
        <n v="222.2"/>
        <n v="223.45"/>
        <n v="236.7"/>
        <n v="236.95"/>
        <n v="245.79"/>
        <n v="249.63"/>
        <n v="274.14"/>
        <n v="289.14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cordCount="29" createdVersion="3">
  <cacheSource type="worksheet">
    <worksheetSource ref="Z2:AC31" sheet="Charts of Expenses"/>
  </cacheSource>
  <cacheFields count="4">
    <cacheField name="Date" numFmtId="0">
      <sharedItems containsSemiMixedTypes="0" containsNonDate="0" containsDate="1" containsString="0" minDate="2019-04-01T00:00:00" maxDate="2019-04-28T00:00:00" count="14">
        <d v="2019-04-01T00:00:00"/>
        <d v="2019-04-06T00:00:00"/>
        <d v="2019-04-09T00:00:00"/>
        <d v="2019-04-10T00:00:00"/>
        <d v="2019-04-12T00:00:00"/>
        <d v="2019-04-17T00:00:00"/>
        <d v="2019-04-18T00:00:00"/>
        <d v="2019-04-19T00:00:00"/>
        <d v="2019-04-20T00:00:00"/>
        <d v="2019-04-21T00:00:00"/>
        <d v="2019-04-24T00:00:00"/>
        <d v="2019-04-25T00:00:00"/>
        <d v="2019-04-26T00:00:00"/>
        <d v="2019-04-28T00:00:00"/>
      </sharedItems>
    </cacheField>
    <cacheField name="Category" numFmtId="0">
      <sharedItems count="15">
        <s v="Alcohol"/>
        <s v="Beg Bal"/>
        <s v="Coffee"/>
        <s v="Eating out"/>
        <s v="End Bal"/>
        <s v="Entertainment"/>
        <s v="Federal Tax Return"/>
        <s v="Food for Club"/>
        <s v="Fuel"/>
        <s v="Groceries"/>
        <s v="Laundry"/>
        <s v="Oregon Tax Return"/>
        <s v="Pay Day"/>
        <s v="Put into Savings"/>
        <s v="Refund for Club"/>
      </sharedItems>
    </cacheField>
    <cacheField name="Cost" numFmtId="0">
      <sharedItems containsString="0" containsBlank="1" containsNumber="1" minValue="-411.5" maxValue="823" count="28">
        <n v="-411.5"/>
        <n v="-288.05"/>
        <n v="-90.53"/>
        <n v="-76.3"/>
        <n v="-41.33"/>
        <n v="-40"/>
        <n v="-36.21"/>
        <n v="-31.7"/>
        <n v="-30.52"/>
        <n v="-21.21"/>
        <n v="-20"/>
        <n v="-17.5"/>
        <n v="-13.49"/>
        <n v="-13.2"/>
        <n v="-8.5"/>
        <n v="-7.99"/>
        <n v="-7.88"/>
        <n v="-7.23"/>
        <n v="-4.49"/>
        <n v="-4.35"/>
        <n v="-4"/>
        <n v="-2.75"/>
        <n v="50"/>
        <n v="66"/>
        <n v="152.6"/>
        <n v="181.05"/>
        <n v="823"/>
        <m/>
      </sharedItems>
    </cacheField>
    <cacheField name="Balance in Account" numFmtId="0">
      <sharedItems containsSemiMixedTypes="0" containsString="0" containsNumber="1" minValue="45.83" maxValue="988.25" count="28">
        <n v="45.83"/>
        <n v="53.47"/>
        <n v="56.22"/>
        <n v="59.32"/>
        <n v="67.82"/>
        <n v="72.31"/>
        <n v="85.51"/>
        <n v="89.86"/>
        <n v="99.25"/>
        <n v="100.14"/>
        <n v="111.07"/>
        <n v="118.3"/>
        <n v="129.77"/>
        <n v="135.8"/>
        <n v="136.35"/>
        <n v="143.79"/>
        <n v="150.14"/>
        <n v="183.79"/>
        <n v="206.07"/>
        <n v="215.49"/>
        <n v="219.49"/>
        <n v="226.88"/>
        <n v="227.37"/>
        <n v="515.42"/>
        <n v="922.25"/>
        <n v="926.92"/>
        <n v="946.92"/>
        <n v="988.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18"/>
    <x v="15"/>
  </r>
  <r>
    <x v="0"/>
    <x v="5"/>
    <x v="15"/>
    <x v="14"/>
  </r>
  <r>
    <x v="1"/>
    <x v="9"/>
    <x v="2"/>
    <x v="13"/>
  </r>
  <r>
    <x v="1"/>
    <x v="4"/>
    <x v="16"/>
    <x v="12"/>
  </r>
  <r>
    <x v="2"/>
    <x v="1"/>
    <x v="1"/>
    <x v="4"/>
  </r>
  <r>
    <x v="3"/>
    <x v="9"/>
    <x v="8"/>
    <x v="3"/>
  </r>
  <r>
    <x v="3"/>
    <x v="10"/>
    <x v="17"/>
    <x v="18"/>
  </r>
  <r>
    <x v="4"/>
    <x v="9"/>
    <x v="6"/>
    <x v="17"/>
  </r>
  <r>
    <x v="4"/>
    <x v="12"/>
    <x v="12"/>
    <x v="16"/>
  </r>
  <r>
    <x v="5"/>
    <x v="11"/>
    <x v="0"/>
    <x v="11"/>
  </r>
  <r>
    <x v="5"/>
    <x v="11"/>
    <x v="3"/>
    <x v="10"/>
  </r>
  <r>
    <x v="6"/>
    <x v="4"/>
    <x v="7"/>
    <x v="9"/>
  </r>
  <r>
    <x v="6"/>
    <x v="12"/>
    <x v="11"/>
    <x v="8"/>
  </r>
  <r>
    <x v="7"/>
    <x v="3"/>
    <x v="14"/>
    <x v="7"/>
  </r>
  <r>
    <x v="8"/>
    <x v="9"/>
    <x v="9"/>
    <x v="6"/>
  </r>
  <r>
    <x v="8"/>
    <x v="5"/>
    <x v="13"/>
    <x v="5"/>
  </r>
  <r>
    <x v="8"/>
    <x v="2"/>
    <x v="4"/>
    <x v="2"/>
  </r>
  <r>
    <x v="9"/>
    <x v="7"/>
    <x v="5"/>
    <x v="1"/>
  </r>
  <r>
    <x v="10"/>
    <x v="8"/>
    <x v="10"/>
    <x v="0"/>
  </r>
  <r>
    <x v="11"/>
    <x v="6"/>
    <x v="1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">
  <r>
    <x v="0"/>
    <x v="1"/>
    <x v="20"/>
    <x v="15"/>
  </r>
  <r>
    <x v="0"/>
    <x v="7"/>
    <x v="4"/>
    <x v="13"/>
  </r>
  <r>
    <x v="0"/>
    <x v="6"/>
    <x v="7"/>
    <x v="11"/>
  </r>
  <r>
    <x v="1"/>
    <x v="2"/>
    <x v="13"/>
    <x v="9"/>
  </r>
  <r>
    <x v="2"/>
    <x v="5"/>
    <x v="12"/>
    <x v="8"/>
  </r>
  <r>
    <x v="2"/>
    <x v="2"/>
    <x v="16"/>
    <x v="7"/>
  </r>
  <r>
    <x v="3"/>
    <x v="8"/>
    <x v="18"/>
    <x v="19"/>
  </r>
  <r>
    <x v="4"/>
    <x v="2"/>
    <x v="16"/>
    <x v="18"/>
  </r>
  <r>
    <x v="4"/>
    <x v="7"/>
    <x v="6"/>
    <x v="17"/>
  </r>
  <r>
    <x v="4"/>
    <x v="6"/>
    <x v="8"/>
    <x v="16"/>
  </r>
  <r>
    <x v="5"/>
    <x v="0"/>
    <x v="3"/>
    <x v="14"/>
  </r>
  <r>
    <x v="6"/>
    <x v="9"/>
    <x v="1"/>
    <x v="3"/>
  </r>
  <r>
    <x v="7"/>
    <x v="7"/>
    <x v="10"/>
    <x v="1"/>
  </r>
  <r>
    <x v="8"/>
    <x v="10"/>
    <x v="17"/>
    <x v="5"/>
  </r>
  <r>
    <x v="9"/>
    <x v="8"/>
    <x v="19"/>
    <x v="21"/>
  </r>
  <r>
    <x v="9"/>
    <x v="9"/>
    <x v="2"/>
    <x v="20"/>
  </r>
  <r>
    <x v="9"/>
    <x v="9"/>
    <x v="0"/>
    <x v="12"/>
  </r>
  <r>
    <x v="9"/>
    <x v="9"/>
    <x v="9"/>
    <x v="10"/>
  </r>
  <r>
    <x v="9"/>
    <x v="7"/>
    <x v="5"/>
    <x v="6"/>
  </r>
  <r>
    <x v="10"/>
    <x v="3"/>
    <x v="14"/>
    <x v="4"/>
  </r>
  <r>
    <x v="11"/>
    <x v="3"/>
    <x v="15"/>
    <x v="2"/>
  </r>
  <r>
    <x v="12"/>
    <x v="7"/>
    <x v="11"/>
    <x v="0"/>
  </r>
  <r>
    <x v="13"/>
    <x v="4"/>
    <x v="2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">
  <r>
    <x v="1"/>
    <x v="1"/>
    <x v="21"/>
    <x v="3"/>
  </r>
  <r>
    <x v="0"/>
    <x v="13"/>
    <x v="19"/>
    <x v="22"/>
  </r>
  <r>
    <x v="1"/>
    <x v="11"/>
    <x v="9"/>
    <x v="21"/>
  </r>
  <r>
    <x v="1"/>
    <x v="3"/>
    <x v="3"/>
    <x v="19"/>
  </r>
  <r>
    <x v="2"/>
    <x v="9"/>
    <x v="14"/>
    <x v="17"/>
  </r>
  <r>
    <x v="2"/>
    <x v="4"/>
    <x v="10"/>
    <x v="15"/>
  </r>
  <r>
    <x v="3"/>
    <x v="5"/>
    <x v="15"/>
    <x v="14"/>
  </r>
  <r>
    <x v="3"/>
    <x v="2"/>
    <x v="16"/>
    <x v="13"/>
  </r>
  <r>
    <x v="4"/>
    <x v="0"/>
    <x v="4"/>
    <x v="9"/>
  </r>
  <r>
    <x v="4"/>
    <x v="0"/>
    <x v="15"/>
    <x v="8"/>
  </r>
  <r>
    <x v="4"/>
    <x v="0"/>
    <x v="7"/>
    <x v="5"/>
  </r>
  <r>
    <x v="5"/>
    <x v="10"/>
    <x v="18"/>
    <x v="18"/>
  </r>
  <r>
    <x v="6"/>
    <x v="11"/>
    <x v="11"/>
    <x v="16"/>
  </r>
  <r>
    <x v="6"/>
    <x v="9"/>
    <x v="12"/>
    <x v="12"/>
  </r>
  <r>
    <x v="7"/>
    <x v="8"/>
    <x v="0"/>
    <x v="4"/>
  </r>
  <r>
    <x v="7"/>
    <x v="5"/>
    <x v="8"/>
    <x v="2"/>
  </r>
  <r>
    <x v="8"/>
    <x v="4"/>
    <x v="13"/>
    <x v="1"/>
  </r>
  <r>
    <x v="9"/>
    <x v="12"/>
    <x v="2"/>
    <x v="0"/>
  </r>
  <r>
    <x v="10"/>
    <x v="10"/>
    <x v="20"/>
    <x v="20"/>
  </r>
  <r>
    <x v="10"/>
    <x v="9"/>
    <x v="1"/>
    <x v="11"/>
  </r>
  <r>
    <x v="11"/>
    <x v="7"/>
    <x v="6"/>
    <x v="7"/>
  </r>
  <r>
    <x v="12"/>
    <x v="14"/>
    <x v="17"/>
    <x v="10"/>
  </r>
  <r>
    <x v="12"/>
    <x v="5"/>
    <x v="5"/>
    <x v="6"/>
  </r>
  <r>
    <x v="13"/>
    <x v="6"/>
    <x v="21"/>
    <x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9">
  <r>
    <x v="0"/>
    <x v="1"/>
    <x v="27"/>
    <x v="2"/>
  </r>
  <r>
    <x v="1"/>
    <x v="2"/>
    <x v="21"/>
    <x v="1"/>
  </r>
  <r>
    <x v="2"/>
    <x v="12"/>
    <x v="24"/>
    <x v="18"/>
  </r>
  <r>
    <x v="3"/>
    <x v="13"/>
    <x v="3"/>
    <x v="12"/>
  </r>
  <r>
    <x v="3"/>
    <x v="13"/>
    <x v="8"/>
    <x v="8"/>
  </r>
  <r>
    <x v="4"/>
    <x v="6"/>
    <x v="26"/>
    <x v="24"/>
  </r>
  <r>
    <x v="4"/>
    <x v="11"/>
    <x v="23"/>
    <x v="27"/>
  </r>
  <r>
    <x v="4"/>
    <x v="9"/>
    <x v="4"/>
    <x v="26"/>
  </r>
  <r>
    <x v="4"/>
    <x v="10"/>
    <x v="10"/>
    <x v="25"/>
  </r>
  <r>
    <x v="4"/>
    <x v="13"/>
    <x v="0"/>
    <x v="23"/>
  </r>
  <r>
    <x v="4"/>
    <x v="13"/>
    <x v="1"/>
    <x v="22"/>
  </r>
  <r>
    <x v="5"/>
    <x v="7"/>
    <x v="16"/>
    <x v="20"/>
  </r>
  <r>
    <x v="5"/>
    <x v="2"/>
    <x v="20"/>
    <x v="19"/>
  </r>
  <r>
    <x v="6"/>
    <x v="8"/>
    <x v="7"/>
    <x v="17"/>
  </r>
  <r>
    <x v="6"/>
    <x v="5"/>
    <x v="5"/>
    <x v="15"/>
  </r>
  <r>
    <x v="6"/>
    <x v="9"/>
    <x v="15"/>
    <x v="13"/>
  </r>
  <r>
    <x v="7"/>
    <x v="3"/>
    <x v="11"/>
    <x v="11"/>
  </r>
  <r>
    <x v="7"/>
    <x v="9"/>
    <x v="17"/>
    <x v="10"/>
  </r>
  <r>
    <x v="8"/>
    <x v="3"/>
    <x v="9"/>
    <x v="7"/>
  </r>
  <r>
    <x v="8"/>
    <x v="3"/>
    <x v="19"/>
    <x v="6"/>
  </r>
  <r>
    <x v="8"/>
    <x v="0"/>
    <x v="13"/>
    <x v="5"/>
  </r>
  <r>
    <x v="9"/>
    <x v="9"/>
    <x v="18"/>
    <x v="4"/>
  </r>
  <r>
    <x v="9"/>
    <x v="2"/>
    <x v="14"/>
    <x v="3"/>
  </r>
  <r>
    <x v="9"/>
    <x v="3"/>
    <x v="12"/>
    <x v="0"/>
  </r>
  <r>
    <x v="10"/>
    <x v="12"/>
    <x v="25"/>
    <x v="21"/>
  </r>
  <r>
    <x v="11"/>
    <x v="13"/>
    <x v="2"/>
    <x v="14"/>
  </r>
  <r>
    <x v="11"/>
    <x v="13"/>
    <x v="6"/>
    <x v="9"/>
  </r>
  <r>
    <x v="12"/>
    <x v="14"/>
    <x v="22"/>
    <x v="16"/>
  </r>
  <r>
    <x v="13"/>
    <x v="4"/>
    <x v="27"/>
    <x v="1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4.xml"/>
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G3:H14" firstHeaderRow="1" firstDataRow="1" firstDataCol="1"/>
  <pivotFields count="4">
    <pivotField compact="0" showAll="0"/>
    <pivotField axis="axisRow" compact="0" showAll="0">
      <items count="14">
        <item h="1" x="0"/>
        <item x="1"/>
        <item x="2"/>
        <item x="3"/>
        <item x="4"/>
        <item x="5"/>
        <item h="1" x="6"/>
        <item x="7"/>
        <item x="8"/>
        <item x="9"/>
        <item x="10"/>
        <item h="1" x="11"/>
        <item x="12"/>
        <item t="default"/>
      </items>
    </pivotField>
    <pivotField dataField="1" compact="0" showAll="0"/>
    <pivotField compact="0" showAll="0"/>
  </pivotFields>
  <rowFields count="1">
    <field x="1"/>
  </rowFields>
  <dataFields count="1">
    <dataField name="Totals" fld="2" subtotal="sum" numFmtId="167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W3:X12" firstHeaderRow="1" firstDataRow="1" firstDataCol="1"/>
  <pivotFields count="4">
    <pivotField compact="0" showAll="0"/>
    <pivotField axis="axisRow" compact="0" showAll="0">
      <items count="12">
        <item x="0"/>
        <item h="1" x="1"/>
        <item x="2"/>
        <item x="3"/>
        <item h="1" x="4"/>
        <item x="5"/>
        <item x="6"/>
        <item x="7"/>
        <item x="8"/>
        <item h="1" x="9"/>
        <item x="10"/>
        <item t="default"/>
      </items>
    </pivotField>
    <pivotField dataField="1" compact="0" showAll="0"/>
    <pivotField compact="0" showAll="0"/>
  </pivotFields>
  <rowFields count="1">
    <field x="1"/>
  </rowFields>
  <dataFields count="1">
    <dataField name="Totals" fld="2" subtotal="sum" numFmtId="169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O3:P17" firstHeaderRow="1" firstDataRow="1" firstDataCol="1"/>
  <pivotFields count="4">
    <pivotField compact="0" showAll="0"/>
    <pivotField axis="axisRow" compact="0" showAll="0">
      <items count="16">
        <item x="0"/>
        <item h="1" x="1"/>
        <item x="2"/>
        <item x="3"/>
        <item x="4"/>
        <item h="1" x="6"/>
        <item x="7"/>
        <item x="8"/>
        <item x="9"/>
        <item x="10"/>
        <item x="11"/>
        <item x="12"/>
        <item x="13"/>
        <item x="14"/>
        <item x="5"/>
        <item t="default"/>
      </items>
    </pivotField>
    <pivotField dataField="1" compact="0" showAll="0"/>
    <pivotField compact="0" showAll="0"/>
  </pivotFields>
  <rowFields count="1">
    <field x="1"/>
  </rowFields>
  <dataFields count="1">
    <dataField name="Totals" fld="2" subtotal="sum" numFmtId="169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E2:AF13" firstHeaderRow="1" firstDataRow="1" firstDataCol="1"/>
  <pivotFields count="4">
    <pivotField compact="0" showAll="0"/>
    <pivotField axis="axisRow" compact="0" showAll="0">
      <items count="16">
        <item x="0"/>
        <item h="1" x="1"/>
        <item x="2"/>
        <item x="3"/>
        <item h="1" x="4"/>
        <item x="5"/>
        <item h="1" x="6"/>
        <item x="7"/>
        <item x="8"/>
        <item x="9"/>
        <item x="10"/>
        <item h="1" x="11"/>
        <item x="12"/>
        <item h="1" x="13"/>
        <item x="14"/>
        <item t="default"/>
      </items>
    </pivotField>
    <pivotField dataField="1" compact="0" showAll="0"/>
    <pivotField compact="0" showAll="0"/>
  </pivotFields>
  <rowFields count="1">
    <field x="1"/>
  </rowFields>
  <dataFields count="1">
    <dataField name="Sum of Cost" fld="2" subtotal="sum" numFmtId="169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4.4" zeroHeight="false" outlineLevelRow="0" outlineLevelCol="0"/>
  <cols>
    <col collapsed="false" customWidth="true" hidden="false" outlineLevel="0" max="1" min="1" style="0" width="2.78"/>
    <col collapsed="false" customWidth="true" hidden="false" outlineLevel="0" max="2" min="2" style="0" width="8.88"/>
    <col collapsed="false" customWidth="true" hidden="false" outlineLevel="0" max="3" min="3" style="0" width="18"/>
    <col collapsed="false" customWidth="true" hidden="false" outlineLevel="0" max="5" min="5" style="0" width="16.55"/>
    <col collapsed="false" customWidth="true" hidden="false" outlineLevel="0" max="6" min="6" style="0" width="2.78"/>
    <col collapsed="false" customWidth="true" hidden="false" outlineLevel="0" max="7" min="7" style="0" width="19.33"/>
    <col collapsed="false" customWidth="true" hidden="false" outlineLevel="0" max="8" min="8" style="0" width="13.55"/>
    <col collapsed="false" customWidth="true" hidden="false" outlineLevel="0" max="9" min="9" style="0" width="5.79"/>
    <col collapsed="false" customWidth="true" hidden="false" outlineLevel="0" max="11" min="11" style="0" width="19.33"/>
    <col collapsed="false" customWidth="true" hidden="false" outlineLevel="0" max="13" min="13" style="0" width="16.55"/>
    <col collapsed="false" customWidth="true" hidden="false" outlineLevel="0" max="14" min="14" style="0" width="2.78"/>
    <col collapsed="false" customWidth="true" hidden="false" outlineLevel="0" max="15" min="15" style="0" width="19.33"/>
    <col collapsed="false" customWidth="true" hidden="false" outlineLevel="0" max="16" min="16" style="0" width="11.33"/>
    <col collapsed="false" customWidth="true" hidden="false" outlineLevel="0" max="17" min="17" style="0" width="5.79"/>
    <col collapsed="false" customWidth="true" hidden="false" outlineLevel="0" max="19" min="19" style="0" width="20.11"/>
    <col collapsed="false" customWidth="true" hidden="false" outlineLevel="0" max="21" min="21" style="0" width="16.55"/>
    <col collapsed="false" customWidth="true" hidden="false" outlineLevel="0" max="22" min="22" style="0" width="2.78"/>
    <col collapsed="false" customWidth="true" hidden="false" outlineLevel="0" max="23" min="23" style="0" width="20.11"/>
    <col collapsed="false" customWidth="true" hidden="false" outlineLevel="0" max="25" min="25" style="0" width="5.79"/>
    <col collapsed="false" customWidth="true" hidden="false" outlineLevel="0" max="27" min="27" style="0" width="16.33"/>
    <col collapsed="false" customWidth="true" hidden="false" outlineLevel="0" max="29" min="29" style="0" width="16.55"/>
    <col collapsed="false" customWidth="true" hidden="false" outlineLevel="0" max="30" min="30" style="0" width="2.78"/>
    <col collapsed="false" customWidth="true" hidden="false" outlineLevel="0" max="31" min="31" style="0" width="13.78"/>
    <col collapsed="false" customWidth="true" hidden="false" outlineLevel="0" max="32" min="32" style="0" width="11.11"/>
    <col collapsed="false" customWidth="true" hidden="false" outlineLevel="0" max="33" min="33" style="0" width="5.79"/>
  </cols>
  <sheetData>
    <row r="1" customFormat="false" ht="14.4" hidden="false" customHeight="false" outlineLevel="0" collapsed="false">
      <c r="B1" s="1" t="s">
        <v>0</v>
      </c>
      <c r="C1" s="1"/>
      <c r="D1" s="1"/>
      <c r="E1" s="1"/>
      <c r="J1" s="1" t="s">
        <v>1</v>
      </c>
      <c r="K1" s="1"/>
      <c r="L1" s="1"/>
      <c r="M1" s="1"/>
      <c r="R1" s="1" t="s">
        <v>2</v>
      </c>
      <c r="S1" s="1"/>
      <c r="T1" s="1"/>
      <c r="U1" s="1"/>
      <c r="Z1" s="1" t="s">
        <v>3</v>
      </c>
      <c r="AA1" s="1"/>
      <c r="AB1" s="1"/>
      <c r="AC1" s="1"/>
    </row>
    <row r="2" customFormat="false" ht="14.4" hidden="false" customHeight="false" outlineLevel="0" collapsed="false">
      <c r="B2" s="2" t="s">
        <v>4</v>
      </c>
      <c r="C2" s="3" t="s">
        <v>5</v>
      </c>
      <c r="D2" s="3" t="s">
        <v>6</v>
      </c>
      <c r="E2" s="4" t="s">
        <v>7</v>
      </c>
      <c r="J2" s="5" t="s">
        <v>4</v>
      </c>
      <c r="K2" s="3" t="s">
        <v>5</v>
      </c>
      <c r="L2" s="3" t="s">
        <v>6</v>
      </c>
      <c r="M2" s="4" t="s">
        <v>7</v>
      </c>
      <c r="R2" s="5" t="s">
        <v>4</v>
      </c>
      <c r="S2" s="3" t="s">
        <v>5</v>
      </c>
      <c r="T2" s="3" t="s">
        <v>6</v>
      </c>
      <c r="U2" s="4" t="s">
        <v>7</v>
      </c>
      <c r="Z2" s="5" t="s">
        <v>4</v>
      </c>
      <c r="AA2" s="3" t="s">
        <v>5</v>
      </c>
      <c r="AB2" s="3" t="s">
        <v>6</v>
      </c>
      <c r="AC2" s="4" t="s">
        <v>7</v>
      </c>
      <c r="AE2" s="6" t="s">
        <v>5</v>
      </c>
      <c r="AF2" s="7" t="s">
        <v>8</v>
      </c>
    </row>
    <row r="3" customFormat="false" ht="14.4" hidden="false" customHeight="false" outlineLevel="0" collapsed="false">
      <c r="B3" s="8" t="n">
        <v>43479</v>
      </c>
      <c r="C3" s="9" t="s">
        <v>9</v>
      </c>
      <c r="D3" s="10"/>
      <c r="E3" s="11" t="n">
        <v>647.88</v>
      </c>
      <c r="G3" s="6" t="s">
        <v>5</v>
      </c>
      <c r="H3" s="7" t="s">
        <v>10</v>
      </c>
      <c r="J3" s="8" t="n">
        <v>43497</v>
      </c>
      <c r="K3" s="9" t="s">
        <v>9</v>
      </c>
      <c r="L3" s="9"/>
      <c r="M3" s="12" t="n">
        <v>139.14</v>
      </c>
      <c r="O3" s="6" t="s">
        <v>5</v>
      </c>
      <c r="P3" s="7" t="s">
        <v>10</v>
      </c>
      <c r="R3" s="8" t="n">
        <v>43525</v>
      </c>
      <c r="S3" s="9" t="s">
        <v>9</v>
      </c>
      <c r="T3" s="13"/>
      <c r="U3" s="12" t="n">
        <v>165.54</v>
      </c>
      <c r="W3" s="6" t="s">
        <v>5</v>
      </c>
      <c r="X3" s="7" t="s">
        <v>10</v>
      </c>
      <c r="Z3" s="8" t="n">
        <v>43556</v>
      </c>
      <c r="AA3" s="9" t="s">
        <v>9</v>
      </c>
      <c r="AB3" s="13"/>
      <c r="AC3" s="12" t="n">
        <v>56.22</v>
      </c>
      <c r="AE3" s="14" t="s">
        <v>11</v>
      </c>
      <c r="AF3" s="15" t="n">
        <v>-13.2</v>
      </c>
    </row>
    <row r="4" customFormat="false" ht="14.4" hidden="false" customHeight="false" outlineLevel="0" collapsed="false">
      <c r="B4" s="8" t="n">
        <v>43479</v>
      </c>
      <c r="C4" s="9" t="s">
        <v>12</v>
      </c>
      <c r="D4" s="10" t="n">
        <v>-5.39</v>
      </c>
      <c r="E4" s="11" t="n">
        <f aca="false">E3+D4</f>
        <v>642.49</v>
      </c>
      <c r="G4" s="14" t="s">
        <v>13</v>
      </c>
      <c r="H4" s="16" t="n">
        <v>-350</v>
      </c>
      <c r="J4" s="8" t="n">
        <v>43466</v>
      </c>
      <c r="K4" s="9" t="s">
        <v>14</v>
      </c>
      <c r="L4" s="17" t="n">
        <v>150</v>
      </c>
      <c r="M4" s="11" t="n">
        <f aca="false">M3+L4</f>
        <v>289.14</v>
      </c>
      <c r="O4" s="14" t="s">
        <v>11</v>
      </c>
      <c r="P4" s="15" t="n">
        <v>-53</v>
      </c>
      <c r="R4" s="8" t="n">
        <v>43525</v>
      </c>
      <c r="S4" s="9" t="s">
        <v>15</v>
      </c>
      <c r="T4" s="18" t="n">
        <v>-30.98</v>
      </c>
      <c r="U4" s="19" t="n">
        <f aca="false">U3+T4</f>
        <v>134.56</v>
      </c>
      <c r="W4" s="14" t="s">
        <v>11</v>
      </c>
      <c r="X4" s="15" t="n">
        <v>-39.9</v>
      </c>
      <c r="Z4" s="8" t="n">
        <v>43561</v>
      </c>
      <c r="AA4" s="9" t="s">
        <v>16</v>
      </c>
      <c r="AB4" s="13" t="n">
        <v>-2.75</v>
      </c>
      <c r="AC4" s="12" t="n">
        <f aca="false">AC3+AB4</f>
        <v>53.47</v>
      </c>
      <c r="AE4" s="20" t="s">
        <v>16</v>
      </c>
      <c r="AF4" s="21" t="n">
        <v>-15.25</v>
      </c>
    </row>
    <row r="5" customFormat="false" ht="14.4" hidden="false" customHeight="false" outlineLevel="0" collapsed="false">
      <c r="B5" s="8" t="n">
        <v>43481</v>
      </c>
      <c r="C5" s="9" t="s">
        <v>15</v>
      </c>
      <c r="D5" s="10" t="n">
        <v>-73.48</v>
      </c>
      <c r="E5" s="11" t="n">
        <f aca="false">E4+D5</f>
        <v>569.01</v>
      </c>
      <c r="G5" s="20" t="s">
        <v>17</v>
      </c>
      <c r="H5" s="22" t="n">
        <v>-49.99</v>
      </c>
      <c r="J5" s="8" t="n">
        <v>43497</v>
      </c>
      <c r="K5" s="9" t="s">
        <v>18</v>
      </c>
      <c r="L5" s="23" t="n">
        <v>-15</v>
      </c>
      <c r="M5" s="11" t="n">
        <f aca="false">M4+L5</f>
        <v>274.14</v>
      </c>
      <c r="O5" s="20" t="s">
        <v>19</v>
      </c>
      <c r="P5" s="21" t="n">
        <v>-4.1</v>
      </c>
      <c r="R5" s="8" t="n">
        <v>43525</v>
      </c>
      <c r="S5" s="9" t="s">
        <v>20</v>
      </c>
      <c r="T5" s="18" t="n">
        <v>-21.79</v>
      </c>
      <c r="U5" s="19" t="n">
        <f aca="false">U4+T5</f>
        <v>112.77</v>
      </c>
      <c r="W5" s="20" t="s">
        <v>16</v>
      </c>
      <c r="X5" s="21" t="n">
        <v>-14.5</v>
      </c>
      <c r="Z5" s="8" t="n">
        <v>43564</v>
      </c>
      <c r="AA5" s="9" t="s">
        <v>21</v>
      </c>
      <c r="AB5" s="13" t="n">
        <v>152.6</v>
      </c>
      <c r="AC5" s="19" t="n">
        <f aca="false">AC4+AB5</f>
        <v>206.07</v>
      </c>
      <c r="AE5" s="20" t="s">
        <v>22</v>
      </c>
      <c r="AF5" s="21" t="n">
        <v>-56.55</v>
      </c>
    </row>
    <row r="6" customFormat="false" ht="14.4" hidden="false" customHeight="false" outlineLevel="0" collapsed="false">
      <c r="B6" s="8" t="n">
        <v>43481</v>
      </c>
      <c r="C6" s="9" t="s">
        <v>23</v>
      </c>
      <c r="D6" s="10" t="n">
        <v>-5</v>
      </c>
      <c r="E6" s="11" t="n">
        <f aca="false">E5+D6</f>
        <v>564.01</v>
      </c>
      <c r="G6" s="20" t="s">
        <v>16</v>
      </c>
      <c r="H6" s="22" t="n">
        <v>-6.25</v>
      </c>
      <c r="J6" s="8" t="n">
        <v>43497</v>
      </c>
      <c r="K6" s="9" t="s">
        <v>24</v>
      </c>
      <c r="L6" s="13" t="n">
        <v>-28.35</v>
      </c>
      <c r="M6" s="11" t="n">
        <f aca="false">M5+L6</f>
        <v>245.79</v>
      </c>
      <c r="O6" s="20" t="s">
        <v>24</v>
      </c>
      <c r="P6" s="21" t="n">
        <v>-28.35</v>
      </c>
      <c r="R6" s="8" t="n">
        <v>43527</v>
      </c>
      <c r="S6" s="9" t="s">
        <v>16</v>
      </c>
      <c r="T6" s="18" t="n">
        <v>-9</v>
      </c>
      <c r="U6" s="19" t="n">
        <f aca="false">U5+T6</f>
        <v>103.77</v>
      </c>
      <c r="W6" s="20" t="s">
        <v>22</v>
      </c>
      <c r="X6" s="21" t="n">
        <v>-14.5</v>
      </c>
      <c r="Z6" s="8" t="n">
        <v>43565</v>
      </c>
      <c r="AA6" s="9" t="s">
        <v>25</v>
      </c>
      <c r="AB6" s="13" t="n">
        <v>-76.3</v>
      </c>
      <c r="AC6" s="19" t="n">
        <f aca="false">AC5+AB6</f>
        <v>129.77</v>
      </c>
      <c r="AE6" s="20" t="s">
        <v>26</v>
      </c>
      <c r="AF6" s="21" t="n">
        <v>-40</v>
      </c>
    </row>
    <row r="7" customFormat="false" ht="14.4" hidden="false" customHeight="false" outlineLevel="0" collapsed="false">
      <c r="B7" s="8" t="n">
        <v>43482</v>
      </c>
      <c r="C7" s="9" t="s">
        <v>13</v>
      </c>
      <c r="D7" s="10" t="n">
        <v>-350</v>
      </c>
      <c r="E7" s="11" t="n">
        <f aca="false">E6+D7</f>
        <v>214.01</v>
      </c>
      <c r="G7" s="20" t="s">
        <v>23</v>
      </c>
      <c r="H7" s="22" t="n">
        <v>-20</v>
      </c>
      <c r="J7" s="8" t="n">
        <v>43498</v>
      </c>
      <c r="K7" s="9" t="s">
        <v>15</v>
      </c>
      <c r="L7" s="13" t="n">
        <v>-9.09</v>
      </c>
      <c r="M7" s="11" t="n">
        <f aca="false">M6+L7</f>
        <v>236.7</v>
      </c>
      <c r="O7" s="20" t="s">
        <v>16</v>
      </c>
      <c r="P7" s="21" t="n">
        <v>-25.5</v>
      </c>
      <c r="R7" s="8" t="n">
        <v>43529</v>
      </c>
      <c r="S7" s="9" t="s">
        <v>26</v>
      </c>
      <c r="T7" s="18" t="n">
        <v>-10</v>
      </c>
      <c r="U7" s="19" t="n">
        <f aca="false">U6+T7</f>
        <v>93.77</v>
      </c>
      <c r="W7" s="20" t="s">
        <v>26</v>
      </c>
      <c r="X7" s="21" t="n">
        <v>-10</v>
      </c>
      <c r="Z7" s="8" t="n">
        <v>43565</v>
      </c>
      <c r="AA7" s="9" t="s">
        <v>25</v>
      </c>
      <c r="AB7" s="13" t="n">
        <v>-30.52</v>
      </c>
      <c r="AC7" s="19" t="n">
        <f aca="false">AC6+AB7</f>
        <v>99.25</v>
      </c>
      <c r="AE7" s="20" t="s">
        <v>27</v>
      </c>
      <c r="AF7" s="21" t="n">
        <v>-7.88</v>
      </c>
    </row>
    <row r="8" customFormat="false" ht="14.4" hidden="false" customHeight="false" outlineLevel="0" collapsed="false">
      <c r="B8" s="8" t="n">
        <v>43483</v>
      </c>
      <c r="C8" s="9" t="s">
        <v>15</v>
      </c>
      <c r="D8" s="10" t="n">
        <v>-12.55</v>
      </c>
      <c r="E8" s="11" t="n">
        <f aca="false">E7+D8</f>
        <v>201.46</v>
      </c>
      <c r="G8" s="20" t="s">
        <v>12</v>
      </c>
      <c r="H8" s="22" t="n">
        <v>-12.94</v>
      </c>
      <c r="J8" s="8" t="n">
        <v>43498</v>
      </c>
      <c r="K8" s="9" t="s">
        <v>16</v>
      </c>
      <c r="L8" s="13" t="n">
        <v>-14.5</v>
      </c>
      <c r="M8" s="11" t="n">
        <f aca="false">M7+L8</f>
        <v>222.2</v>
      </c>
      <c r="O8" s="20" t="s">
        <v>20</v>
      </c>
      <c r="P8" s="21" t="n">
        <v>-24.52</v>
      </c>
      <c r="R8" s="8" t="n">
        <v>43529</v>
      </c>
      <c r="S8" s="9" t="s">
        <v>16</v>
      </c>
      <c r="T8" s="18" t="n">
        <v>-2.75</v>
      </c>
      <c r="U8" s="19" t="n">
        <f aca="false">U7+T8</f>
        <v>91.02</v>
      </c>
      <c r="W8" s="20" t="s">
        <v>20</v>
      </c>
      <c r="X8" s="21" t="n">
        <v>-42.54</v>
      </c>
      <c r="Z8" s="8" t="n">
        <v>43567</v>
      </c>
      <c r="AA8" s="9" t="s">
        <v>28</v>
      </c>
      <c r="AB8" s="13" t="n">
        <v>823</v>
      </c>
      <c r="AC8" s="19" t="n">
        <f aca="false">AC7+AB8</f>
        <v>922.25</v>
      </c>
      <c r="AE8" s="20" t="s">
        <v>20</v>
      </c>
      <c r="AF8" s="21" t="n">
        <v>-31.7</v>
      </c>
    </row>
    <row r="9" customFormat="false" ht="14.4" hidden="false" customHeight="false" outlineLevel="0" collapsed="false">
      <c r="B9" s="8" t="n">
        <v>43483</v>
      </c>
      <c r="C9" s="9" t="s">
        <v>21</v>
      </c>
      <c r="D9" s="10" t="n">
        <v>786</v>
      </c>
      <c r="E9" s="11" t="n">
        <f aca="false">E8+D9</f>
        <v>987.46</v>
      </c>
      <c r="G9" s="20" t="s">
        <v>20</v>
      </c>
      <c r="H9" s="22" t="n">
        <v>-23.75</v>
      </c>
      <c r="J9" s="8" t="n">
        <v>43499</v>
      </c>
      <c r="K9" s="9" t="s">
        <v>12</v>
      </c>
      <c r="L9" s="13" t="n">
        <v>-6</v>
      </c>
      <c r="M9" s="11" t="n">
        <f aca="false">M8+L9</f>
        <v>216.2</v>
      </c>
      <c r="O9" s="20" t="s">
        <v>29</v>
      </c>
      <c r="P9" s="21" t="n">
        <v>-53.77</v>
      </c>
      <c r="R9" s="8" t="n">
        <v>43531</v>
      </c>
      <c r="S9" s="9" t="s">
        <v>21</v>
      </c>
      <c r="T9" s="13" t="n">
        <v>135.55</v>
      </c>
      <c r="U9" s="19" t="n">
        <f aca="false">U8+T9</f>
        <v>226.57</v>
      </c>
      <c r="W9" s="20" t="s">
        <v>15</v>
      </c>
      <c r="X9" s="21" t="n">
        <v>-108.15</v>
      </c>
      <c r="Z9" s="8" t="n">
        <v>43567</v>
      </c>
      <c r="AA9" s="9" t="s">
        <v>30</v>
      </c>
      <c r="AB9" s="13" t="n">
        <v>66</v>
      </c>
      <c r="AC9" s="19" t="n">
        <f aca="false">AC8+AB9</f>
        <v>988.25</v>
      </c>
      <c r="AE9" s="20" t="s">
        <v>15</v>
      </c>
      <c r="AF9" s="21" t="n">
        <v>-61.04</v>
      </c>
    </row>
    <row r="10" customFormat="false" ht="14.4" hidden="false" customHeight="false" outlineLevel="0" collapsed="false">
      <c r="B10" s="8" t="n">
        <v>43484</v>
      </c>
      <c r="C10" s="9" t="s">
        <v>15</v>
      </c>
      <c r="D10" s="10" t="n">
        <v>-20.37</v>
      </c>
      <c r="E10" s="11" t="n">
        <f aca="false">E9+D10</f>
        <v>967.09</v>
      </c>
      <c r="G10" s="20" t="s">
        <v>29</v>
      </c>
      <c r="H10" s="22" t="n">
        <v>-10.97</v>
      </c>
      <c r="J10" s="8" t="n">
        <v>43499</v>
      </c>
      <c r="K10" s="9" t="s">
        <v>19</v>
      </c>
      <c r="L10" s="13" t="n">
        <v>-4.1</v>
      </c>
      <c r="M10" s="11" t="n">
        <f aca="false">M9+L10</f>
        <v>212.1</v>
      </c>
      <c r="O10" s="20" t="s">
        <v>15</v>
      </c>
      <c r="P10" s="21" t="n">
        <v>-72.34</v>
      </c>
      <c r="R10" s="8" t="n">
        <v>43532</v>
      </c>
      <c r="S10" s="9" t="s">
        <v>16</v>
      </c>
      <c r="T10" s="18" t="n">
        <v>-2.75</v>
      </c>
      <c r="U10" s="19" t="n">
        <f aca="false">U9+T10</f>
        <v>223.82</v>
      </c>
      <c r="W10" s="20" t="s">
        <v>21</v>
      </c>
      <c r="X10" s="21" t="n">
        <v>367.8</v>
      </c>
      <c r="Z10" s="8" t="n">
        <v>43567</v>
      </c>
      <c r="AA10" s="9" t="s">
        <v>15</v>
      </c>
      <c r="AB10" s="13" t="n">
        <v>-41.33</v>
      </c>
      <c r="AC10" s="19" t="n">
        <f aca="false">AC9+AB10</f>
        <v>946.92</v>
      </c>
      <c r="AE10" s="20" t="s">
        <v>31</v>
      </c>
      <c r="AF10" s="21" t="n">
        <v>-20</v>
      </c>
    </row>
    <row r="11" customFormat="false" ht="14.4" hidden="false" customHeight="false" outlineLevel="0" collapsed="false">
      <c r="B11" s="8" t="n">
        <v>43484</v>
      </c>
      <c r="C11" s="9" t="s">
        <v>32</v>
      </c>
      <c r="D11" s="10" t="n">
        <v>-8</v>
      </c>
      <c r="E11" s="11" t="n">
        <f aca="false">E10+D11</f>
        <v>959.09</v>
      </c>
      <c r="G11" s="20" t="s">
        <v>15</v>
      </c>
      <c r="H11" s="22" t="n">
        <v>-117.99</v>
      </c>
      <c r="J11" s="8" t="n">
        <v>43500</v>
      </c>
      <c r="K11" s="9" t="s">
        <v>11</v>
      </c>
      <c r="L11" s="13" t="n">
        <v>-26</v>
      </c>
      <c r="M11" s="11" t="n">
        <f aca="false">M10+L11</f>
        <v>186.1</v>
      </c>
      <c r="O11" s="20" t="s">
        <v>21</v>
      </c>
      <c r="P11" s="21" t="n">
        <v>236.15</v>
      </c>
      <c r="R11" s="8" t="n">
        <v>43532</v>
      </c>
      <c r="S11" s="9" t="s">
        <v>15</v>
      </c>
      <c r="T11" s="18" t="n">
        <v>-24.13</v>
      </c>
      <c r="U11" s="19" t="n">
        <f aca="false">U10+T11</f>
        <v>199.69</v>
      </c>
      <c r="W11" s="20" t="s">
        <v>33</v>
      </c>
      <c r="X11" s="24" t="n">
        <v>25</v>
      </c>
      <c r="Z11" s="8" t="n">
        <v>43567</v>
      </c>
      <c r="AA11" s="9" t="s">
        <v>31</v>
      </c>
      <c r="AB11" s="13" t="n">
        <v>-20</v>
      </c>
      <c r="AC11" s="19" t="n">
        <f aca="false">AC10+AB11</f>
        <v>926.92</v>
      </c>
      <c r="AE11" s="20" t="s">
        <v>21</v>
      </c>
      <c r="AF11" s="21" t="n">
        <v>333.65</v>
      </c>
    </row>
    <row r="12" customFormat="false" ht="14.4" hidden="false" customHeight="false" outlineLevel="0" collapsed="false">
      <c r="B12" s="8" t="n">
        <v>43485</v>
      </c>
      <c r="C12" s="9" t="s">
        <v>25</v>
      </c>
      <c r="D12" s="10" t="n">
        <v>-636</v>
      </c>
      <c r="E12" s="11" t="n">
        <f aca="false">E11+D12</f>
        <v>323.09</v>
      </c>
      <c r="G12" s="20" t="s">
        <v>21</v>
      </c>
      <c r="H12" s="22" t="n">
        <v>786</v>
      </c>
      <c r="J12" s="8" t="n">
        <v>43500</v>
      </c>
      <c r="K12" s="9" t="s">
        <v>11</v>
      </c>
      <c r="L12" s="13" t="n">
        <v>-6</v>
      </c>
      <c r="M12" s="11" t="n">
        <f aca="false">M11+L12</f>
        <v>180.1</v>
      </c>
      <c r="O12" s="20" t="s">
        <v>18</v>
      </c>
      <c r="P12" s="21" t="n">
        <v>-28.5</v>
      </c>
      <c r="R12" s="8" t="n">
        <v>43532</v>
      </c>
      <c r="S12" s="9" t="s">
        <v>20</v>
      </c>
      <c r="T12" s="18" t="n">
        <v>-20.75</v>
      </c>
      <c r="U12" s="19" t="n">
        <f aca="false">U11+T12</f>
        <v>178.94</v>
      </c>
      <c r="W12" s="25" t="s">
        <v>34</v>
      </c>
      <c r="X12" s="26" t="n">
        <v>163.21</v>
      </c>
      <c r="Z12" s="8" t="n">
        <v>43567</v>
      </c>
      <c r="AA12" s="9" t="s">
        <v>25</v>
      </c>
      <c r="AB12" s="13" t="n">
        <v>-411.5</v>
      </c>
      <c r="AC12" s="19" t="n">
        <f aca="false">AC11+AB12</f>
        <v>515.42</v>
      </c>
      <c r="AE12" s="20" t="s">
        <v>35</v>
      </c>
      <c r="AF12" s="24" t="n">
        <v>50</v>
      </c>
    </row>
    <row r="13" customFormat="false" ht="14.4" hidden="false" customHeight="false" outlineLevel="0" collapsed="false">
      <c r="B13" s="8" t="n">
        <v>43485</v>
      </c>
      <c r="C13" s="9" t="s">
        <v>25</v>
      </c>
      <c r="D13" s="10" t="n">
        <v>-50</v>
      </c>
      <c r="E13" s="11" t="n">
        <f aca="false">E12+D13</f>
        <v>273.09</v>
      </c>
      <c r="G13" s="20" t="s">
        <v>32</v>
      </c>
      <c r="H13" s="27" t="n">
        <v>-16.85</v>
      </c>
      <c r="J13" s="8" t="n">
        <v>43500</v>
      </c>
      <c r="K13" s="9" t="s">
        <v>11</v>
      </c>
      <c r="L13" s="13" t="n">
        <v>-21</v>
      </c>
      <c r="M13" s="11" t="n">
        <f aca="false">M12+L13</f>
        <v>159.1</v>
      </c>
      <c r="O13" s="20" t="s">
        <v>32</v>
      </c>
      <c r="P13" s="21" t="n">
        <v>-34.94</v>
      </c>
      <c r="R13" s="8" t="n">
        <v>43533</v>
      </c>
      <c r="S13" s="9" t="s">
        <v>11</v>
      </c>
      <c r="T13" s="18" t="n">
        <v>-39.9</v>
      </c>
      <c r="U13" s="19" t="n">
        <f aca="false">U12+T13</f>
        <v>139.04</v>
      </c>
      <c r="Z13" s="8" t="n">
        <v>43567</v>
      </c>
      <c r="AA13" s="9" t="s">
        <v>25</v>
      </c>
      <c r="AB13" s="13" t="n">
        <v>-288.05</v>
      </c>
      <c r="AC13" s="19" t="n">
        <f aca="false">AC12+AB13</f>
        <v>227.37</v>
      </c>
      <c r="AE13" s="25" t="s">
        <v>34</v>
      </c>
      <c r="AF13" s="26" t="n">
        <v>138.03</v>
      </c>
    </row>
    <row r="14" customFormat="false" ht="14.4" hidden="false" customHeight="false" outlineLevel="0" collapsed="false">
      <c r="B14" s="8" t="n">
        <v>43486</v>
      </c>
      <c r="C14" s="9" t="s">
        <v>23</v>
      </c>
      <c r="D14" s="10" t="n">
        <v>-15</v>
      </c>
      <c r="E14" s="11" t="n">
        <f aca="false">E13+D14</f>
        <v>258.09</v>
      </c>
      <c r="G14" s="25" t="s">
        <v>34</v>
      </c>
      <c r="H14" s="28" t="n">
        <v>177.26</v>
      </c>
      <c r="J14" s="8" t="n">
        <v>43503</v>
      </c>
      <c r="K14" s="9" t="s">
        <v>21</v>
      </c>
      <c r="L14" s="13" t="n">
        <v>77.85</v>
      </c>
      <c r="M14" s="11" t="n">
        <f aca="false">M13+L14</f>
        <v>236.95</v>
      </c>
      <c r="O14" s="20" t="s">
        <v>14</v>
      </c>
      <c r="P14" s="21" t="n">
        <v>150</v>
      </c>
      <c r="R14" s="8" t="n">
        <v>43534</v>
      </c>
      <c r="S14" s="9" t="s">
        <v>25</v>
      </c>
      <c r="T14" s="18" t="n">
        <v>-67.76</v>
      </c>
      <c r="U14" s="19" t="n">
        <f aca="false">U13+T14</f>
        <v>71.28</v>
      </c>
      <c r="W14" s="29" t="s">
        <v>36</v>
      </c>
      <c r="X14" s="30" t="n">
        <f aca="false">SUM(X4:X9)</f>
        <v>-229.59</v>
      </c>
      <c r="Z14" s="8" t="n">
        <v>43572</v>
      </c>
      <c r="AA14" s="9" t="s">
        <v>27</v>
      </c>
      <c r="AB14" s="13" t="n">
        <v>-7.88</v>
      </c>
      <c r="AC14" s="19" t="n">
        <f aca="false">AC13+AB14</f>
        <v>219.49</v>
      </c>
    </row>
    <row r="15" customFormat="false" ht="14.4" hidden="false" customHeight="false" outlineLevel="0" collapsed="false">
      <c r="B15" s="8" t="n">
        <v>43486</v>
      </c>
      <c r="C15" s="9" t="s">
        <v>32</v>
      </c>
      <c r="D15" s="10" t="n">
        <v>-8.85</v>
      </c>
      <c r="E15" s="11" t="n">
        <f aca="false">E14+D15</f>
        <v>249.24</v>
      </c>
      <c r="H15" s="31"/>
      <c r="J15" s="8" t="n">
        <v>43504</v>
      </c>
      <c r="K15" s="9" t="s">
        <v>18</v>
      </c>
      <c r="L15" s="13" t="n">
        <v>-13.5</v>
      </c>
      <c r="M15" s="11" t="n">
        <f aca="false">M14+L15</f>
        <v>223.45</v>
      </c>
      <c r="O15" s="20" t="s">
        <v>37</v>
      </c>
      <c r="P15" s="21" t="n">
        <v>16</v>
      </c>
      <c r="R15" s="8" t="n">
        <v>43539</v>
      </c>
      <c r="S15" s="9" t="s">
        <v>15</v>
      </c>
      <c r="T15" s="18" t="n">
        <v>-14.26</v>
      </c>
      <c r="U15" s="19" t="n">
        <f aca="false">U14+T15</f>
        <v>57.02</v>
      </c>
      <c r="W15" s="2" t="s">
        <v>38</v>
      </c>
      <c r="X15" s="32" t="n">
        <f aca="false">SUM(X10:X11)</f>
        <v>392.8</v>
      </c>
      <c r="Z15" s="8" t="n">
        <v>43572</v>
      </c>
      <c r="AA15" s="9" t="s">
        <v>16</v>
      </c>
      <c r="AB15" s="13" t="n">
        <v>-4</v>
      </c>
      <c r="AC15" s="19" t="n">
        <f aca="false">AC14+AB15</f>
        <v>215.49</v>
      </c>
      <c r="AE15" s="29" t="s">
        <v>36</v>
      </c>
      <c r="AF15" s="30" t="n">
        <f aca="false">SUM(AF3:AF10)</f>
        <v>-245.62</v>
      </c>
    </row>
    <row r="16" customFormat="false" ht="14.4" hidden="false" customHeight="false" outlineLevel="0" collapsed="false">
      <c r="B16" s="8" t="n">
        <v>43489</v>
      </c>
      <c r="C16" s="9" t="s">
        <v>16</v>
      </c>
      <c r="D16" s="10" t="n">
        <v>-6.25</v>
      </c>
      <c r="E16" s="11" t="n">
        <f aca="false">E15+D16</f>
        <v>242.99</v>
      </c>
      <c r="G16" s="29" t="s">
        <v>36</v>
      </c>
      <c r="H16" s="33" t="n">
        <f aca="false">SUM(H4:H11,GETPIVOTDATA("Cost",$G$3,"Category","Shopping"))</f>
        <v>-608.74</v>
      </c>
      <c r="J16" s="8" t="n">
        <v>43504</v>
      </c>
      <c r="K16" s="9" t="s">
        <v>15</v>
      </c>
      <c r="L16" s="13" t="n">
        <v>-12.93</v>
      </c>
      <c r="M16" s="11" t="n">
        <f aca="false">M15+L16</f>
        <v>210.52</v>
      </c>
      <c r="O16" s="20" t="s">
        <v>22</v>
      </c>
      <c r="P16" s="24" t="n">
        <v>-50.73</v>
      </c>
      <c r="R16" s="8" t="n">
        <v>43544</v>
      </c>
      <c r="S16" s="9" t="s">
        <v>33</v>
      </c>
      <c r="T16" s="13" t="n">
        <v>25</v>
      </c>
      <c r="U16" s="19" t="n">
        <f aca="false">U15+T16</f>
        <v>82.02</v>
      </c>
      <c r="Z16" s="8" t="n">
        <v>43573</v>
      </c>
      <c r="AA16" s="9" t="s">
        <v>20</v>
      </c>
      <c r="AB16" s="13" t="n">
        <v>-31.7</v>
      </c>
      <c r="AC16" s="19" t="n">
        <f aca="false">AC15+AB16</f>
        <v>183.79</v>
      </c>
      <c r="AE16" s="2" t="s">
        <v>38</v>
      </c>
      <c r="AF16" s="32" t="n">
        <f aca="false">SUM(AF11:AF12)</f>
        <v>383.65</v>
      </c>
    </row>
    <row r="17" customFormat="false" ht="14.4" hidden="false" customHeight="false" outlineLevel="0" collapsed="false">
      <c r="B17" s="8" t="n">
        <v>43490</v>
      </c>
      <c r="C17" s="9" t="s">
        <v>15</v>
      </c>
      <c r="D17" s="10" t="n">
        <v>-11.59</v>
      </c>
      <c r="E17" s="11" t="n">
        <f aca="false">E16+D17</f>
        <v>231.4</v>
      </c>
      <c r="G17" s="2" t="s">
        <v>38</v>
      </c>
      <c r="H17" s="34" t="n">
        <f aca="false">GETPIVOTDATA("Cost",$G$3,"Category","Pay Day")</f>
        <v>786</v>
      </c>
      <c r="J17" s="8" t="n">
        <v>43505</v>
      </c>
      <c r="K17" s="9" t="s">
        <v>29</v>
      </c>
      <c r="L17" s="13" t="n">
        <v>-53.77</v>
      </c>
      <c r="M17" s="11" t="n">
        <f aca="false">M16+L17</f>
        <v>156.75</v>
      </c>
      <c r="O17" s="25" t="s">
        <v>34</v>
      </c>
      <c r="P17" s="26" t="n">
        <v>26.4</v>
      </c>
      <c r="R17" s="8" t="n">
        <v>43546</v>
      </c>
      <c r="S17" s="9" t="s">
        <v>21</v>
      </c>
      <c r="T17" s="13" t="n">
        <v>232.25</v>
      </c>
      <c r="U17" s="19" t="n">
        <f aca="false">U16+T17</f>
        <v>314.27</v>
      </c>
      <c r="Z17" s="8" t="n">
        <v>43573</v>
      </c>
      <c r="AA17" s="9" t="s">
        <v>26</v>
      </c>
      <c r="AB17" s="13" t="n">
        <v>-40</v>
      </c>
      <c r="AC17" s="19" t="n">
        <f aca="false">AC16+AB17</f>
        <v>143.79</v>
      </c>
    </row>
    <row r="18" customFormat="false" ht="14.4" hidden="false" customHeight="false" outlineLevel="0" collapsed="false">
      <c r="B18" s="8" t="n">
        <v>43490</v>
      </c>
      <c r="C18" s="9" t="s">
        <v>12</v>
      </c>
      <c r="D18" s="10" t="n">
        <v>-7.55</v>
      </c>
      <c r="E18" s="11" t="n">
        <f aca="false">E17+D18</f>
        <v>223.85</v>
      </c>
      <c r="J18" s="8" t="n">
        <v>43505</v>
      </c>
      <c r="K18" s="9" t="s">
        <v>12</v>
      </c>
      <c r="L18" s="13" t="n">
        <v>-19.48</v>
      </c>
      <c r="M18" s="11" t="n">
        <f aca="false">M17+L18</f>
        <v>137.27</v>
      </c>
      <c r="R18" s="8" t="n">
        <v>43546</v>
      </c>
      <c r="S18" s="9" t="s">
        <v>25</v>
      </c>
      <c r="T18" s="13" t="n">
        <v>-60</v>
      </c>
      <c r="U18" s="19" t="n">
        <f aca="false">U17+T18</f>
        <v>254.27</v>
      </c>
      <c r="Z18" s="8" t="n">
        <v>43573</v>
      </c>
      <c r="AA18" s="9" t="s">
        <v>15</v>
      </c>
      <c r="AB18" s="13" t="n">
        <v>-7.99</v>
      </c>
      <c r="AC18" s="19" t="n">
        <f aca="false">AC17+AB18</f>
        <v>135.8</v>
      </c>
    </row>
    <row r="19" customFormat="false" ht="14.4" hidden="false" customHeight="false" outlineLevel="0" collapsed="false">
      <c r="B19" s="8" t="n">
        <v>43490</v>
      </c>
      <c r="C19" s="9" t="s">
        <v>17</v>
      </c>
      <c r="D19" s="10" t="n">
        <v>-49.99</v>
      </c>
      <c r="E19" s="11" t="n">
        <f aca="false">E18+D19</f>
        <v>173.86</v>
      </c>
      <c r="J19" s="8" t="n">
        <v>43516</v>
      </c>
      <c r="K19" s="9" t="s">
        <v>16</v>
      </c>
      <c r="L19" s="13" t="n">
        <v>-11</v>
      </c>
      <c r="M19" s="11" t="n">
        <f aca="false">M18+L19</f>
        <v>126.27</v>
      </c>
      <c r="O19" s="29" t="s">
        <v>36</v>
      </c>
      <c r="P19" s="30" t="n">
        <f aca="false">SUM(P13:P14,P4:P11)</f>
        <v>-375.75</v>
      </c>
      <c r="R19" s="8" t="n">
        <v>43546</v>
      </c>
      <c r="S19" s="9" t="s">
        <v>25</v>
      </c>
      <c r="T19" s="13" t="n">
        <v>-127.8</v>
      </c>
      <c r="U19" s="19" t="n">
        <f aca="false">U18+T19</f>
        <v>126.47</v>
      </c>
      <c r="Z19" s="8" t="n">
        <v>43574</v>
      </c>
      <c r="AA19" s="9" t="s">
        <v>22</v>
      </c>
      <c r="AB19" s="13" t="n">
        <v>-17.5</v>
      </c>
      <c r="AC19" s="19" t="n">
        <f aca="false">AC18+AB19</f>
        <v>118.3</v>
      </c>
    </row>
    <row r="20" customFormat="false" ht="14.4" hidden="false" customHeight="false" outlineLevel="0" collapsed="false">
      <c r="B20" s="8" t="n">
        <v>43492</v>
      </c>
      <c r="C20" s="9" t="s">
        <v>20</v>
      </c>
      <c r="D20" s="10" t="n">
        <v>-23.75</v>
      </c>
      <c r="E20" s="11" t="n">
        <f aca="false">E19+D20</f>
        <v>150.11</v>
      </c>
      <c r="J20" s="8" t="n">
        <v>43517</v>
      </c>
      <c r="K20" s="9" t="s">
        <v>32</v>
      </c>
      <c r="L20" s="13" t="n">
        <v>-34.94</v>
      </c>
      <c r="M20" s="11" t="n">
        <f aca="false">M19+L20</f>
        <v>91.33</v>
      </c>
      <c r="O20" s="2" t="s">
        <v>38</v>
      </c>
      <c r="P20" s="32" t="n">
        <f aca="false">SUM(GETPIVOTDATA("Cost",$O$3,"Category","Pay Day"), P15:P16)</f>
        <v>402.15</v>
      </c>
      <c r="R20" s="8" t="n">
        <v>43546</v>
      </c>
      <c r="S20" s="9" t="s">
        <v>25</v>
      </c>
      <c r="T20" s="13" t="n">
        <v>-16.97</v>
      </c>
      <c r="U20" s="19" t="n">
        <f aca="false">U19+T20</f>
        <v>109.5</v>
      </c>
      <c r="Z20" s="8" t="n">
        <v>43574</v>
      </c>
      <c r="AA20" s="9" t="s">
        <v>15</v>
      </c>
      <c r="AB20" s="13" t="n">
        <v>-7.23</v>
      </c>
      <c r="AC20" s="19" t="n">
        <f aca="false">AC19+AB20</f>
        <v>111.07</v>
      </c>
    </row>
    <row r="21" customFormat="false" ht="14.4" hidden="false" customHeight="false" outlineLevel="0" collapsed="false">
      <c r="B21" s="8" t="n">
        <v>43494</v>
      </c>
      <c r="C21" s="9" t="s">
        <v>29</v>
      </c>
      <c r="D21" s="10" t="n">
        <v>-10.97</v>
      </c>
      <c r="E21" s="11" t="n">
        <f aca="false">E20+D21</f>
        <v>139.14</v>
      </c>
      <c r="J21" s="8" t="n">
        <v>43518</v>
      </c>
      <c r="K21" s="9" t="s">
        <v>21</v>
      </c>
      <c r="L21" s="13" t="n">
        <v>158.3</v>
      </c>
      <c r="M21" s="11" t="n">
        <f aca="false">M20+L21</f>
        <v>249.63</v>
      </c>
      <c r="R21" s="8" t="n">
        <v>43546</v>
      </c>
      <c r="S21" s="9" t="s">
        <v>15</v>
      </c>
      <c r="T21" s="13" t="n">
        <v>-25.59</v>
      </c>
      <c r="U21" s="19" t="n">
        <f aca="false">U20+T21</f>
        <v>83.91</v>
      </c>
      <c r="Z21" s="8" t="n">
        <v>43575</v>
      </c>
      <c r="AA21" s="9" t="s">
        <v>22</v>
      </c>
      <c r="AB21" s="13" t="n">
        <v>-21.21</v>
      </c>
      <c r="AC21" s="19" t="n">
        <f aca="false">AC20+AB21</f>
        <v>89.86</v>
      </c>
    </row>
    <row r="22" customFormat="false" ht="14.4" hidden="false" customHeight="false" outlineLevel="0" collapsed="false">
      <c r="B22" s="35" t="n">
        <v>43496</v>
      </c>
      <c r="C22" s="3" t="s">
        <v>39</v>
      </c>
      <c r="D22" s="36"/>
      <c r="E22" s="37" t="n">
        <f aca="false">E21</f>
        <v>139.14</v>
      </c>
      <c r="J22" s="8" t="n">
        <v>43518</v>
      </c>
      <c r="K22" s="9" t="s">
        <v>15</v>
      </c>
      <c r="L22" s="13" t="n">
        <v>-50.32</v>
      </c>
      <c r="M22" s="11" t="n">
        <f aca="false">M21+L22</f>
        <v>199.31</v>
      </c>
      <c r="R22" s="8" t="n">
        <v>43548</v>
      </c>
      <c r="S22" s="9" t="s">
        <v>22</v>
      </c>
      <c r="T22" s="13" t="n">
        <v>-7.5</v>
      </c>
      <c r="U22" s="19" t="n">
        <f aca="false">U21+T22</f>
        <v>76.41</v>
      </c>
      <c r="Z22" s="8" t="n">
        <v>43575</v>
      </c>
      <c r="AA22" s="9" t="s">
        <v>22</v>
      </c>
      <c r="AB22" s="13" t="n">
        <v>-4.35</v>
      </c>
      <c r="AC22" s="19" t="n">
        <f aca="false">AC21+AB22</f>
        <v>85.51</v>
      </c>
    </row>
    <row r="23" customFormat="false" ht="14.4" hidden="false" customHeight="false" outlineLevel="0" collapsed="false">
      <c r="D23" s="10"/>
      <c r="E23" s="38"/>
      <c r="J23" s="8" t="n">
        <v>43519</v>
      </c>
      <c r="K23" s="9" t="s">
        <v>20</v>
      </c>
      <c r="L23" s="13" t="n">
        <v>-24.52</v>
      </c>
      <c r="M23" s="11" t="n">
        <f aca="false">M22+L23</f>
        <v>174.79</v>
      </c>
      <c r="R23" s="8" t="n">
        <v>43550</v>
      </c>
      <c r="S23" s="9" t="s">
        <v>22</v>
      </c>
      <c r="T23" s="13" t="n">
        <v>-7</v>
      </c>
      <c r="U23" s="19" t="n">
        <f aca="false">U22+T23</f>
        <v>69.41</v>
      </c>
      <c r="Z23" s="8" t="n">
        <v>43575</v>
      </c>
      <c r="AA23" s="9" t="s">
        <v>11</v>
      </c>
      <c r="AB23" s="13" t="n">
        <v>-13.2</v>
      </c>
      <c r="AC23" s="19" t="n">
        <f aca="false">AC22+AB23</f>
        <v>72.31</v>
      </c>
    </row>
    <row r="24" customFormat="false" ht="14.4" hidden="false" customHeight="false" outlineLevel="0" collapsed="false">
      <c r="D24" s="10"/>
      <c r="E24" s="38"/>
      <c r="J24" s="8" t="n">
        <v>43521</v>
      </c>
      <c r="K24" s="9" t="s">
        <v>37</v>
      </c>
      <c r="L24" s="13" t="n">
        <v>16</v>
      </c>
      <c r="M24" s="11" t="n">
        <f aca="false">M23+L24</f>
        <v>190.79</v>
      </c>
      <c r="R24" s="8" t="n">
        <v>43553</v>
      </c>
      <c r="S24" s="9" t="s">
        <v>15</v>
      </c>
      <c r="T24" s="13" t="n">
        <v>-13.19</v>
      </c>
      <c r="U24" s="19" t="n">
        <f aca="false">U23+T24</f>
        <v>56.22</v>
      </c>
      <c r="Z24" s="8" t="n">
        <v>43576</v>
      </c>
      <c r="AA24" s="9" t="s">
        <v>15</v>
      </c>
      <c r="AB24" s="13" t="n">
        <v>-4.49</v>
      </c>
      <c r="AC24" s="19" t="n">
        <f aca="false">AC23+AB24</f>
        <v>67.82</v>
      </c>
    </row>
    <row r="25" customFormat="false" ht="14.4" hidden="false" customHeight="true" outlineLevel="0" collapsed="false">
      <c r="A25" s="12"/>
      <c r="B25" s="39" t="s">
        <v>40</v>
      </c>
      <c r="C25" s="39"/>
      <c r="D25" s="39"/>
      <c r="E25" s="39"/>
      <c r="F25" s="39"/>
      <c r="G25" s="39"/>
      <c r="H25" s="39"/>
      <c r="J25" s="8" t="n">
        <v>43521</v>
      </c>
      <c r="K25" s="9" t="s">
        <v>22</v>
      </c>
      <c r="L25" s="13" t="n">
        <v>-25.25</v>
      </c>
      <c r="M25" s="11" t="n">
        <f aca="false">M24+L25</f>
        <v>165.54</v>
      </c>
      <c r="R25" s="35" t="n">
        <v>43555</v>
      </c>
      <c r="S25" s="3" t="s">
        <v>41</v>
      </c>
      <c r="T25" s="40"/>
      <c r="U25" s="41" t="n">
        <f aca="false">U24</f>
        <v>56.22</v>
      </c>
      <c r="Z25" s="8" t="n">
        <v>43576</v>
      </c>
      <c r="AA25" s="9" t="s">
        <v>16</v>
      </c>
      <c r="AB25" s="13" t="n">
        <v>-8.5</v>
      </c>
      <c r="AC25" s="19" t="n">
        <f aca="false">AC24+AB25</f>
        <v>59.32</v>
      </c>
    </row>
    <row r="26" customFormat="false" ht="14.4" hidden="false" customHeight="false" outlineLevel="0" collapsed="false">
      <c r="A26" s="12"/>
      <c r="B26" s="39"/>
      <c r="C26" s="39"/>
      <c r="D26" s="39"/>
      <c r="E26" s="39"/>
      <c r="F26" s="39"/>
      <c r="G26" s="39"/>
      <c r="H26" s="39"/>
      <c r="J26" s="35" t="n">
        <v>43524</v>
      </c>
      <c r="K26" s="3" t="s">
        <v>39</v>
      </c>
      <c r="L26" s="40"/>
      <c r="M26" s="37" t="n">
        <f aca="false">M25</f>
        <v>165.54</v>
      </c>
      <c r="Z26" s="8" t="n">
        <v>43576</v>
      </c>
      <c r="AA26" s="9" t="s">
        <v>22</v>
      </c>
      <c r="AB26" s="13" t="n">
        <v>-13.49</v>
      </c>
      <c r="AC26" s="19" t="n">
        <f aca="false">AC25+AB26</f>
        <v>45.83</v>
      </c>
    </row>
    <row r="27" customFormat="false" ht="14.4" hidden="false" customHeight="false" outlineLevel="0" collapsed="false">
      <c r="A27" s="12"/>
      <c r="B27" s="39"/>
      <c r="C27" s="39"/>
      <c r="D27" s="39"/>
      <c r="E27" s="39"/>
      <c r="F27" s="39"/>
      <c r="G27" s="39"/>
      <c r="H27" s="39"/>
      <c r="L27" s="42"/>
      <c r="M27" s="38"/>
      <c r="Z27" s="8" t="n">
        <v>43579</v>
      </c>
      <c r="AA27" s="9" t="s">
        <v>21</v>
      </c>
      <c r="AB27" s="13" t="n">
        <v>181.05</v>
      </c>
      <c r="AC27" s="19" t="n">
        <f aca="false">AC26+AB27</f>
        <v>226.88</v>
      </c>
    </row>
    <row r="28" customFormat="false" ht="14.4" hidden="false" customHeight="false" outlineLevel="0" collapsed="false">
      <c r="A28" s="12"/>
      <c r="B28" s="39"/>
      <c r="C28" s="39"/>
      <c r="D28" s="39"/>
      <c r="E28" s="39"/>
      <c r="F28" s="39"/>
      <c r="G28" s="39"/>
      <c r="H28" s="39"/>
      <c r="L28" s="42"/>
      <c r="M28" s="38"/>
      <c r="Z28" s="8" t="n">
        <v>43580</v>
      </c>
      <c r="AA28" s="9" t="s">
        <v>25</v>
      </c>
      <c r="AB28" s="13" t="n">
        <v>-90.53</v>
      </c>
      <c r="AC28" s="19" t="n">
        <f aca="false">AC27+AB28</f>
        <v>136.35</v>
      </c>
    </row>
    <row r="29" customFormat="false" ht="14.4" hidden="false" customHeight="false" outlineLevel="0" collapsed="false">
      <c r="A29" s="12"/>
      <c r="B29" s="39"/>
      <c r="C29" s="39"/>
      <c r="D29" s="39"/>
      <c r="E29" s="39"/>
      <c r="F29" s="39"/>
      <c r="G29" s="39"/>
      <c r="H29" s="39"/>
      <c r="L29" s="38"/>
      <c r="M29" s="38"/>
      <c r="Z29" s="8" t="n">
        <v>43580</v>
      </c>
      <c r="AA29" s="9" t="s">
        <v>25</v>
      </c>
      <c r="AB29" s="13" t="n">
        <v>-36.21</v>
      </c>
      <c r="AC29" s="19" t="n">
        <f aca="false">AC28+AB29</f>
        <v>100.14</v>
      </c>
    </row>
    <row r="30" customFormat="false" ht="14.4" hidden="false" customHeight="false" outlineLevel="0" collapsed="false">
      <c r="A30" s="12"/>
      <c r="B30" s="39"/>
      <c r="C30" s="39"/>
      <c r="D30" s="39"/>
      <c r="E30" s="39"/>
      <c r="F30" s="39"/>
      <c r="G30" s="39"/>
      <c r="H30" s="39"/>
      <c r="L30" s="38"/>
      <c r="M30" s="38"/>
      <c r="Z30" s="8" t="n">
        <v>43581</v>
      </c>
      <c r="AA30" s="9" t="s">
        <v>35</v>
      </c>
      <c r="AB30" s="13" t="n">
        <v>50</v>
      </c>
      <c r="AC30" s="19" t="n">
        <f aca="false">AC29+AB30</f>
        <v>150.14</v>
      </c>
    </row>
    <row r="31" customFormat="false" ht="14.4" hidden="false" customHeight="false" outlineLevel="0" collapsed="false">
      <c r="A31" s="12"/>
      <c r="B31" s="39"/>
      <c r="C31" s="39"/>
      <c r="D31" s="39"/>
      <c r="E31" s="39"/>
      <c r="F31" s="39"/>
      <c r="G31" s="39"/>
      <c r="H31" s="39"/>
      <c r="Z31" s="35" t="n">
        <v>43583</v>
      </c>
      <c r="AA31" s="3" t="s">
        <v>42</v>
      </c>
      <c r="AB31" s="3"/>
      <c r="AC31" s="41" t="n">
        <f aca="false">AC30+AB31</f>
        <v>150.14</v>
      </c>
    </row>
    <row r="32" customFormat="false" ht="14.4" hidden="false" customHeight="false" outlineLevel="0" collapsed="false">
      <c r="A32" s="12"/>
      <c r="B32" s="39"/>
      <c r="C32" s="39"/>
      <c r="D32" s="39"/>
      <c r="E32" s="39"/>
      <c r="F32" s="39"/>
      <c r="G32" s="39"/>
      <c r="H32" s="39"/>
    </row>
    <row r="33" customFormat="false" ht="14.4" hidden="false" customHeight="false" outlineLevel="0" collapsed="false">
      <c r="A33" s="12"/>
      <c r="B33" s="39"/>
      <c r="C33" s="39"/>
      <c r="D33" s="39"/>
      <c r="E33" s="39"/>
      <c r="F33" s="39"/>
      <c r="G33" s="39"/>
      <c r="H33" s="39"/>
    </row>
    <row r="34" customFormat="false" ht="14.4" hidden="false" customHeight="false" outlineLevel="0" collapsed="false">
      <c r="A34" s="12"/>
      <c r="B34" s="39"/>
      <c r="C34" s="39"/>
      <c r="D34" s="39"/>
      <c r="E34" s="39"/>
      <c r="F34" s="39"/>
      <c r="G34" s="39"/>
      <c r="H34" s="39"/>
    </row>
    <row r="35" customFormat="false" ht="14.4" hidden="false" customHeight="false" outlineLevel="0" collapsed="false">
      <c r="A35" s="12"/>
      <c r="B35" s="39"/>
      <c r="C35" s="39"/>
      <c r="D35" s="39"/>
      <c r="E35" s="39"/>
      <c r="F35" s="39"/>
      <c r="G35" s="39"/>
      <c r="H35" s="39"/>
    </row>
    <row r="36" customFormat="false" ht="14.4" hidden="false" customHeight="false" outlineLevel="0" collapsed="false">
      <c r="A36" s="12"/>
      <c r="B36" s="39"/>
      <c r="C36" s="39"/>
      <c r="D36" s="39"/>
      <c r="E36" s="39"/>
      <c r="F36" s="39"/>
      <c r="G36" s="39"/>
      <c r="H36" s="39"/>
    </row>
    <row r="38" customFormat="false" ht="14.4" hidden="false" customHeight="true" outlineLevel="0" collapsed="false">
      <c r="E38" s="43" t="s">
        <v>43</v>
      </c>
      <c r="G38" s="44" t="s">
        <v>44</v>
      </c>
      <c r="H38" s="45" t="s">
        <v>45</v>
      </c>
    </row>
    <row r="39" customFormat="false" ht="14.4" hidden="false" customHeight="false" outlineLevel="0" collapsed="false">
      <c r="E39" s="43"/>
      <c r="G39" s="46" t="s">
        <v>11</v>
      </c>
      <c r="H39" s="19" t="n">
        <f aca="false">GETPIVOTDATA("Cost",$O$3,"Category","Alcohol")+GETPIVOTDATA("Cost",$W$3,"Category","Alcohol")+GETPIVOTDATA("Cost",$AE$3,"Category","Alcohol")</f>
        <v>-106.1</v>
      </c>
    </row>
    <row r="40" customFormat="false" ht="14.4" hidden="false" customHeight="false" outlineLevel="0" collapsed="false">
      <c r="E40" s="43"/>
      <c r="G40" s="47" t="s">
        <v>13</v>
      </c>
      <c r="H40" s="19" t="n">
        <f aca="false">GETPIVOTDATA("Cost",$G$3,"Category","Car Payment")</f>
        <v>-350</v>
      </c>
    </row>
    <row r="41" customFormat="false" ht="14.4" hidden="false" customHeight="false" outlineLevel="0" collapsed="false">
      <c r="G41" s="46" t="s">
        <v>19</v>
      </c>
      <c r="H41" s="19" t="n">
        <f aca="false">GETPIVOTDATA("Cost",$O$3,"Category","City Parking")</f>
        <v>-4.1</v>
      </c>
    </row>
    <row r="42" customFormat="false" ht="14.4" hidden="false" customHeight="false" outlineLevel="0" collapsed="false">
      <c r="G42" s="46" t="s">
        <v>24</v>
      </c>
      <c r="H42" s="19" t="n">
        <f aca="false">GETPIVOTDATA("Cost",$O$3,"Category","Clothes")+GETPIVOTDATA("Cost",$G$3,"Category","Clothing")</f>
        <v>-78.34</v>
      </c>
    </row>
    <row r="43" customFormat="false" ht="14.4" hidden="false" customHeight="false" outlineLevel="0" collapsed="false">
      <c r="G43" s="46" t="s">
        <v>16</v>
      </c>
      <c r="H43" s="19" t="n">
        <f aca="false">GETPIVOTDATA("Cost",$G$3,"Category","Coffee")+GETPIVOTDATA("Cost",$O$3,"Category","Coffee")+GETPIVOTDATA("Cost",$W$3,"Category","Coffee")+GETPIVOTDATA("Cost",$AE$3,"Category","Coffee")</f>
        <v>-61.5</v>
      </c>
    </row>
    <row r="44" customFormat="false" ht="14.4" hidden="false" customHeight="false" outlineLevel="0" collapsed="false">
      <c r="G44" s="46" t="s">
        <v>23</v>
      </c>
      <c r="H44" s="19" t="n">
        <f aca="false">GETPIVOTDATA("Cost",$G$3,"Category","College")</f>
        <v>-20</v>
      </c>
    </row>
    <row r="45" customFormat="false" ht="14.4" hidden="false" customHeight="false" outlineLevel="0" collapsed="false">
      <c r="G45" s="46" t="s">
        <v>12</v>
      </c>
      <c r="H45" s="19" t="n">
        <f aca="false">GETPIVOTDATA("Cost",$G$3,"Category","Eating Out")+GETPIVOTDATA("Cost",$O$3,"Category","Eating Out")+GETPIVOTDATA("Cost",$W$3,"Category","Eating out")+GETPIVOTDATA("Cost",$W$3,"Category","Eating out")</f>
        <v>-92.67</v>
      </c>
    </row>
    <row r="46" customFormat="false" ht="14.4" hidden="false" customHeight="false" outlineLevel="0" collapsed="false">
      <c r="G46" s="46" t="s">
        <v>26</v>
      </c>
      <c r="H46" s="19" t="n">
        <f aca="false">GETPIVOTDATA("Cost",$W$3,"Category","Entertainment")+GETPIVOTDATA("Cost",$AE$3,"Category","Entertainment")</f>
        <v>-50</v>
      </c>
    </row>
    <row r="47" customFormat="false" ht="14.4" hidden="false" customHeight="false" outlineLevel="0" collapsed="false">
      <c r="G47" s="46" t="s">
        <v>27</v>
      </c>
      <c r="H47" s="19" t="n">
        <f aca="false">GETPIVOTDATA("Cost",$AE$3,"Category","Food for Club")</f>
        <v>-7.88</v>
      </c>
    </row>
    <row r="48" customFormat="false" ht="14.4" hidden="false" customHeight="false" outlineLevel="0" collapsed="false">
      <c r="G48" s="46" t="s">
        <v>20</v>
      </c>
      <c r="H48" s="19" t="n">
        <f aca="false">GETPIVOTDATA("Cost",$W$3,"Category","Fuel")+GETPIVOTDATA("Cost",$O$3,"Category","Fuel")+GETPIVOTDATA("Cost",$G$3,"Category","Fuel")+GETPIVOTDATA("Cost",$AE$2,"Category","Fuel")</f>
        <v>-122.51</v>
      </c>
    </row>
    <row r="49" customFormat="false" ht="14.4" hidden="false" customHeight="false" outlineLevel="0" collapsed="false">
      <c r="G49" s="46" t="s">
        <v>29</v>
      </c>
      <c r="H49" s="19" t="n">
        <f aca="false">GETPIVOTDATA("Cost",$G$3,"Category","Gifts")+GETPIVOTDATA("Cost",$O$3,"Category","Gifts")</f>
        <v>-64.74</v>
      </c>
    </row>
    <row r="50" customFormat="false" ht="14.4" hidden="false" customHeight="false" outlineLevel="0" collapsed="false">
      <c r="G50" s="46" t="s">
        <v>15</v>
      </c>
      <c r="H50" s="19" t="n">
        <f aca="false">GETPIVOTDATA("Cost",$G$3,"Category","Groceries")+GETPIVOTDATA("Cost",$O$3,"Category","Groceries")+GETPIVOTDATA("Cost",$W$3,"Category","Groceries")-85+GETPIVOTDATA("Cost",$AE$3,"Category","Groceries")</f>
        <v>-444.52</v>
      </c>
    </row>
    <row r="51" customFormat="false" ht="14.4" hidden="false" customHeight="false" outlineLevel="0" collapsed="false">
      <c r="G51" s="46" t="s">
        <v>46</v>
      </c>
      <c r="H51" s="19" t="n">
        <v>-105</v>
      </c>
    </row>
    <row r="52" customFormat="false" ht="14.4" hidden="false" customHeight="false" outlineLevel="0" collapsed="false">
      <c r="G52" s="46" t="s">
        <v>21</v>
      </c>
      <c r="H52" s="19" t="n">
        <f aca="false">GETPIVOTDATA("Cost",$W$3,"Category","Pay Day")+GETPIVOTDATA("Cost",$O$3,"Category","Pay Day")+GETPIVOTDATA("Cost",$G$3,"Category","Pay Day")+GETPIVOTDATA("Cost",$AE$3,"Category","Pay Day")</f>
        <v>1723.6</v>
      </c>
    </row>
    <row r="53" customFormat="false" ht="14.4" hidden="false" customHeight="false" outlineLevel="0" collapsed="false">
      <c r="G53" s="46" t="s">
        <v>18</v>
      </c>
      <c r="H53" s="19" t="n">
        <f aca="false">GETPIVOTDATA("Cost",$O$3,"Category","Personal Care")</f>
        <v>-28.5</v>
      </c>
    </row>
    <row r="54" customFormat="false" ht="14.4" hidden="false" customHeight="false" outlineLevel="0" collapsed="false">
      <c r="G54" s="46" t="s">
        <v>35</v>
      </c>
      <c r="H54" s="19" t="n">
        <f aca="false">GETPIVOTDATA("Cost",$AE$3,"Category","Refund for Club")</f>
        <v>50</v>
      </c>
    </row>
    <row r="55" customFormat="false" ht="14.4" hidden="false" customHeight="false" outlineLevel="0" collapsed="false">
      <c r="G55" s="46" t="s">
        <v>32</v>
      </c>
      <c r="H55" s="19" t="n">
        <f aca="false">GETPIVOTDATA("Cost",$G$3,"Category","Shopping")+GETPIVOTDATA("Cost",$O$3,"Category","Shopping")</f>
        <v>-51.79</v>
      </c>
    </row>
    <row r="56" customFormat="false" ht="14.4" hidden="false" customHeight="false" outlineLevel="0" collapsed="false">
      <c r="G56" s="46" t="s">
        <v>14</v>
      </c>
      <c r="H56" s="19" t="n">
        <f aca="false">GETPIVOTDATA("Cost",$W$3,"Category","Transfer into Checkings")+GETPIVOTDATA("Cost",$O$3,"Category","Transfer into Checking")</f>
        <v>175</v>
      </c>
    </row>
    <row r="57" customFormat="false" ht="14.4" hidden="false" customHeight="false" outlineLevel="0" collapsed="false">
      <c r="G57" s="46" t="s">
        <v>37</v>
      </c>
      <c r="H57" s="19" t="n">
        <f aca="false">GETPIVOTDATA("Cost",$O$3,"Category","Venmo")</f>
        <v>16</v>
      </c>
    </row>
    <row r="58" customFormat="false" ht="14.4" hidden="false" customHeight="false" outlineLevel="0" collapsed="false">
      <c r="G58" s="48" t="s">
        <v>47</v>
      </c>
      <c r="H58" s="49" t="n">
        <f aca="false">SUM(H39:H57)</f>
        <v>376.95</v>
      </c>
    </row>
  </sheetData>
  <mergeCells count="6">
    <mergeCell ref="B1:E1"/>
    <mergeCell ref="J1:M1"/>
    <mergeCell ref="R1:U1"/>
    <mergeCell ref="Z1:AC1"/>
    <mergeCell ref="B25:H36"/>
    <mergeCell ref="E38:E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4.4" zeroHeight="false" outlineLevelRow="0" outlineLevelCol="0"/>
  <cols>
    <col collapsed="false" customWidth="true" hidden="false" outlineLevel="0" max="3" min="3" style="0" width="15.33"/>
    <col collapsed="false" customWidth="true" hidden="false" outlineLevel="0" max="4" min="4" style="0" width="14.77"/>
    <col collapsed="false" customWidth="true" hidden="false" outlineLevel="0" max="5" min="5" style="0" width="12.66"/>
    <col collapsed="false" customWidth="true" hidden="false" outlineLevel="0" max="6" min="6" style="0" width="1.78"/>
    <col collapsed="false" customWidth="true" hidden="false" outlineLevel="0" max="7" min="7" style="0" width="16.66"/>
    <col collapsed="false" customWidth="true" hidden="false" outlineLevel="0" max="8" min="8" style="0" width="16.11"/>
    <col collapsed="false" customWidth="true" hidden="false" outlineLevel="0" max="9" min="9" style="0" width="14.11"/>
    <col collapsed="false" customWidth="true" hidden="false" outlineLevel="0" max="10" min="10" style="0" width="1.78"/>
    <col collapsed="false" customWidth="true" hidden="false" outlineLevel="0" max="11" min="11" style="0" width="16.66"/>
    <col collapsed="false" customWidth="true" hidden="false" outlineLevel="0" max="12" min="12" style="0" width="16.11"/>
  </cols>
  <sheetData>
    <row r="2" customFormat="false" ht="14.4" hidden="false" customHeight="true" outlineLevel="0" collapsed="false">
      <c r="B2" s="39" t="s">
        <v>48</v>
      </c>
      <c r="C2" s="39"/>
      <c r="D2" s="39"/>
      <c r="G2" s="44" t="s">
        <v>49</v>
      </c>
      <c r="H2" s="45" t="s">
        <v>50</v>
      </c>
      <c r="I2" s="45"/>
    </row>
    <row r="3" customFormat="false" ht="14.4" hidden="false" customHeight="false" outlineLevel="0" collapsed="false">
      <c r="B3" s="39"/>
      <c r="C3" s="39"/>
      <c r="D3" s="39"/>
      <c r="G3" s="47" t="s">
        <v>51</v>
      </c>
      <c r="H3" s="50" t="n">
        <f aca="false">-I17/E17</f>
        <v>0.774478371501272</v>
      </c>
      <c r="I3" s="50"/>
    </row>
    <row r="4" customFormat="false" ht="14.4" hidden="false" customHeight="false" outlineLevel="0" collapsed="false">
      <c r="B4" s="39"/>
      <c r="C4" s="39"/>
      <c r="D4" s="39"/>
      <c r="G4" s="47" t="s">
        <v>52</v>
      </c>
      <c r="H4" s="50" t="n">
        <f aca="false">-I18/E18</f>
        <v>0.934352853412906</v>
      </c>
      <c r="I4" s="50"/>
    </row>
    <row r="5" customFormat="false" ht="14.4" hidden="false" customHeight="false" outlineLevel="0" collapsed="false">
      <c r="B5" s="39"/>
      <c r="C5" s="39"/>
      <c r="D5" s="39"/>
      <c r="G5" s="47" t="s">
        <v>53</v>
      </c>
      <c r="H5" s="50" t="n">
        <f aca="false">-I19/E19</f>
        <v>0.602316700610998</v>
      </c>
      <c r="I5" s="50"/>
    </row>
    <row r="6" customFormat="false" ht="14.4" hidden="false" customHeight="false" outlineLevel="0" collapsed="false">
      <c r="B6" s="39"/>
      <c r="C6" s="39"/>
      <c r="D6" s="39"/>
      <c r="G6" s="5" t="s">
        <v>54</v>
      </c>
      <c r="H6" s="32" t="n">
        <f aca="false">-I20/E20</f>
        <v>0.640218949563404</v>
      </c>
      <c r="I6" s="32"/>
    </row>
    <row r="7" customFormat="false" ht="14.4" hidden="false" customHeight="false" outlineLevel="0" collapsed="false">
      <c r="B7" s="39"/>
      <c r="C7" s="39"/>
      <c r="D7" s="39"/>
    </row>
    <row r="8" customFormat="false" ht="14.4" hidden="false" customHeight="false" outlineLevel="0" collapsed="false">
      <c r="B8" s="39"/>
      <c r="C8" s="39"/>
      <c r="D8" s="39"/>
    </row>
    <row r="9" customFormat="false" ht="14.4" hidden="false" customHeight="false" outlineLevel="0" collapsed="false">
      <c r="B9" s="39"/>
      <c r="C9" s="39"/>
      <c r="D9" s="39"/>
    </row>
    <row r="10" customFormat="false" ht="14.4" hidden="false" customHeight="false" outlineLevel="0" collapsed="false">
      <c r="B10" s="39"/>
      <c r="C10" s="39"/>
      <c r="D10" s="39"/>
    </row>
    <row r="11" customFormat="false" ht="14.4" hidden="false" customHeight="false" outlineLevel="0" collapsed="false">
      <c r="B11" s="39"/>
      <c r="C11" s="39"/>
      <c r="D11" s="39"/>
    </row>
    <row r="12" customFormat="false" ht="14.4" hidden="false" customHeight="false" outlineLevel="0" collapsed="false">
      <c r="B12" s="39"/>
      <c r="C12" s="39"/>
      <c r="D12" s="39"/>
    </row>
    <row r="13" customFormat="false" ht="14.4" hidden="false" customHeight="false" outlineLevel="0" collapsed="false">
      <c r="B13" s="39"/>
      <c r="C13" s="39"/>
      <c r="D13" s="39"/>
    </row>
    <row r="14" customFormat="false" ht="14.4" hidden="false" customHeight="false" outlineLevel="0" collapsed="false">
      <c r="B14" s="39"/>
      <c r="C14" s="39"/>
      <c r="D14" s="39"/>
    </row>
    <row r="16" customFormat="false" ht="14.4" hidden="false" customHeight="false" outlineLevel="0" collapsed="false">
      <c r="B16" s="51"/>
      <c r="C16" s="52" t="s">
        <v>55</v>
      </c>
      <c r="D16" s="52" t="s">
        <v>56</v>
      </c>
      <c r="E16" s="52" t="s">
        <v>57</v>
      </c>
      <c r="F16" s="52"/>
      <c r="G16" s="52" t="s">
        <v>58</v>
      </c>
      <c r="H16" s="52" t="s">
        <v>59</v>
      </c>
      <c r="I16" s="53" t="s">
        <v>60</v>
      </c>
    </row>
    <row r="17" customFormat="false" ht="14.4" hidden="false" customHeight="false" outlineLevel="0" collapsed="false">
      <c r="B17" s="47" t="s">
        <v>51</v>
      </c>
      <c r="C17" s="31" t="n">
        <v>700</v>
      </c>
      <c r="D17" s="31" t="n">
        <f aca="false">E17-C17</f>
        <v>86</v>
      </c>
      <c r="E17" s="31" t="n">
        <v>786</v>
      </c>
      <c r="F17" s="31"/>
      <c r="G17" s="18" t="n">
        <v>-500</v>
      </c>
      <c r="H17" s="18" t="n">
        <f aca="false">I17-G17</f>
        <v>-108.74</v>
      </c>
      <c r="I17" s="54" t="n">
        <v>-608.74</v>
      </c>
    </row>
    <row r="18" customFormat="false" ht="14.4" hidden="false" customHeight="false" outlineLevel="0" collapsed="false">
      <c r="B18" s="47" t="s">
        <v>52</v>
      </c>
      <c r="C18" s="31" t="n">
        <v>220</v>
      </c>
      <c r="D18" s="31" t="n">
        <f aca="false">E18-C18</f>
        <v>182.15</v>
      </c>
      <c r="E18" s="31" t="n">
        <v>402.15</v>
      </c>
      <c r="F18" s="31"/>
      <c r="G18" s="18" t="n">
        <v>-200</v>
      </c>
      <c r="H18" s="18" t="n">
        <f aca="false">I18-G18</f>
        <v>-175.75</v>
      </c>
      <c r="I18" s="54" t="n">
        <v>-375.75</v>
      </c>
    </row>
    <row r="19" customFormat="false" ht="14.4" hidden="false" customHeight="false" outlineLevel="0" collapsed="false">
      <c r="B19" s="47" t="s">
        <v>61</v>
      </c>
      <c r="C19" s="31" t="n">
        <v>220</v>
      </c>
      <c r="D19" s="31" t="n">
        <f aca="false">E19-C19</f>
        <v>172.8</v>
      </c>
      <c r="E19" s="31" t="n">
        <v>392.8</v>
      </c>
      <c r="F19" s="31"/>
      <c r="G19" s="18" t="n">
        <v>-200</v>
      </c>
      <c r="H19" s="18" t="n">
        <f aca="false">I19-G19</f>
        <v>-36.59</v>
      </c>
      <c r="I19" s="54" t="n">
        <v>-236.59</v>
      </c>
    </row>
    <row r="20" customFormat="false" ht="14.4" hidden="false" customHeight="false" outlineLevel="0" collapsed="false">
      <c r="B20" s="5" t="s">
        <v>54</v>
      </c>
      <c r="C20" s="55" t="n">
        <v>250</v>
      </c>
      <c r="D20" s="55" t="n">
        <f aca="false">E20-C20</f>
        <v>133.65</v>
      </c>
      <c r="E20" s="55" t="n">
        <v>383.65</v>
      </c>
      <c r="F20" s="3"/>
      <c r="G20" s="40" t="n">
        <v>-220</v>
      </c>
      <c r="H20" s="56" t="n">
        <f aca="false">I20-G20</f>
        <v>-25.62</v>
      </c>
      <c r="I20" s="41" t="n">
        <v>-245.62</v>
      </c>
    </row>
  </sheetData>
  <mergeCells count="6">
    <mergeCell ref="B2:D14"/>
    <mergeCell ref="H2:I2"/>
    <mergeCell ref="H3:I3"/>
    <mergeCell ref="H4:I4"/>
    <mergeCell ref="H5:I5"/>
    <mergeCell ref="H6:I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28125" defaultRowHeight="14.4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14.77"/>
    <col collapsed="false" customWidth="true" hidden="false" outlineLevel="0" max="3" min="3" style="0" width="18.67"/>
    <col collapsed="false" customWidth="true" hidden="false" outlineLevel="0" max="4" min="4" style="0" width="18.11"/>
    <col collapsed="false" customWidth="true" hidden="false" outlineLevel="0" max="5" min="5" style="0" width="17.22"/>
    <col collapsed="false" customWidth="true" hidden="false" outlineLevel="0" max="6" min="6" style="0" width="27.66"/>
    <col collapsed="false" customWidth="true" hidden="false" outlineLevel="0" max="7" min="7" style="0" width="4.79"/>
    <col collapsed="false" customWidth="true" hidden="false" outlineLevel="0" max="8" min="8" style="0" width="9.55"/>
    <col collapsed="false" customWidth="true" hidden="false" outlineLevel="0" max="9" min="9" style="0" width="8.11"/>
    <col collapsed="false" customWidth="true" hidden="false" outlineLevel="0" max="10" min="10" style="0" width="9.33"/>
    <col collapsed="false" customWidth="true" hidden="false" outlineLevel="0" max="11" min="11" style="0" width="18.11"/>
    <col collapsed="false" customWidth="true" hidden="false" outlineLevel="0" max="12" min="12" style="0" width="19.33"/>
    <col collapsed="false" customWidth="true" hidden="false" outlineLevel="0" max="13" min="13" style="0" width="20.33"/>
  </cols>
  <sheetData>
    <row r="1" customFormat="false" ht="14.4" hidden="false" customHeight="false" outlineLevel="0" collapsed="false">
      <c r="A1" s="51"/>
      <c r="B1" s="52" t="s">
        <v>62</v>
      </c>
      <c r="C1" s="57" t="s">
        <v>63</v>
      </c>
      <c r="D1" s="45" t="s">
        <v>64</v>
      </c>
      <c r="H1" s="44" t="s">
        <v>65</v>
      </c>
      <c r="I1" s="57" t="s">
        <v>66</v>
      </c>
      <c r="J1" s="57" t="s">
        <v>67</v>
      </c>
      <c r="K1" s="57" t="s">
        <v>68</v>
      </c>
      <c r="L1" s="57" t="s">
        <v>69</v>
      </c>
      <c r="M1" s="45" t="s">
        <v>70</v>
      </c>
    </row>
    <row r="2" customFormat="false" ht="14.4" hidden="false" customHeight="false" outlineLevel="0" collapsed="false">
      <c r="A2" s="47" t="s">
        <v>71</v>
      </c>
      <c r="B2" s="9" t="n">
        <v>250</v>
      </c>
      <c r="C2" s="58" t="n">
        <v>0.05</v>
      </c>
      <c r="D2" s="59" t="s">
        <v>72</v>
      </c>
      <c r="H2" s="47" t="s">
        <v>73</v>
      </c>
      <c r="I2" s="31" t="n">
        <v>78</v>
      </c>
      <c r="J2" s="31" t="n">
        <v>77.85</v>
      </c>
      <c r="K2" s="31" t="n">
        <f aca="false">I2</f>
        <v>78</v>
      </c>
      <c r="L2" s="31" t="n">
        <f aca="false">J2</f>
        <v>77.85</v>
      </c>
      <c r="M2" s="60" t="n">
        <f aca="false">I2-J2</f>
        <v>0.150000000000006</v>
      </c>
    </row>
    <row r="3" customFormat="false" ht="14.4" hidden="false" customHeight="false" outlineLevel="0" collapsed="false">
      <c r="A3" s="47" t="s">
        <v>74</v>
      </c>
      <c r="B3" s="9" t="n">
        <f aca="false">0.7*B2</f>
        <v>175</v>
      </c>
      <c r="C3" s="58" t="n">
        <v>0.07</v>
      </c>
      <c r="D3" s="12" t="s">
        <v>75</v>
      </c>
      <c r="H3" s="47" t="s">
        <v>76</v>
      </c>
      <c r="I3" s="31" t="n">
        <v>162</v>
      </c>
      <c r="J3" s="31" t="n">
        <v>158.3</v>
      </c>
      <c r="K3" s="31" t="n">
        <f aca="false">K2+I3</f>
        <v>240</v>
      </c>
      <c r="L3" s="31" t="n">
        <f aca="false">L2+J3</f>
        <v>236.15</v>
      </c>
      <c r="M3" s="60" t="n">
        <f aca="false">(I3-J3)+M2</f>
        <v>3.84999999999999</v>
      </c>
    </row>
    <row r="4" customFormat="false" ht="14.4" hidden="false" customHeight="false" outlineLevel="0" collapsed="false">
      <c r="A4" s="47" t="s">
        <v>77</v>
      </c>
      <c r="B4" s="9" t="n">
        <f aca="false">B2-B3</f>
        <v>75</v>
      </c>
      <c r="C4" s="58" t="n">
        <v>0.09</v>
      </c>
      <c r="D4" s="12" t="s">
        <v>78</v>
      </c>
      <c r="H4" s="47" t="s">
        <v>79</v>
      </c>
      <c r="I4" s="31" t="n">
        <v>138</v>
      </c>
      <c r="J4" s="31" t="n">
        <v>135.55</v>
      </c>
      <c r="K4" s="31" t="n">
        <f aca="false">K3+I4</f>
        <v>378</v>
      </c>
      <c r="L4" s="31" t="n">
        <f aca="false">L3+J4</f>
        <v>371.7</v>
      </c>
      <c r="M4" s="60" t="n">
        <f aca="false">(I4-J4)+M3</f>
        <v>6.29999999999998</v>
      </c>
    </row>
    <row r="5" customFormat="false" ht="14.4" hidden="false" customHeight="false" outlineLevel="0" collapsed="false">
      <c r="A5" s="5"/>
      <c r="B5" s="3"/>
      <c r="C5" s="61" t="n">
        <v>0.099</v>
      </c>
      <c r="D5" s="4" t="s">
        <v>80</v>
      </c>
      <c r="H5" s="47" t="s">
        <v>81</v>
      </c>
      <c r="I5" s="31" t="n">
        <v>240</v>
      </c>
      <c r="J5" s="31" t="n">
        <v>232.25</v>
      </c>
      <c r="K5" s="31" t="n">
        <f aca="false">K4+I5</f>
        <v>618</v>
      </c>
      <c r="L5" s="31" t="n">
        <f aca="false">L4+J5</f>
        <v>603.95</v>
      </c>
      <c r="M5" s="60" t="n">
        <f aca="false">(I5-J5)+M4</f>
        <v>14.05</v>
      </c>
    </row>
    <row r="6" customFormat="false" ht="14.4" hidden="false" customHeight="false" outlineLevel="0" collapsed="false">
      <c r="H6" s="47" t="s">
        <v>82</v>
      </c>
      <c r="I6" s="31" t="n">
        <v>156</v>
      </c>
      <c r="J6" s="31" t="n">
        <v>152.6</v>
      </c>
      <c r="K6" s="31" t="n">
        <f aca="false">K5+I6</f>
        <v>774</v>
      </c>
      <c r="L6" s="31" t="n">
        <f aca="false">L5+J6</f>
        <v>756.55</v>
      </c>
      <c r="M6" s="60" t="n">
        <f aca="false">(I6-J6)+M5</f>
        <v>17.45</v>
      </c>
    </row>
    <row r="7" customFormat="false" ht="14.4" hidden="false" customHeight="false" outlineLevel="0" collapsed="false">
      <c r="H7" s="47" t="s">
        <v>83</v>
      </c>
      <c r="I7" s="31" t="n">
        <v>186</v>
      </c>
      <c r="J7" s="31" t="n">
        <v>181.05</v>
      </c>
      <c r="K7" s="31" t="n">
        <f aca="false">K6+I7</f>
        <v>960</v>
      </c>
      <c r="L7" s="31" t="n">
        <f aca="false">L6+J7</f>
        <v>937.6</v>
      </c>
      <c r="M7" s="60" t="n">
        <f aca="false">(I7-J7)+M6</f>
        <v>22.4</v>
      </c>
    </row>
    <row r="8" customFormat="false" ht="14.4" hidden="false" customHeight="false" outlineLevel="0" collapsed="false">
      <c r="A8" s="44" t="s">
        <v>84</v>
      </c>
      <c r="B8" s="52"/>
      <c r="C8" s="62" t="s">
        <v>85</v>
      </c>
      <c r="D8" s="62"/>
      <c r="E8" s="62" t="s">
        <v>86</v>
      </c>
      <c r="F8" s="62"/>
      <c r="H8" s="52"/>
      <c r="I8" s="63"/>
      <c r="J8" s="63"/>
      <c r="K8" s="63"/>
      <c r="L8" s="63"/>
      <c r="M8" s="63"/>
    </row>
    <row r="9" customFormat="false" ht="14.4" hidden="false" customHeight="false" outlineLevel="0" collapsed="false">
      <c r="A9" s="47"/>
      <c r="B9" s="57" t="s">
        <v>87</v>
      </c>
      <c r="C9" s="57" t="s">
        <v>88</v>
      </c>
      <c r="D9" s="57" t="s">
        <v>89</v>
      </c>
      <c r="E9" s="57" t="s">
        <v>90</v>
      </c>
      <c r="F9" s="45" t="s">
        <v>91</v>
      </c>
      <c r="H9" s="9"/>
      <c r="I9" s="9"/>
      <c r="J9" s="9"/>
      <c r="K9" s="31"/>
      <c r="L9" s="31"/>
      <c r="M9" s="31"/>
    </row>
    <row r="10" customFormat="false" ht="14.4" hidden="false" customHeight="false" outlineLevel="0" collapsed="false">
      <c r="A10" s="47" t="s">
        <v>92</v>
      </c>
      <c r="B10" s="31" t="n">
        <f aca="false">((4*2.5)*12)*0.95</f>
        <v>114</v>
      </c>
      <c r="C10" s="31" t="n">
        <v>152.6</v>
      </c>
      <c r="D10" s="31" t="n">
        <v>181.05</v>
      </c>
      <c r="E10" s="31" t="n">
        <f aca="false">(((2.5*3)+3)*12)*0.95</f>
        <v>119.7</v>
      </c>
      <c r="F10" s="60" t="n">
        <f aca="false">((4.5+1)*12)*0.95</f>
        <v>62.7</v>
      </c>
      <c r="H10" s="9"/>
      <c r="I10" s="9"/>
      <c r="J10" s="9"/>
      <c r="K10" s="9"/>
      <c r="L10" s="9"/>
      <c r="M10" s="9"/>
    </row>
    <row r="11" customFormat="false" ht="14.4" hidden="false" customHeight="false" outlineLevel="0" collapsed="false">
      <c r="A11" s="47" t="s">
        <v>93</v>
      </c>
      <c r="B11" s="31" t="n">
        <f aca="false">B10*0.5</f>
        <v>57</v>
      </c>
      <c r="C11" s="31" t="n">
        <f aca="false">C10*0.5</f>
        <v>76.3</v>
      </c>
      <c r="D11" s="31" t="n">
        <f aca="false">D10*0.5</f>
        <v>90.525</v>
      </c>
      <c r="E11" s="31" t="n">
        <f aca="false">E10*0.5</f>
        <v>59.85</v>
      </c>
      <c r="F11" s="60" t="n">
        <f aca="false">F10*0.5</f>
        <v>31.35</v>
      </c>
      <c r="H11" s="9"/>
      <c r="I11" s="9"/>
      <c r="J11" s="9"/>
      <c r="K11" s="9"/>
      <c r="L11" s="9"/>
      <c r="M11" s="9"/>
    </row>
    <row r="12" customFormat="false" ht="14.4" hidden="false" customHeight="false" outlineLevel="0" collapsed="false">
      <c r="A12" s="47" t="s">
        <v>94</v>
      </c>
      <c r="B12" s="31" t="n">
        <f aca="false">B10*0.2</f>
        <v>22.8</v>
      </c>
      <c r="C12" s="31" t="n">
        <f aca="false">C10*0.2</f>
        <v>30.52</v>
      </c>
      <c r="D12" s="31" t="n">
        <f aca="false">D10*0.2</f>
        <v>36.21</v>
      </c>
      <c r="E12" s="31" t="n">
        <f aca="false">E10*0.2</f>
        <v>23.94</v>
      </c>
      <c r="F12" s="60" t="n">
        <f aca="false">F10*0.2</f>
        <v>12.54</v>
      </c>
      <c r="H12" s="9"/>
      <c r="I12" s="9"/>
      <c r="J12" s="9"/>
      <c r="K12" s="9"/>
      <c r="L12" s="9"/>
      <c r="M12" s="9"/>
    </row>
    <row r="13" customFormat="false" ht="14.4" hidden="false" customHeight="false" outlineLevel="0" collapsed="false">
      <c r="A13" s="5" t="s">
        <v>95</v>
      </c>
      <c r="B13" s="55" t="n">
        <f aca="false">B10-B11-B12</f>
        <v>34.2</v>
      </c>
      <c r="C13" s="55" t="n">
        <f aca="false">C10-C11-C12</f>
        <v>45.78</v>
      </c>
      <c r="D13" s="55" t="n">
        <f aca="false">D10-D11-D12</f>
        <v>54.315</v>
      </c>
      <c r="E13" s="55" t="n">
        <f aca="false">E10-E11-E12</f>
        <v>35.91</v>
      </c>
      <c r="F13" s="34" t="n">
        <f aca="false">F10-F11-F12</f>
        <v>18.81</v>
      </c>
      <c r="H13" s="9"/>
      <c r="I13" s="9"/>
      <c r="J13" s="9"/>
      <c r="K13" s="9"/>
      <c r="L13" s="9"/>
      <c r="M13" s="9"/>
    </row>
    <row r="14" customFormat="false" ht="14.4" hidden="false" customHeight="false" outlineLevel="0" collapsed="false">
      <c r="B14" s="31"/>
      <c r="C14" s="31"/>
      <c r="D14" s="31"/>
      <c r="E14" s="31"/>
      <c r="F14" s="31"/>
    </row>
    <row r="17" customFormat="false" ht="14.4" hidden="false" customHeight="false" outlineLevel="0" collapsed="false">
      <c r="A17" s="44" t="s">
        <v>96</v>
      </c>
      <c r="B17" s="57" t="s">
        <v>97</v>
      </c>
      <c r="C17" s="57" t="s">
        <v>89</v>
      </c>
      <c r="D17" s="57" t="s">
        <v>90</v>
      </c>
      <c r="E17" s="57" t="s">
        <v>91</v>
      </c>
      <c r="F17" s="45" t="s">
        <v>98</v>
      </c>
      <c r="G17" s="9"/>
    </row>
    <row r="18" customFormat="false" ht="14.4" hidden="false" customHeight="false" outlineLevel="0" collapsed="false">
      <c r="A18" s="47" t="s">
        <v>99</v>
      </c>
      <c r="B18" s="31" t="n">
        <v>877.35</v>
      </c>
      <c r="C18" s="31" t="n">
        <f aca="false">B18+D11</f>
        <v>967.875</v>
      </c>
      <c r="D18" s="31" t="n">
        <f aca="false">C18+E11</f>
        <v>1027.725</v>
      </c>
      <c r="E18" s="31" t="n">
        <f aca="false">D18+F11</f>
        <v>1059.075</v>
      </c>
      <c r="F18" s="60" t="n">
        <f aca="false">D18+F11</f>
        <v>1059.075</v>
      </c>
      <c r="H18" s="64"/>
    </row>
    <row r="19" customFormat="false" ht="14.4" hidden="false" customHeight="false" outlineLevel="0" collapsed="false">
      <c r="A19" s="47" t="s">
        <v>100</v>
      </c>
      <c r="B19" s="31" t="n">
        <v>454.78</v>
      </c>
      <c r="C19" s="31" t="n">
        <f aca="false">B19+D12</f>
        <v>490.99</v>
      </c>
      <c r="D19" s="31" t="n">
        <f aca="false">C19+E12</f>
        <v>514.93</v>
      </c>
      <c r="E19" s="31" t="n">
        <f aca="false">D19+F12</f>
        <v>527.47</v>
      </c>
      <c r="F19" s="60" t="n">
        <f aca="false">D19+F12</f>
        <v>527.47</v>
      </c>
      <c r="H19" s="64"/>
    </row>
    <row r="20" customFormat="false" ht="14.4" hidden="false" customHeight="false" outlineLevel="0" collapsed="false">
      <c r="A20" s="47" t="s">
        <v>101</v>
      </c>
      <c r="B20" s="65" t="n">
        <v>150.14</v>
      </c>
      <c r="C20" s="31"/>
      <c r="D20" s="31"/>
      <c r="E20" s="31" t="n">
        <f aca="false">B20+F13</f>
        <v>168.95</v>
      </c>
      <c r="F20" s="60" t="n">
        <f aca="false">B20+F13</f>
        <v>168.95</v>
      </c>
      <c r="H20" s="64"/>
    </row>
    <row r="21" customFormat="false" ht="14.4" hidden="false" customHeight="false" outlineLevel="0" collapsed="false">
      <c r="A21" s="5" t="s">
        <v>47</v>
      </c>
      <c r="B21" s="66" t="n">
        <f aca="false">SUM(B18:B20)</f>
        <v>1482.27</v>
      </c>
      <c r="C21" s="66" t="n">
        <f aca="false">1432.27</f>
        <v>1432.27</v>
      </c>
      <c r="D21" s="66" t="n">
        <f aca="false">SUM(D18:D20)</f>
        <v>1542.655</v>
      </c>
      <c r="E21" s="66" t="n">
        <f aca="false">SUM(E18:E20)</f>
        <v>1755.495</v>
      </c>
      <c r="F21" s="32" t="n">
        <f aca="false">SUM(F18:F20)</f>
        <v>1755.495</v>
      </c>
    </row>
    <row r="23" customFormat="false" ht="14.4" hidden="false" customHeight="false" outlineLevel="0" collapsed="false">
      <c r="A23" s="44" t="s">
        <v>102</v>
      </c>
      <c r="B23" s="57" t="s">
        <v>47</v>
      </c>
      <c r="C23" s="57" t="s">
        <v>103</v>
      </c>
      <c r="D23" s="57" t="s">
        <v>104</v>
      </c>
      <c r="E23" s="57" t="s">
        <v>95</v>
      </c>
      <c r="F23" s="45" t="s">
        <v>105</v>
      </c>
    </row>
    <row r="24" customFormat="false" ht="14.4" hidden="false" customHeight="false" outlineLevel="0" collapsed="false">
      <c r="A24" s="47" t="s">
        <v>106</v>
      </c>
      <c r="B24" s="31" t="n">
        <v>66</v>
      </c>
      <c r="C24" s="9"/>
      <c r="D24" s="9"/>
      <c r="E24" s="67" t="n">
        <f aca="false">B24-61.33</f>
        <v>4.67</v>
      </c>
      <c r="F24" s="12" t="s">
        <v>107</v>
      </c>
    </row>
    <row r="25" customFormat="false" ht="14.4" hidden="false" customHeight="false" outlineLevel="0" collapsed="false">
      <c r="A25" s="47" t="s">
        <v>108</v>
      </c>
      <c r="B25" s="31" t="n">
        <v>823</v>
      </c>
      <c r="C25" s="67" t="n">
        <f aca="false">0.5*B25</f>
        <v>411.5</v>
      </c>
      <c r="D25" s="67" t="n">
        <f aca="false">0.35*B25</f>
        <v>288.05</v>
      </c>
      <c r="E25" s="67" t="n">
        <f aca="false">0.15*B25</f>
        <v>123.45</v>
      </c>
      <c r="F25" s="12" t="s">
        <v>107</v>
      </c>
    </row>
    <row r="26" customFormat="false" ht="14.4" hidden="false" customHeight="false" outlineLevel="0" collapsed="false">
      <c r="A26" s="5" t="s">
        <v>109</v>
      </c>
      <c r="B26" s="55" t="n">
        <v>71</v>
      </c>
      <c r="C26" s="66" t="n">
        <f aca="false">0.5*B26</f>
        <v>35.5</v>
      </c>
      <c r="D26" s="66" t="n">
        <f aca="false">0.35*B26</f>
        <v>24.85</v>
      </c>
      <c r="E26" s="66" t="n">
        <f aca="false">0.15*B26</f>
        <v>10.65</v>
      </c>
      <c r="F26" s="4" t="s">
        <v>110</v>
      </c>
    </row>
  </sheetData>
  <mergeCells count="2">
    <mergeCell ref="C8:D8"/>
    <mergeCell ref="E8:F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2019-03-29T15:38:17Z</dcterms:created>
  <dc:creator>queen bitch</dc:creator>
  <dc:description/>
  <dc:language>en-US</dc:language>
  <cp:lastModifiedBy>queen bitch</cp:lastModifiedBy>
  <dcterms:modified xsi:type="dcterms:W3CDTF">2020-01-13T21:34:06Z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