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707" documentId="8_{AECF5A1F-C523-497A-B2A1-66620ACB315E}" xr6:coauthVersionLast="47" xr6:coauthVersionMax="47" xr10:uidLastSave="{B9242A62-7C4B-45E6-A88B-A8544840DC14}"/>
  <bookViews>
    <workbookView xWindow="-108" yWindow="-108" windowWidth="23256" windowHeight="12456" firstSheet="1" activeTab="1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I6" i="5"/>
  <c r="I2" i="5"/>
  <c r="I3" i="5"/>
  <c r="I4" i="5"/>
  <c r="I5" i="5"/>
  <c r="H2" i="5"/>
  <c r="H3" i="5"/>
  <c r="H4" i="5"/>
  <c r="H5" i="5"/>
  <c r="H6" i="5"/>
  <c r="G2" i="5"/>
  <c r="G3" i="5"/>
  <c r="G4" i="5"/>
  <c r="G5" i="5"/>
  <c r="G6" i="5"/>
  <c r="F2" i="5"/>
  <c r="F3" i="5"/>
  <c r="F4" i="5"/>
  <c r="F5" i="5"/>
  <c r="F6" i="5"/>
  <c r="E2" i="5"/>
  <c r="E3" i="5"/>
  <c r="E4" i="5"/>
  <c r="E5" i="5"/>
  <c r="E6" i="5"/>
  <c r="F2" i="2"/>
  <c r="F3" i="2"/>
  <c r="F4" i="2"/>
  <c r="F5" i="2"/>
  <c r="F6" i="2"/>
  <c r="F6" i="4"/>
  <c r="F5" i="4"/>
  <c r="F4" i="4"/>
  <c r="F3" i="4"/>
  <c r="F2" i="4"/>
  <c r="F2" i="3"/>
  <c r="F3" i="3"/>
  <c r="F4" i="3"/>
  <c r="F5" i="3"/>
  <c r="F6" i="3"/>
  <c r="H2" i="2"/>
  <c r="H3" i="2"/>
  <c r="H4" i="2"/>
  <c r="H5" i="2"/>
  <c r="H6" i="2"/>
  <c r="H2" i="4"/>
  <c r="H3" i="4"/>
  <c r="H4" i="4"/>
  <c r="H5" i="4"/>
  <c r="H6" i="4"/>
  <c r="H2" i="3"/>
  <c r="H3" i="3"/>
  <c r="H4" i="3"/>
  <c r="H5" i="3"/>
  <c r="H6" i="3"/>
  <c r="D2" i="2"/>
  <c r="D3" i="2"/>
  <c r="D4" i="2"/>
  <c r="D5" i="2"/>
  <c r="D6" i="2"/>
  <c r="D6" i="4"/>
  <c r="D5" i="4"/>
  <c r="D4" i="4"/>
  <c r="D6" i="3"/>
  <c r="D5" i="3"/>
  <c r="D4" i="3"/>
  <c r="D3" i="3"/>
  <c r="D2" i="3"/>
  <c r="C2" i="4"/>
  <c r="C3" i="4"/>
  <c r="C4" i="4"/>
  <c r="C5" i="4"/>
  <c r="C6" i="4"/>
  <c r="C6" i="3"/>
  <c r="C5" i="3"/>
  <c r="C4" i="3"/>
  <c r="C3" i="3"/>
  <c r="C2" i="3"/>
  <c r="B6" i="4"/>
  <c r="B2" i="4"/>
  <c r="B3" i="4"/>
  <c r="B4" i="4"/>
  <c r="B5" i="4"/>
  <c r="B6" i="3"/>
  <c r="B5" i="3"/>
  <c r="B4" i="3"/>
  <c r="B3" i="3"/>
  <c r="B2" i="3"/>
  <c r="D2" i="4"/>
  <c r="D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Gabriel de Paula</author>
  </authors>
  <commentList>
    <comment ref="B2" authorId="0" shapeId="0" xr:uid="{E31E7F89-5C9E-4C58-93BA-4FC10F18B702}">
      <text>
        <r>
          <rPr>
            <b/>
            <sz val="9"/>
            <color indexed="81"/>
            <rFont val="Segoe UI"/>
            <charset val="1"/>
          </rPr>
          <t>Mateus Gabriel de Paula:</t>
        </r>
        <r>
          <rPr>
            <sz val="9"/>
            <color indexed="81"/>
            <rFont val="Segoe UI"/>
            <charset val="1"/>
          </rPr>
          <t xml:space="preserve">
Esse caso é um pouco mais complicado porque ele é inconclusivo, pois ele varia entre 0 e esses valores, então acredito que seja 0 o valor, já que com 100k, ele acaba parando indo para 0.</t>
        </r>
      </text>
    </comment>
  </commentList>
</comments>
</file>

<file path=xl/sharedStrings.xml><?xml version="1.0" encoding="utf-8"?>
<sst xmlns="http://schemas.openxmlformats.org/spreadsheetml/2006/main" count="114" uniqueCount="16">
  <si>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</si>
  <si>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</si>
  <si>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</si>
  <si>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</si>
  <si>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</si>
  <si>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</si>
  <si>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</si>
  <si>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</si>
  <si>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</si>
  <si>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</si>
  <si>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</si>
  <si>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</si>
  <si>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</si>
  <si>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</si>
  <si>
    <t>CountSort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</si>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</sst>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"/>
    <numFmt numFmtId="167" formatCode="0.000"/>
  </numFmts>
  <fonts count="3" x14ac:knownFonts="1"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2" fontId="0" fillId="2" borderId="0" xfId="0" applyNumberFormat="1" applyFill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 applyAlignment="1">
      <alignment horizontal="right"/>
    </xf>
    <xf numFmtId="166" fontId="0" fillId="2" borderId="0" xfId="0" applyNumberFormat="1" applyFill="1"/>
  </cellXfs>
  <cellStyles count="1">
    <cellStyle name="Normal" xfId="0" builtinId="0"/>
  </cellStyles>
  <dxfs count="27">
    <dxf>
      <fill>
        <patternFill patternType="solid">
          <fgColor indexed="64"/>
          <bgColor theme="9" tint="0.79998168889431442"/>
        </patternFill>
      </fill>
    </dxf>
    <dxf>
      <numFmt numFmtId="166" formatCode="0.000000"/>
      <fill>
        <patternFill patternType="solid">
          <fgColor indexed="64"/>
          <bgColor theme="9" tint="0.79998168889431442"/>
        </patternFill>
      </fill>
      <alignment horizontal="right" vertical="bottom" textRotation="0" wrapText="0" relativeIndent="-1" justifyLastLine="0" shrinkToFit="0" readingOrder="0"/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"/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166" formatCode="0.000000"/>
      <fill>
        <patternFill patternType="solid">
          <fgColor indexed="64"/>
          <bgColor theme="9" tint="0.79998168889431442"/>
        </patternFill>
      </fill>
    </dxf>
    <dxf>
      <numFmt numFmtId="165" formatCode="0.00000"/>
    </dxf>
    <dxf>
      <numFmt numFmtId="164" formatCode="0.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0.0000"/>
      <fill>
        <patternFill patternType="solid">
          <fgColor indexed="64"/>
          <bgColor theme="9" tint="0.79998168889431442"/>
        </patternFill>
      </fill>
    </dxf>
    <dxf>
      <numFmt numFmtId="166" formatCode="0.000000"/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165" formatCode="0.00000"/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  <c:pt idx="0">
                  <c:v>50004999</c:v>
                </c:pt>
                <c:pt idx="1">
                  <c:v>200009999</c:v>
                </c:pt>
                <c:pt idx="2">
                  <c:v>800019999</c:v>
                </c:pt>
                <c:pt idx="3">
                  <c:v>3200039999</c:v>
                </c:pt>
                <c:pt idx="4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ser>
          <c:idx val="7"/>
          <c:order val="7"/>
          <c:tx>
            <c:strRef>
              <c:f>'QtdComparações!Ordenados'!$I$1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9B2-BF15-A8855CD3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  <c:pt idx="0">
                  <c:v>49988071</c:v>
                </c:pt>
                <c:pt idx="1">
                  <c:v>199971955</c:v>
                </c:pt>
                <c:pt idx="2">
                  <c:v>799928277</c:v>
                </c:pt>
                <c:pt idx="3">
                  <c:v>3199818372</c:v>
                </c:pt>
                <c:pt idx="4">
                  <c:v>4999529555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  <c:pt idx="0">
                  <c:v>24881446</c:v>
                </c:pt>
                <c:pt idx="1">
                  <c:v>100198747</c:v>
                </c:pt>
                <c:pt idx="2">
                  <c:v>399665715</c:v>
                </c:pt>
                <c:pt idx="3">
                  <c:v>1600967093</c:v>
                </c:pt>
                <c:pt idx="4">
                  <c:v>2500575302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ser>
          <c:idx val="7"/>
          <c:order val="7"/>
          <c:tx>
            <c:strRef>
              <c:f>QtdComparaçõesAleatório!$I$1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A-4A29-B8A2-0FBF7A77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tx>
            <c:strRef>
              <c:f>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tx>
            <c:strRef>
              <c:f>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0.00000</c:formatCode>
                <c:ptCount val="5"/>
                <c:pt idx="0">
                  <c:v>0.143622</c:v>
                </c:pt>
                <c:pt idx="1">
                  <c:v>0.67631500000000011</c:v>
                </c:pt>
                <c:pt idx="2">
                  <c:v>2.5638566666666667</c:v>
                </c:pt>
                <c:pt idx="3">
                  <c:v>10.004483333333333</c:v>
                </c:pt>
                <c:pt idx="4">
                  <c:v>15.401333333333334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tx>
            <c:strRef>
              <c:f>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  <c:pt idx="0">
                  <c:v>1.2321333333333332E-2</c:v>
                </c:pt>
                <c:pt idx="1">
                  <c:v>2.3608666666666667E-2</c:v>
                </c:pt>
                <c:pt idx="2">
                  <c:v>3.2100666666666666E-2</c:v>
                </c:pt>
                <c:pt idx="3">
                  <c:v>6.2758666666666671E-2</c:v>
                </c:pt>
                <c:pt idx="4">
                  <c:v>7.1901666666666655E-2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tx>
            <c:strRef>
              <c:f>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Ordenados!$F$3:$F$6</c:f>
              <c:numCache>
                <c:formatCode>0.000000</c:formatCode>
                <c:ptCount val="4"/>
                <c:pt idx="0">
                  <c:v>1.3976733333333333</c:v>
                </c:pt>
                <c:pt idx="1">
                  <c:v>5.6177900000000003</c:v>
                </c:pt>
                <c:pt idx="2">
                  <c:v>22.60263333333333</c:v>
                </c:pt>
                <c:pt idx="3">
                  <c:v>35.24666666666667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tx>
            <c:strRef>
              <c:f>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tx>
            <c:strRef>
              <c:f>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'!Ordenados'!$H$2:$H$6</c:f>
              <c:numCache>
                <c:formatCode>0.0000</c:formatCode>
                <c:ptCount val="5"/>
                <c:pt idx="0">
                  <c:v>6.7499999999999993E-4</c:v>
                </c:pt>
                <c:pt idx="1">
                  <c:v>5.5386666666666666E-3</c:v>
                </c:pt>
                <c:pt idx="2">
                  <c:v>1.4466666666666668E-2</c:v>
                </c:pt>
                <c:pt idx="3">
                  <c:v>2.1914333333333331E-2</c:v>
                </c:pt>
                <c:pt idx="4">
                  <c:v>3.0341333333333331E-2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ser>
          <c:idx val="7"/>
          <c:order val="7"/>
          <c:tx>
            <c:strRef>
              <c:f>Ordenados!$I$1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A-4DF3-A244-B1A31A52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0.00</c:formatCode>
                <c:ptCount val="5"/>
                <c:pt idx="0">
                  <c:v>0.38360633333333333</c:v>
                </c:pt>
                <c:pt idx="1">
                  <c:v>1.6809333333333332</c:v>
                </c:pt>
                <c:pt idx="2">
                  <c:v>6.3064099999999996</c:v>
                </c:pt>
                <c:pt idx="3">
                  <c:v>25.381833333333333</c:v>
                </c:pt>
                <c:pt idx="4">
                  <c:v>38.306199999999997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431-A92C-89FE8916D0CD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0.00</c:formatCode>
                <c:ptCount val="5"/>
                <c:pt idx="0">
                  <c:v>0.29687733333333327</c:v>
                </c:pt>
                <c:pt idx="1">
                  <c:v>1.3655933333333332</c:v>
                </c:pt>
                <c:pt idx="2">
                  <c:v>5.0517433333333335</c:v>
                </c:pt>
                <c:pt idx="3">
                  <c:v>19.964033333333333</c:v>
                </c:pt>
                <c:pt idx="4">
                  <c:v>32.850699999999996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5-4431-A92C-89FE8916D0CD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0.00</c:formatCode>
                <c:ptCount val="5"/>
                <c:pt idx="0">
                  <c:v>0.15196233333333334</c:v>
                </c:pt>
                <c:pt idx="1">
                  <c:v>0.8434586666666668</c:v>
                </c:pt>
                <c:pt idx="2">
                  <c:v>2.7565766666666662</c:v>
                </c:pt>
                <c:pt idx="3">
                  <c:v>10.373133333333334</c:v>
                </c:pt>
                <c:pt idx="4">
                  <c:v>16.178599999999999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5-4431-A92C-89FE8916D0CD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0.00000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5-4431-A92C-89FE8916D0CD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0.00000</c:formatCode>
                <c:ptCount val="5"/>
                <c:pt idx="0">
                  <c:v>0.22045700000000001</c:v>
                </c:pt>
                <c:pt idx="1">
                  <c:v>1.1875799999999999</c:v>
                </c:pt>
                <c:pt idx="2">
                  <c:v>4.1071600000000004</c:v>
                </c:pt>
                <c:pt idx="3">
                  <c:v>16.362499999999997</c:v>
                </c:pt>
                <c:pt idx="4">
                  <c:v>26.164266666666666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5-4431-A92C-89FE8916D0CD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0.000000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5-4431-A92C-89FE8916D0CD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5-4431-A92C-89FE8916D0CD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'!Ordenados'!$I$3:$I$6</c:f>
              <c:numCache>
                <c:formatCode>0.00000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5-4431-A92C-89FE891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203856704770214E-2"/>
          <c:y val="0.25333659123029201"/>
          <c:w val="0.88940942187154737"/>
          <c:h val="0.68838835049464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0.00</c:formatCode>
                <c:ptCount val="5"/>
                <c:pt idx="0">
                  <c:v>0.33885300000000002</c:v>
                </c:pt>
                <c:pt idx="1">
                  <c:v>1.5815999999999999</c:v>
                </c:pt>
                <c:pt idx="2">
                  <c:v>6.0110533333333338</c:v>
                </c:pt>
                <c:pt idx="3">
                  <c:v>24.943566666666666</c:v>
                </c:pt>
                <c:pt idx="4">
                  <c:v>38.466466666666669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0.0000</c:formatCode>
                <c:ptCount val="5"/>
                <c:pt idx="0">
                  <c:v>0.15417033333333333</c:v>
                </c:pt>
                <c:pt idx="1">
                  <c:v>0.81966966666666663</c:v>
                </c:pt>
                <c:pt idx="2">
                  <c:v>2.7840766666666661</c:v>
                </c:pt>
                <c:pt idx="3" formatCode="0.000">
                  <c:v>10.392333333333333</c:v>
                </c:pt>
                <c:pt idx="4" formatCode="General">
                  <c:v>15.708999999999998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0.0000</c:formatCode>
                <c:ptCount val="5"/>
                <c:pt idx="0">
                  <c:v>0.13282766666666665</c:v>
                </c:pt>
                <c:pt idx="1">
                  <c:v>0.53424633333333338</c:v>
                </c:pt>
                <c:pt idx="2">
                  <c:v>2.69238</c:v>
                </c:pt>
                <c:pt idx="3">
                  <c:v>9.9679500000000001</c:v>
                </c:pt>
                <c:pt idx="4">
                  <c:v>15.584833333333334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0.00000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0.000000</c:formatCode>
                <c:ptCount val="5"/>
                <c:pt idx="0">
                  <c:v>1.4126666666666669E-3</c:v>
                </c:pt>
                <c:pt idx="1">
                  <c:v>4.2750000000000002E-3</c:v>
                </c:pt>
                <c:pt idx="2">
                  <c:v>6.9903333333333336E-3</c:v>
                </c:pt>
                <c:pt idx="3">
                  <c:v>1.3340333333333334E-2</c:v>
                </c:pt>
                <c:pt idx="4">
                  <c:v>1.6921666666666665E-2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0.00000</c:formatCode>
                <c:ptCount val="5"/>
                <c:pt idx="0">
                  <c:v>4.2326666666666667E-3</c:v>
                </c:pt>
                <c:pt idx="1">
                  <c:v>5.7343333333333335E-3</c:v>
                </c:pt>
                <c:pt idx="2">
                  <c:v>9.1043333333333341E-3</c:v>
                </c:pt>
                <c:pt idx="3">
                  <c:v>2.3833333333333335E-2</c:v>
                </c:pt>
                <c:pt idx="4">
                  <c:v>3.209066666666667E-2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ser>
          <c:idx val="7"/>
          <c:order val="7"/>
          <c:tx>
            <c:strRef>
              <c:f>Aleatório!$I$1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Aleatório!$I$2:$I$6</c:f>
              <c:numCache>
                <c:formatCode>0.00000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2-4120-A07B-7E3F7ECC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  <c:max val="1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  <c:pt idx="0">
                  <c:v>132947.56235739225</c:v>
                </c:pt>
                <c:pt idx="1">
                  <c:v>285829.68615288672</c:v>
                </c:pt>
                <c:pt idx="2">
                  <c:v>611588.93374387571</c:v>
                </c:pt>
                <c:pt idx="3">
                  <c:v>1303102.4289258537</c:v>
                </c:pt>
                <c:pt idx="4">
                  <c:v>1661051.0956460533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  <c:pt idx="0">
                  <c:v>57.150849518197802</c:v>
                </c:pt>
                <c:pt idx="1">
                  <c:v>61.150849518197795</c:v>
                </c:pt>
                <c:pt idx="2">
                  <c:v>65.150849518197788</c:v>
                </c:pt>
                <c:pt idx="3">
                  <c:v>69.150849518197802</c:v>
                </c:pt>
                <c:pt idx="4">
                  <c:v>70.438561897747249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  <c:pt idx="0">
                  <c:v>60002</c:v>
                </c:pt>
                <c:pt idx="1">
                  <c:v>120002</c:v>
                </c:pt>
                <c:pt idx="2">
                  <c:v>240002</c:v>
                </c:pt>
                <c:pt idx="3">
                  <c:v>480002</c:v>
                </c:pt>
                <c:pt idx="4">
                  <c:v>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  <c:pt idx="0">
                  <c:v>20002</c:v>
                </c:pt>
                <c:pt idx="1">
                  <c:v>40002</c:v>
                </c:pt>
                <c:pt idx="2">
                  <c:v>80002</c:v>
                </c:pt>
                <c:pt idx="3">
                  <c:v>160002</c:v>
                </c:pt>
                <c:pt idx="4">
                  <c:v>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ser>
          <c:idx val="7"/>
          <c:order val="7"/>
          <c:tx>
            <c:strRef>
              <c:f>'Comparação Espacial'!$I$1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Espacial'!$I$2:$I$6</c:f>
              <c:numCache>
                <c:formatCode>General</c:formatCode>
                <c:ptCount val="5"/>
                <c:pt idx="0">
                  <c:v>50059</c:v>
                </c:pt>
                <c:pt idx="1">
                  <c:v>100059</c:v>
                </c:pt>
                <c:pt idx="2">
                  <c:v>200059</c:v>
                </c:pt>
                <c:pt idx="3">
                  <c:v>400059</c:v>
                </c:pt>
                <c:pt idx="4">
                  <c:v>500059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2-4351-BC05-416027A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ser>
          <c:idx val="7"/>
          <c:order val="7"/>
          <c:tx>
            <c:strRef>
              <c:f>'TrocaElementos 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0-477C-840B-EAD26957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  <c:pt idx="0">
                  <c:v>50004999</c:v>
                </c:pt>
                <c:pt idx="1">
                  <c:v>200009999</c:v>
                </c:pt>
                <c:pt idx="2">
                  <c:v>800019999</c:v>
                </c:pt>
                <c:pt idx="3">
                  <c:v>3200039999</c:v>
                </c:pt>
                <c:pt idx="4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ser>
          <c:idx val="7"/>
          <c:order val="7"/>
          <c:tx>
            <c:strRef>
              <c:f>'TrocaElementos 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1-452F-A418-224CA46D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  <c:pt idx="0">
                  <c:v>24871447</c:v>
                </c:pt>
                <c:pt idx="1">
                  <c:v>100178748</c:v>
                </c:pt>
                <c:pt idx="2">
                  <c:v>399625716</c:v>
                </c:pt>
                <c:pt idx="3">
                  <c:v>1600887094</c:v>
                </c:pt>
                <c:pt idx="4">
                  <c:v>2500475303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  <c:pt idx="0">
                  <c:v>24881446</c:v>
                </c:pt>
                <c:pt idx="1">
                  <c:v>100198747</c:v>
                </c:pt>
                <c:pt idx="2">
                  <c:v>399665715</c:v>
                </c:pt>
                <c:pt idx="3">
                  <c:v>1600967093</c:v>
                </c:pt>
                <c:pt idx="4">
                  <c:v>2500575302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ser>
          <c:idx val="7"/>
          <c:order val="7"/>
          <c:tx>
            <c:strRef>
              <c:f>'TrocaElementos Aleatório'!$I$1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2-45DD-876F-C30B9DFF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ser>
          <c:idx val="7"/>
          <c:order val="7"/>
          <c:tx>
            <c:strRef>
              <c:f>QtdComparaçõesOrdenados!$I$1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6-4C0C-A33D-C31D57D6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60960</xdr:rowOff>
    </xdr:from>
    <xdr:to>
      <xdr:col>22</xdr:col>
      <xdr:colOff>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0</xdr:row>
      <xdr:rowOff>15240</xdr:rowOff>
    </xdr:from>
    <xdr:to>
      <xdr:col>21</xdr:col>
      <xdr:colOff>403860</xdr:colOff>
      <xdr:row>19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0</xdr:rowOff>
    </xdr:from>
    <xdr:to>
      <xdr:col>20</xdr:col>
      <xdr:colOff>114300</xdr:colOff>
      <xdr:row>19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0</xdr:rowOff>
    </xdr:from>
    <xdr:to>
      <xdr:col>21</xdr:col>
      <xdr:colOff>68580</xdr:colOff>
      <xdr:row>20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0</xdr:rowOff>
    </xdr:from>
    <xdr:to>
      <xdr:col>21</xdr:col>
      <xdr:colOff>259080</xdr:colOff>
      <xdr:row>23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22860</xdr:rowOff>
    </xdr:from>
    <xdr:to>
      <xdr:col>20</xdr:col>
      <xdr:colOff>487680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2</xdr:row>
      <xdr:rowOff>7620</xdr:rowOff>
    </xdr:from>
    <xdr:to>
      <xdr:col>22</xdr:col>
      <xdr:colOff>403860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129540</xdr:rowOff>
    </xdr:from>
    <xdr:to>
      <xdr:col>22</xdr:col>
      <xdr:colOff>259080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38100</xdr:rowOff>
    </xdr:from>
    <xdr:to>
      <xdr:col>22</xdr:col>
      <xdr:colOff>83820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0</xdr:row>
      <xdr:rowOff>60960</xdr:rowOff>
    </xdr:from>
    <xdr:to>
      <xdr:col>22</xdr:col>
      <xdr:colOff>152400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I6" totalsRowShown="0">
  <autoFilter ref="A1:I6" xr:uid="{8823178C-8734-4A27-A77E-F8D0D6749A08}"/>
  <tableColumns count="9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RadixSort"/>
    <tableColumn id="9" xr3:uid="{78ABF6D1-774A-473B-AA8C-E6BDDFC9B8CF}" name="Count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I6" totalsRowShown="0">
  <autoFilter ref="A1:I6" xr:uid="{8823178C-8734-4A27-A77E-F8D0D6749A08}"/>
  <tableColumns count="9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RadixSort"/>
    <tableColumn id="9" xr3:uid="{4FF7CDA6-C38E-403B-8C07-DBA3B6D353E2}" name="Coun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I6" totalsRowShown="0">
  <autoFilter ref="A1:I6" xr:uid="{A40AA6AD-2F47-43F1-B765-C68DAECD3079}"/>
  <tableColumns count="9">
    <tableColumn id="1" xr3:uid="{7BB7217C-59F8-4792-9EA0-0720D6D8B12E}" name="Tamanho"/>
    <tableColumn id="2" xr3:uid="{C5127529-A4E4-4639-A4FA-738598E99596}" name="BubbleSort" dataDxfId="26"/>
    <tableColumn id="3" xr3:uid="{D3407327-A185-4351-A55C-14014B1B867D}" name="InsertionSort" dataDxfId="25"/>
    <tableColumn id="4" xr3:uid="{85C71698-96C8-48BF-9E4F-A31F4588E93A}" name="SelectionSort" dataDxfId="2"/>
    <tableColumn id="5" xr3:uid="{D89F0557-14DD-46AD-9565-6B8B49785A1D}" name="MergeSort" dataDxfId="0"/>
    <tableColumn id="6" xr3:uid="{342D5A51-5208-4EAA-A16A-1781198676FD}" name="QuickSort" dataDxfId="1"/>
    <tableColumn id="7" xr3:uid="{FBA48003-53BB-41A5-8ED7-223B444BF07D}" name="HeapSort"/>
    <tableColumn id="8" xr3:uid="{AADA5A23-24DA-4A5E-9964-0C51CE8886B7}" name="RadixSort" dataDxfId="24"/>
    <tableColumn id="9" xr3:uid="{8A78FEEA-65F3-4865-8351-640E30D1210A}" name="Couting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 dataDxfId="23"/>
    <tableColumn id="2" xr3:uid="{73836CB1-A1D9-4D27-AA51-8096EC2B23FB}" name="BubbleSort" dataDxfId="22"/>
    <tableColumn id="3" xr3:uid="{50D01E1E-E49D-48B8-9D64-68BB18FD132D}" name="InsertionSort" dataDxfId="21"/>
    <tableColumn id="4" xr3:uid="{BF3C1C79-92F0-4E93-AE3F-44D10600C26D}" name="SelectionSort" dataDxfId="20"/>
    <tableColumn id="5" xr3:uid="{71DF7DE3-1D14-438B-AA85-26258AB0E16E}" name="MergeSort" dataDxfId="19"/>
    <tableColumn id="6" xr3:uid="{D7044A8A-343F-410A-A47C-299C79374E83}" name="QuickSort" dataDxfId="18"/>
    <tableColumn id="7" xr3:uid="{44EE4653-5828-4AD8-89F5-DCD6FFFB7171}" name="HeapSort" dataDxfId="17"/>
    <tableColumn id="9" xr3:uid="{06AF528E-0B37-497F-86E3-9CA2A978E533}" name="RadixSort" dataDxfId="16"/>
    <tableColumn id="8" xr3:uid="{1AF9EE2E-6E80-48E6-A0EA-B411C6533961}" name="Couting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I6" totalsRowShown="0">
  <autoFilter ref="A1:I6" xr:uid="{59E19B13-715F-472A-A7B5-ACE0684BA986}"/>
  <tableColumns count="9">
    <tableColumn id="1" xr3:uid="{88AB9604-3310-46A1-AD70-21C2608B01C8}" name="Tamanho" dataDxfId="15"/>
    <tableColumn id="2" xr3:uid="{AB29B0C4-1AC7-48FD-8D3C-13AA6916E031}" name="BubbleSort" dataDxfId="14"/>
    <tableColumn id="3" xr3:uid="{277890D8-FE28-4EFB-A704-7CA343850008}" name="InsertionSort" dataDxfId="13"/>
    <tableColumn id="4" xr3:uid="{7B9C2A85-4991-44A3-8EB5-C25296FAD161}" name="SelectionSort" dataDxfId="12"/>
    <tableColumn id="5" xr3:uid="{4450D16D-D01F-43DF-B8B1-9C2BAE2DFD58}" name="MergeSort" dataDxfId="11"/>
    <tableColumn id="6" xr3:uid="{8F5D90A6-8E0B-4E1B-8D02-4E5B09ACDCA0}" name="QuickSort" dataDxfId="10"/>
    <tableColumn id="7" xr3:uid="{59D8846C-91B6-4237-BE54-A17E0A509527}" name="HeapSort"/>
    <tableColumn id="8" xr3:uid="{6B8DE172-995E-41FE-BF4F-C27226F78BC4}" name="RadixSort" dataDxfId="9"/>
    <tableColumn id="9" xr3:uid="{D222E4FB-3FC2-4727-958D-5584BD8905DB}" name="CoutingSort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I6" totalsRowShown="0">
  <autoFilter ref="A1:I6" xr:uid="{619396B8-4D34-41CE-9058-67D32CCB2D0F}"/>
  <tableColumns count="9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 dataDxfId="7">
      <calculatedColumnFormula>(ComparaçãoEspacial[[#This Row],[Tamanho]]*LOG(ComparaçãoEspacial[[#This Row],[Tamanho]],2))+(5*LOG(ComparaçãoEspacial[[#This Row],[Tamanho]],2))+4</calculatedColumnFormula>
    </tableColumn>
    <tableColumn id="6" xr3:uid="{ACF4646F-3D62-4D2C-AFE7-17C20339F4C3}" name="QuickSort" dataDxfId="6">
      <calculatedColumnFormula>(4*LOG(ComparaçãoEspacial[[#This Row],[Tamanho]],2))+4</calculatedColumnFormula>
    </tableColumn>
    <tableColumn id="7" xr3:uid="{0B50FEDD-0752-47C3-ABE3-0D8374A536C0}" name="HeapSort" dataDxfId="5">
      <calculatedColumnFormula>2+(6*ComparaçãoEspacial[[#This Row],[Tamanho]])</calculatedColumnFormula>
    </tableColumn>
    <tableColumn id="8" xr3:uid="{C8222E89-0ECB-433B-90A5-CBD88DB6FE41}" name="RadixSort" dataDxfId="4">
      <calculatedColumnFormula>(2*ComparaçãoEspacial[[#This Row],[Tamanho]])+2</calculatedColumnFormula>
    </tableColumn>
    <tableColumn id="9" xr3:uid="{64003905-FAB0-4E61-96E1-4F3B35279A72}" name="CoutingSort" dataDxfId="3">
      <calculatedColumnFormula>(5*(ComparaçãoEspacial[[#This Row],[Tamanho]]+11))+4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I6" totalsRowShown="0">
  <autoFilter ref="A1:I6" xr:uid="{8823178C-8734-4A27-A77E-F8D0D6749A08}"/>
  <tableColumns count="9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RadixSort"/>
    <tableColumn id="9" xr3:uid="{024145B2-E462-4716-A517-97C92D397825}" name="Count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I6" totalsRowShown="0">
  <autoFilter ref="A1:I6" xr:uid="{8823178C-8734-4A27-A77E-F8D0D6749A08}"/>
  <tableColumns count="9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RadixSort"/>
    <tableColumn id="9" xr3:uid="{F3F0B43C-8353-444D-848C-81B4669C747C}" name="Count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I6" totalsRowShown="0">
  <autoFilter ref="A1:I6" xr:uid="{8823178C-8734-4A27-A77E-F8D0D6749A08}"/>
  <tableColumns count="9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RadixSort"/>
    <tableColumn id="9" xr3:uid="{DD43847B-4B3B-47BD-A553-476558A68D7F}" name="Count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I6" totalsRowShown="0">
  <autoFilter ref="A1:I6" xr:uid="{8823178C-8734-4A27-A77E-F8D0D6749A08}"/>
  <tableColumns count="9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RadixSort"/>
    <tableColumn id="9" xr3:uid="{6ACD17ED-9BCC-42A7-AF0F-BF962B7C703A}" name="Count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49995000</v>
      </c>
      <c r="C2">
        <v>50004999</v>
      </c>
    </row>
    <row r="3" spans="1:9" x14ac:dyDescent="0.3">
      <c r="A3">
        <v>20000</v>
      </c>
      <c r="B3">
        <v>199990000</v>
      </c>
      <c r="C3">
        <v>200009999</v>
      </c>
    </row>
    <row r="4" spans="1:9" x14ac:dyDescent="0.3">
      <c r="A4">
        <v>40000</v>
      </c>
      <c r="B4">
        <v>799980000</v>
      </c>
      <c r="C4">
        <v>800019999</v>
      </c>
    </row>
    <row r="5" spans="1:9" x14ac:dyDescent="0.3">
      <c r="A5">
        <v>80000</v>
      </c>
      <c r="B5">
        <v>3199960000</v>
      </c>
      <c r="C5">
        <v>3200039999</v>
      </c>
    </row>
    <row r="6" spans="1:9" x14ac:dyDescent="0.3">
      <c r="A6">
        <v>100000</v>
      </c>
      <c r="B6">
        <v>4999950000</v>
      </c>
      <c r="C6">
        <v>5000049999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I6"/>
  <sheetViews>
    <sheetView workbookViewId="0">
      <selection activeCell="C5" sqref="C5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15</v>
      </c>
    </row>
    <row r="2" spans="1:9" x14ac:dyDescent="0.3">
      <c r="A2">
        <v>10000</v>
      </c>
      <c r="B2">
        <v>49988071</v>
      </c>
      <c r="C2">
        <v>24881446</v>
      </c>
    </row>
    <row r="3" spans="1:9" x14ac:dyDescent="0.3">
      <c r="A3">
        <v>20000</v>
      </c>
      <c r="B3">
        <v>199971955</v>
      </c>
      <c r="C3">
        <v>100198747</v>
      </c>
    </row>
    <row r="4" spans="1:9" x14ac:dyDescent="0.3">
      <c r="A4">
        <v>40000</v>
      </c>
      <c r="B4">
        <v>799928277</v>
      </c>
      <c r="C4">
        <v>399665715</v>
      </c>
    </row>
    <row r="5" spans="1:9" x14ac:dyDescent="0.3">
      <c r="A5">
        <v>80000</v>
      </c>
      <c r="B5">
        <v>3199818372</v>
      </c>
      <c r="C5">
        <v>1600967093</v>
      </c>
    </row>
    <row r="6" spans="1:9" x14ac:dyDescent="0.3">
      <c r="A6">
        <v>100000</v>
      </c>
      <c r="B6">
        <v>4999529555</v>
      </c>
      <c r="C6">
        <v>2500575302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I6"/>
  <sheetViews>
    <sheetView tabSelected="1" workbookViewId="0">
      <selection activeCell="G2" sqref="G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4.1093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v>1.0000000000000001E-5</v>
      </c>
      <c r="C2" s="3">
        <v>1.0000000000000001E-5</v>
      </c>
      <c r="D2" s="7">
        <f>(0.143508+0.153735+0.133623)/3</f>
        <v>0.143622</v>
      </c>
      <c r="E2" s="3">
        <f>(0.010572+0.01206+0.014332)/3</f>
        <v>1.2321333333333332E-2</v>
      </c>
      <c r="F2" s="8">
        <f>(0.356971+0.339464+0.449254)/3</f>
        <v>0.38189633333333334</v>
      </c>
      <c r="H2" s="7">
        <f>(0.0020229+0.002017+0.002437)/3</f>
        <v>2.1589666666666668E-3</v>
      </c>
    </row>
    <row r="3" spans="1:9" x14ac:dyDescent="0.3">
      <c r="A3">
        <v>20000</v>
      </c>
      <c r="B3" s="3">
        <v>1.0000000000000001E-5</v>
      </c>
      <c r="C3" s="3">
        <v>1.0000000000000001E-5</v>
      </c>
      <c r="D3" s="7">
        <f>(0.693299+0.734118+0.601528)/3</f>
        <v>0.67631500000000011</v>
      </c>
      <c r="E3" s="3">
        <f>(0.024509+0.020357+0.02596)/3</f>
        <v>2.3608666666666667E-2</v>
      </c>
      <c r="F3" s="8">
        <f>(1.28966+1.30651+1.59685)/3</f>
        <v>1.3976733333333333</v>
      </c>
      <c r="H3" s="7">
        <f>(0.004247+0.006066+0.00785)/3</f>
        <v>6.0543333333333326E-3</v>
      </c>
    </row>
    <row r="4" spans="1:9" x14ac:dyDescent="0.3">
      <c r="A4">
        <v>40000</v>
      </c>
      <c r="B4" s="3">
        <v>1.0000000000000001E-5</v>
      </c>
      <c r="C4" s="3">
        <v>1.0000000000000001E-5</v>
      </c>
      <c r="D4" s="7">
        <f>(2.57674+2.52472+2.59011)/3</f>
        <v>2.5638566666666667</v>
      </c>
      <c r="E4" s="3">
        <f>(0.030752+0.033029+0.032521)/3</f>
        <v>3.2100666666666666E-2</v>
      </c>
      <c r="F4" s="8">
        <f>(5.58256+5.45561+5.8152)/3</f>
        <v>5.6177900000000003</v>
      </c>
      <c r="H4" s="7">
        <f>(0.010026+0.012086+0.006651)/3</f>
        <v>9.5876666666666662E-3</v>
      </c>
    </row>
    <row r="5" spans="1:9" x14ac:dyDescent="0.3">
      <c r="A5">
        <v>80000</v>
      </c>
      <c r="B5" s="3">
        <v>1.0000000000000001E-5</v>
      </c>
      <c r="C5" s="3">
        <v>1.0000000000000001E-5</v>
      </c>
      <c r="D5" s="7">
        <f>(9.90355+10.1659+9.944)/3</f>
        <v>10.004483333333333</v>
      </c>
      <c r="E5" s="3">
        <f>(0.055975+0.053481+0.07882)/3</f>
        <v>6.2758666666666671E-2</v>
      </c>
      <c r="F5" s="8">
        <f>(23.2866+23.075+21.4463)/3</f>
        <v>22.60263333333333</v>
      </c>
      <c r="H5" s="7">
        <f>(0.016509+0.019933+0.015856)/3</f>
        <v>1.7432666666666666E-2</v>
      </c>
    </row>
    <row r="6" spans="1:9" x14ac:dyDescent="0.3">
      <c r="A6">
        <v>100000</v>
      </c>
      <c r="B6" s="3">
        <v>1.0000000000000001E-5</v>
      </c>
      <c r="C6" s="3">
        <v>1.0000000000000001E-5</v>
      </c>
      <c r="D6" s="7">
        <f>(15.3161+15.5573+15.3306)/3</f>
        <v>15.401333333333334</v>
      </c>
      <c r="E6" s="3">
        <f>(0.071378+0.07094+0.073387)/3</f>
        <v>7.1901666666666655E-2</v>
      </c>
      <c r="F6" s="8">
        <f>(34.6416+35.688+35.4104)/3</f>
        <v>35.24666666666667</v>
      </c>
      <c r="H6" s="7">
        <f>(0.028122+0.031568+0.026013)/3</f>
        <v>2.8567666666666668E-2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workbookViewId="0">
      <selection activeCell="F2" sqref="F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1.33203125" bestFit="1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 s="3">
        <v>10000</v>
      </c>
      <c r="B2" s="4">
        <f>(0.373068+0.367002+0.410749)/3</f>
        <v>0.38360633333333333</v>
      </c>
      <c r="C2" s="4">
        <f>(0.283086+0.299998+0.307548)/3</f>
        <v>0.29687733333333327</v>
      </c>
      <c r="D2" s="4">
        <f>(0.147535+0.151521+0.156831)/3</f>
        <v>0.15196233333333334</v>
      </c>
      <c r="E2" s="1"/>
      <c r="F2" s="7">
        <f>(0.224719+0.224412+0.21224)/3</f>
        <v>0.22045700000000001</v>
      </c>
      <c r="G2" s="2"/>
      <c r="H2" s="6">
        <f>(0.002025+0+0)/3</f>
        <v>6.7499999999999993E-4</v>
      </c>
      <c r="I2" s="1"/>
    </row>
    <row r="3" spans="1:9" x14ac:dyDescent="0.3">
      <c r="A3" s="3">
        <v>20000</v>
      </c>
      <c r="B3" s="4">
        <f>(1.4979+1.77204+1.77286)/3</f>
        <v>1.6809333333333332</v>
      </c>
      <c r="C3" s="4">
        <f>(1.39945+1.50779+1.18954)/3</f>
        <v>1.3655933333333332</v>
      </c>
      <c r="D3" s="4">
        <f>(0.641503+0.641503+1.24737)/3</f>
        <v>0.8434586666666668</v>
      </c>
      <c r="E3" s="1"/>
      <c r="F3" s="7">
        <f>(1.18705+1.19774+1.17795)/3</f>
        <v>1.1875799999999999</v>
      </c>
      <c r="G3" s="2"/>
      <c r="H3" s="6">
        <f>(0.006508+0.006072+0.004036)/3</f>
        <v>5.5386666666666666E-3</v>
      </c>
      <c r="I3" s="1"/>
    </row>
    <row r="4" spans="1:9" x14ac:dyDescent="0.3">
      <c r="A4" s="3">
        <v>40000</v>
      </c>
      <c r="B4" s="4">
        <f>(6.37258+6.40264+6.14401)/3</f>
        <v>6.3064099999999996</v>
      </c>
      <c r="C4" s="4">
        <f>(5.00248+5.16485+4.9879)/3</f>
        <v>5.0517433333333335</v>
      </c>
      <c r="D4" s="4">
        <f>(2.74294+2.68053+2.84626)/3</f>
        <v>2.7565766666666662</v>
      </c>
      <c r="E4" s="1"/>
      <c r="F4" s="7">
        <f>(3.86531+4.23218+4.22399)/3</f>
        <v>4.1071600000000004</v>
      </c>
      <c r="G4" s="2"/>
      <c r="H4" s="6">
        <f>(0.012051+0.016326+0.015023)/3</f>
        <v>1.4466666666666668E-2</v>
      </c>
      <c r="I4" s="1"/>
    </row>
    <row r="5" spans="1:9" x14ac:dyDescent="0.3">
      <c r="A5" s="3">
        <v>80000</v>
      </c>
      <c r="B5" s="4">
        <f>(25.4475+26.1256+24.5724)/3</f>
        <v>25.381833333333333</v>
      </c>
      <c r="C5" s="4">
        <f>(20.3619+19.9446+19.5856)/3</f>
        <v>19.964033333333333</v>
      </c>
      <c r="D5" s="4">
        <f>(10.4724+10.6529+9.9941)/3</f>
        <v>10.373133333333334</v>
      </c>
      <c r="E5" s="1"/>
      <c r="F5" s="7">
        <f>(16.3649+16.4757+16.2469)/3</f>
        <v>16.362499999999997</v>
      </c>
      <c r="G5" s="2"/>
      <c r="H5" s="6">
        <f>(0.019913+0.018133+0.027697)/3</f>
        <v>2.1914333333333331E-2</v>
      </c>
      <c r="I5" s="1"/>
    </row>
    <row r="6" spans="1:9" x14ac:dyDescent="0.3">
      <c r="A6" s="3">
        <v>100000</v>
      </c>
      <c r="B6" s="4">
        <f>(38.7489+38.0342+38.1355)/3</f>
        <v>38.306199999999997</v>
      </c>
      <c r="C6" s="4">
        <f>(32.5796+33.864+32.1085)/3</f>
        <v>32.850699999999996</v>
      </c>
      <c r="D6" s="4">
        <f>(16.074+15.9184+16.5434)/3</f>
        <v>16.178599999999999</v>
      </c>
      <c r="E6" s="1"/>
      <c r="F6" s="7">
        <f>(27.5794+26.4656+24.4478)/3</f>
        <v>26.164266666666666</v>
      </c>
      <c r="G6" s="2"/>
      <c r="H6" s="6">
        <f>(0.028156+0.030035+0.032833)/3</f>
        <v>3.0341333333333331E-2</v>
      </c>
      <c r="I6" s="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I6"/>
  <sheetViews>
    <sheetView workbookViewId="0">
      <selection activeCell="E18" sqref="E18"/>
    </sheetView>
  </sheetViews>
  <sheetFormatPr defaultRowHeight="14.4" x14ac:dyDescent="0.3"/>
  <cols>
    <col min="1" max="1" width="10.77734375" bestFit="1" customWidth="1"/>
    <col min="2" max="2" width="13.6640625" bestFit="1" customWidth="1"/>
    <col min="3" max="3" width="14.6640625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 s="3">
        <v>10000</v>
      </c>
      <c r="B2" s="4">
        <f>(0.367784+0.317723+0.331052)/3</f>
        <v>0.33885300000000002</v>
      </c>
      <c r="C2" s="6">
        <f>(0.146315+0.165353+0.150843)/3</f>
        <v>0.15417033333333333</v>
      </c>
      <c r="D2" s="6">
        <f>(0.136645+0.141604+0.120234)/3</f>
        <v>0.13282766666666665</v>
      </c>
      <c r="E2" s="1"/>
      <c r="F2" s="9">
        <f>(0.002018+0.00104+0.00118)/3</f>
        <v>1.4126666666666669E-3</v>
      </c>
      <c r="H2" s="7">
        <f>(0.005187+0.00495+0.002561)/3</f>
        <v>4.2326666666666667E-3</v>
      </c>
      <c r="I2" s="1"/>
    </row>
    <row r="3" spans="1:9" x14ac:dyDescent="0.3">
      <c r="A3" s="3">
        <v>20000</v>
      </c>
      <c r="B3" s="4">
        <f>(1.3813+1.71049+1.65301)/3</f>
        <v>1.5815999999999999</v>
      </c>
      <c r="C3" s="6">
        <f>(0.751013+0.718205+0.989791)/3</f>
        <v>0.81966966666666663</v>
      </c>
      <c r="D3" s="6">
        <f>(0.523142+0.539128+0.540469)/3</f>
        <v>0.53424633333333338</v>
      </c>
      <c r="E3" s="1"/>
      <c r="F3" s="9">
        <f>(0.004039+0.004432+0.004354)/3</f>
        <v>4.2750000000000002E-3</v>
      </c>
      <c r="H3" s="7">
        <f>(0.005457+0.00773+0.004016)/3</f>
        <v>5.7343333333333335E-3</v>
      </c>
      <c r="I3" s="1"/>
    </row>
    <row r="4" spans="1:9" x14ac:dyDescent="0.3">
      <c r="A4" s="3">
        <v>40000</v>
      </c>
      <c r="B4" s="4">
        <f>(6.06465+5.94132+6.02719)/3</f>
        <v>6.0110533333333338</v>
      </c>
      <c r="C4" s="6">
        <f>(3.0155+2.64147+2.69526)/3</f>
        <v>2.7840766666666661</v>
      </c>
      <c r="D4" s="6">
        <f>(2.97004+2.56919+2.53791)/3</f>
        <v>2.69238</v>
      </c>
      <c r="E4" s="1"/>
      <c r="F4" s="9">
        <f>(0.008695+0.005554+0.006722)/3</f>
        <v>6.9903333333333336E-3</v>
      </c>
      <c r="H4" s="7">
        <f>(0.008815+0.009832+0.008666)/3</f>
        <v>9.1043333333333341E-3</v>
      </c>
      <c r="I4" s="1"/>
    </row>
    <row r="5" spans="1:9" x14ac:dyDescent="0.3">
      <c r="A5" s="3">
        <v>80000</v>
      </c>
      <c r="B5" s="4">
        <f>(24.9336+25.1887+24.7084)/3</f>
        <v>24.943566666666666</v>
      </c>
      <c r="C5" s="5">
        <f>(10.2434+10.8781+10.0555)/3</f>
        <v>10.392333333333333</v>
      </c>
      <c r="D5" s="6">
        <f>(10.0047+9.63215+10.267)/3</f>
        <v>9.9679500000000001</v>
      </c>
      <c r="E5" s="1"/>
      <c r="F5" s="9">
        <f>(0.012992+0.013812+0.013217)/3</f>
        <v>1.3340333333333334E-2</v>
      </c>
      <c r="H5" s="7">
        <f>(0.017695+0.02431+0.029495)/3</f>
        <v>2.3833333333333335E-2</v>
      </c>
      <c r="I5" s="1"/>
    </row>
    <row r="6" spans="1:9" x14ac:dyDescent="0.3">
      <c r="A6" s="3">
        <v>100000</v>
      </c>
      <c r="B6" s="4">
        <f>(38.494+38.1501+38.7553)/3</f>
        <v>38.466466666666669</v>
      </c>
      <c r="C6" s="3">
        <f>(15.4495+15.9104+15.7671)/3</f>
        <v>15.708999999999998</v>
      </c>
      <c r="D6" s="6">
        <f>(15.2221+15.8064+15.726)/3</f>
        <v>15.584833333333334</v>
      </c>
      <c r="E6" s="1"/>
      <c r="F6" s="9">
        <f>(0.016786+0.016786+0.017193)/3</f>
        <v>1.6921666666666665E-2</v>
      </c>
      <c r="H6" s="7">
        <f>(0.027616+0.038747+0.029909)/3</f>
        <v>3.209066666666667E-2</v>
      </c>
      <c r="I6" s="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I6"/>
  <sheetViews>
    <sheetView workbookViewId="0">
      <selection activeCell="H6" sqref="H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>
        <v>4</v>
      </c>
      <c r="C2">
        <v>3</v>
      </c>
      <c r="D2">
        <v>4</v>
      </c>
      <c r="E2">
        <f>(ComparaçãoEspacial[[#This Row],[Tamanho]]*LOG(ComparaçãoEspacial[[#This Row],[Tamanho]],2))+(5*LOG(ComparaçãoEspacial[[#This Row],[Tamanho]],2))+4</f>
        <v>132947.56235739225</v>
      </c>
      <c r="F2">
        <f>(4*LOG(ComparaçãoEspacial[[#This Row],[Tamanho]],2))+4</f>
        <v>57.150849518197802</v>
      </c>
      <c r="G2">
        <f>2+(6*ComparaçãoEspacial[[#This Row],[Tamanho]])</f>
        <v>60002</v>
      </c>
      <c r="H2">
        <f>(2*ComparaçãoEspacial[[#This Row],[Tamanho]])+2</f>
        <v>20002</v>
      </c>
      <c r="I2">
        <f>(5*(ComparaçãoEspacial[[#This Row],[Tamanho]]+11))+4</f>
        <v>50059</v>
      </c>
    </row>
    <row r="3" spans="1:9" x14ac:dyDescent="0.3">
      <c r="A3">
        <v>20000</v>
      </c>
      <c r="B3">
        <v>4</v>
      </c>
      <c r="C3">
        <v>3</v>
      </c>
      <c r="D3">
        <v>4</v>
      </c>
      <c r="E3">
        <f>(ComparaçãoEspacial[[#This Row],[Tamanho]]*LOG(ComparaçãoEspacial[[#This Row],[Tamanho]],2))+(5*LOG(ComparaçãoEspacial[[#This Row],[Tamanho]],2))+4</f>
        <v>285829.68615288672</v>
      </c>
      <c r="F3">
        <f>(4*LOG(ComparaçãoEspacial[[#This Row],[Tamanho]],2))+4</f>
        <v>61.150849518197795</v>
      </c>
      <c r="G3">
        <f>2+(6*ComparaçãoEspacial[[#This Row],[Tamanho]])</f>
        <v>120002</v>
      </c>
      <c r="H3">
        <f>(2*ComparaçãoEspacial[[#This Row],[Tamanho]])+2</f>
        <v>40002</v>
      </c>
      <c r="I3">
        <f>(5*(ComparaçãoEspacial[[#This Row],[Tamanho]]+11))+4</f>
        <v>100059</v>
      </c>
    </row>
    <row r="4" spans="1:9" x14ac:dyDescent="0.3">
      <c r="A4">
        <v>40000</v>
      </c>
      <c r="B4">
        <v>4</v>
      </c>
      <c r="C4">
        <v>3</v>
      </c>
      <c r="D4">
        <v>4</v>
      </c>
      <c r="E4">
        <f>(ComparaçãoEspacial[[#This Row],[Tamanho]]*LOG(ComparaçãoEspacial[[#This Row],[Tamanho]],2))+(5*LOG(ComparaçãoEspacial[[#This Row],[Tamanho]],2))+4</f>
        <v>611588.93374387571</v>
      </c>
      <c r="F4">
        <f>(4*LOG(ComparaçãoEspacial[[#This Row],[Tamanho]],2))+4</f>
        <v>65.150849518197788</v>
      </c>
      <c r="G4">
        <f>2+(6*ComparaçãoEspacial[[#This Row],[Tamanho]])</f>
        <v>240002</v>
      </c>
      <c r="H4">
        <f>(2*ComparaçãoEspacial[[#This Row],[Tamanho]])+2</f>
        <v>80002</v>
      </c>
      <c r="I4">
        <f>(5*(ComparaçãoEspacial[[#This Row],[Tamanho]]+11))+4</f>
        <v>200059</v>
      </c>
    </row>
    <row r="5" spans="1:9" x14ac:dyDescent="0.3">
      <c r="A5">
        <v>80000</v>
      </c>
      <c r="B5">
        <v>4</v>
      </c>
      <c r="C5">
        <v>3</v>
      </c>
      <c r="D5">
        <v>4</v>
      </c>
      <c r="E5">
        <f>(ComparaçãoEspacial[[#This Row],[Tamanho]]*LOG(ComparaçãoEspacial[[#This Row],[Tamanho]],2))+(5*LOG(ComparaçãoEspacial[[#This Row],[Tamanho]],2))+4</f>
        <v>1303102.4289258537</v>
      </c>
      <c r="F5">
        <f>(4*LOG(ComparaçãoEspacial[[#This Row],[Tamanho]],2))+4</f>
        <v>69.150849518197802</v>
      </c>
      <c r="G5">
        <f>2+(6*ComparaçãoEspacial[[#This Row],[Tamanho]])</f>
        <v>480002</v>
      </c>
      <c r="H5">
        <f>(2*ComparaçãoEspacial[[#This Row],[Tamanho]])+2</f>
        <v>160002</v>
      </c>
      <c r="I5">
        <f>(5*(ComparaçãoEspacial[[#This Row],[Tamanho]]+11))+4</f>
        <v>400059</v>
      </c>
    </row>
    <row r="6" spans="1:9" x14ac:dyDescent="0.3">
      <c r="A6">
        <v>100000</v>
      </c>
      <c r="B6">
        <v>4</v>
      </c>
      <c r="C6">
        <v>3</v>
      </c>
      <c r="D6">
        <v>4</v>
      </c>
      <c r="E6">
        <f>(ComparaçãoEspacial[[#This Row],[Tamanho]]*LOG(ComparaçãoEspacial[[#This Row],[Tamanho]],2))+(5*LOG(ComparaçãoEspacial[[#This Row],[Tamanho]],2))+4</f>
        <v>1661051.0956460533</v>
      </c>
      <c r="F6">
        <f>(4*LOG(ComparaçãoEspacial[[#This Row],[Tamanho]],2))+4</f>
        <v>70.438561897747249</v>
      </c>
      <c r="G6">
        <f>2+(6*ComparaçãoEspacial[[#This Row],[Tamanho]])</f>
        <v>600002</v>
      </c>
      <c r="H6">
        <f>(2*ComparaçãoEspacial[[#This Row],[Tamanho]])+2</f>
        <v>200002</v>
      </c>
      <c r="I6">
        <f>(5*(ComparaçãoEspacial[[#This Row],[Tamanho]]+11))+4</f>
        <v>500059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I6"/>
  <sheetViews>
    <sheetView workbookViewId="0">
      <selection activeCell="F19" sqref="F19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0</v>
      </c>
      <c r="C2">
        <v>9999</v>
      </c>
      <c r="H2">
        <v>0</v>
      </c>
    </row>
    <row r="3" spans="1:9" x14ac:dyDescent="0.3">
      <c r="A3">
        <v>20000</v>
      </c>
      <c r="B3">
        <v>0</v>
      </c>
      <c r="C3">
        <v>19999</v>
      </c>
      <c r="H3">
        <v>0</v>
      </c>
    </row>
    <row r="4" spans="1:9" x14ac:dyDescent="0.3">
      <c r="A4">
        <v>40000</v>
      </c>
      <c r="B4">
        <v>0</v>
      </c>
      <c r="C4">
        <v>39999</v>
      </c>
      <c r="H4">
        <v>0</v>
      </c>
    </row>
    <row r="5" spans="1:9" x14ac:dyDescent="0.3">
      <c r="A5">
        <v>80000</v>
      </c>
      <c r="B5">
        <v>0</v>
      </c>
      <c r="C5">
        <v>79999</v>
      </c>
      <c r="H5">
        <v>0</v>
      </c>
    </row>
    <row r="6" spans="1:9" x14ac:dyDescent="0.3">
      <c r="A6">
        <v>100000</v>
      </c>
      <c r="B6">
        <v>0</v>
      </c>
      <c r="C6">
        <v>99999</v>
      </c>
      <c r="H6"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49995000</v>
      </c>
      <c r="C2">
        <v>50004999</v>
      </c>
    </row>
    <row r="3" spans="1:9" x14ac:dyDescent="0.3">
      <c r="A3">
        <v>20000</v>
      </c>
      <c r="B3">
        <v>199990000</v>
      </c>
      <c r="C3">
        <v>200009999</v>
      </c>
    </row>
    <row r="4" spans="1:9" x14ac:dyDescent="0.3">
      <c r="A4">
        <v>40000</v>
      </c>
      <c r="B4">
        <v>799980000</v>
      </c>
      <c r="C4">
        <v>800019999</v>
      </c>
    </row>
    <row r="5" spans="1:9" x14ac:dyDescent="0.3">
      <c r="A5">
        <v>80000</v>
      </c>
      <c r="B5">
        <v>3199960000</v>
      </c>
      <c r="C5">
        <v>3200039999</v>
      </c>
    </row>
    <row r="6" spans="1:9" x14ac:dyDescent="0.3">
      <c r="A6">
        <v>100000</v>
      </c>
      <c r="B6">
        <v>4999950000</v>
      </c>
      <c r="C6">
        <v>5000049999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24871447</v>
      </c>
      <c r="C2">
        <v>24881446</v>
      </c>
    </row>
    <row r="3" spans="1:9" x14ac:dyDescent="0.3">
      <c r="A3">
        <v>20000</v>
      </c>
      <c r="B3">
        <v>100178748</v>
      </c>
      <c r="C3">
        <v>100198747</v>
      </c>
    </row>
    <row r="4" spans="1:9" x14ac:dyDescent="0.3">
      <c r="A4">
        <v>40000</v>
      </c>
      <c r="B4">
        <v>399625716</v>
      </c>
      <c r="C4">
        <v>399665715</v>
      </c>
    </row>
    <row r="5" spans="1:9" x14ac:dyDescent="0.3">
      <c r="A5">
        <v>80000</v>
      </c>
      <c r="B5">
        <v>1600887094</v>
      </c>
      <c r="C5">
        <v>1600967093</v>
      </c>
    </row>
    <row r="6" spans="1:9" x14ac:dyDescent="0.3">
      <c r="A6">
        <v>100000</v>
      </c>
      <c r="B6">
        <v>2500475303</v>
      </c>
      <c r="C6">
        <v>2500575302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I6"/>
  <sheetViews>
    <sheetView workbookViewId="0">
      <selection activeCell="C17" sqref="C17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9999</v>
      </c>
      <c r="C2">
        <v>9999</v>
      </c>
      <c r="H2">
        <v>9999</v>
      </c>
    </row>
    <row r="3" spans="1:9" x14ac:dyDescent="0.3">
      <c r="A3">
        <v>20000</v>
      </c>
      <c r="B3">
        <v>19999</v>
      </c>
      <c r="C3">
        <v>19999</v>
      </c>
      <c r="H3">
        <v>19999</v>
      </c>
    </row>
    <row r="4" spans="1:9" x14ac:dyDescent="0.3">
      <c r="A4">
        <v>40000</v>
      </c>
      <c r="B4">
        <v>39999</v>
      </c>
      <c r="C4">
        <v>39999</v>
      </c>
      <c r="H4">
        <v>39999</v>
      </c>
    </row>
    <row r="5" spans="1:9" x14ac:dyDescent="0.3">
      <c r="A5">
        <v>80000</v>
      </c>
      <c r="B5">
        <v>79999</v>
      </c>
      <c r="C5">
        <v>79999</v>
      </c>
      <c r="H5">
        <v>79999</v>
      </c>
    </row>
    <row r="6" spans="1:9" x14ac:dyDescent="0.3">
      <c r="A6">
        <v>100000</v>
      </c>
      <c r="B6">
        <v>99999</v>
      </c>
      <c r="C6">
        <v>99999</v>
      </c>
      <c r="H6">
        <v>99999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2025-05-23T20:43:38Z</dcterms:modified>
</cp:coreProperties>
</file>