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814" documentId="8_{AECF5A1F-C523-497A-B2A1-66620ACB315E}" xr6:coauthVersionLast="47" xr6:coauthVersionMax="47" xr10:uidLastSave="{6B35EC06-56B9-46E3-83F4-D846E9092A4C}"/>
  <bookViews>
    <workbookView xWindow="-108" yWindow="-108" windowWidth="23256" windowHeight="12456" firstSheet="1" activeTab="1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2" i="3"/>
  <c r="I3" i="3"/>
  <c r="I4" i="3"/>
  <c r="I5" i="3"/>
  <c r="I6" i="3"/>
  <c r="I2" i="2"/>
  <c r="I3" i="2"/>
  <c r="I4" i="2"/>
  <c r="I5" i="2"/>
  <c r="I6" i="2"/>
  <c r="G2" i="2"/>
  <c r="G3" i="2"/>
  <c r="G4" i="2"/>
  <c r="G5" i="2"/>
  <c r="G6" i="2"/>
  <c r="G2" i="3"/>
  <c r="G3" i="3"/>
  <c r="G4" i="3"/>
  <c r="G5" i="3"/>
  <c r="G6" i="3"/>
  <c r="G2" i="4"/>
  <c r="G3" i="4"/>
  <c r="G4" i="4"/>
  <c r="G5" i="4"/>
  <c r="G6" i="4"/>
  <c r="E2" i="4"/>
  <c r="E4" i="4"/>
  <c r="E3" i="4"/>
  <c r="E5" i="4"/>
  <c r="E6" i="4"/>
  <c r="E2" i="3"/>
  <c r="E3" i="3"/>
  <c r="E4" i="3"/>
  <c r="E5" i="3"/>
  <c r="E6" i="3"/>
  <c r="E2" i="2"/>
  <c r="E3" i="2"/>
  <c r="E4" i="2"/>
  <c r="E5" i="2"/>
  <c r="E6" i="2"/>
  <c r="I6" i="5"/>
  <c r="I2" i="5"/>
  <c r="I3" i="5"/>
  <c r="I4" i="5"/>
  <c r="I5" i="5"/>
  <c r="H2" i="5"/>
  <c r="H3" i="5"/>
  <c r="H4" i="5"/>
  <c r="H5" i="5"/>
  <c r="H6" i="5"/>
  <c r="G2" i="5"/>
  <c r="G3" i="5"/>
  <c r="G4" i="5"/>
  <c r="G5" i="5"/>
  <c r="G6" i="5"/>
  <c r="F2" i="5"/>
  <c r="F3" i="5"/>
  <c r="F4" i="5"/>
  <c r="F5" i="5"/>
  <c r="F6" i="5"/>
  <c r="E2" i="5"/>
  <c r="E3" i="5"/>
  <c r="E4" i="5"/>
  <c r="E5" i="5"/>
  <c r="E6" i="5"/>
  <c r="F2" i="2"/>
  <c r="F3" i="2"/>
  <c r="F4" i="2"/>
  <c r="F5" i="2"/>
  <c r="F6" i="2"/>
  <c r="F6" i="4"/>
  <c r="F5" i="4"/>
  <c r="F4" i="4"/>
  <c r="F3" i="4"/>
  <c r="F2" i="4"/>
  <c r="F2" i="3"/>
  <c r="F3" i="3"/>
  <c r="F4" i="3"/>
  <c r="F5" i="3"/>
  <c r="F6" i="3"/>
  <c r="H2" i="2"/>
  <c r="H3" i="2"/>
  <c r="H4" i="2"/>
  <c r="H5" i="2"/>
  <c r="H6" i="2"/>
  <c r="H2" i="4"/>
  <c r="H3" i="4"/>
  <c r="H4" i="4"/>
  <c r="H5" i="4"/>
  <c r="H6" i="4"/>
  <c r="H2" i="3"/>
  <c r="H3" i="3"/>
  <c r="H4" i="3"/>
  <c r="H5" i="3"/>
  <c r="H6" i="3"/>
  <c r="D2" i="2"/>
  <c r="D3" i="2"/>
  <c r="D4" i="2"/>
  <c r="D5" i="2"/>
  <c r="D6" i="2"/>
  <c r="D6" i="4"/>
  <c r="D5" i="4"/>
  <c r="D4" i="4"/>
  <c r="D6" i="3"/>
  <c r="D5" i="3"/>
  <c r="D4" i="3"/>
  <c r="D3" i="3"/>
  <c r="D2" i="3"/>
  <c r="C2" i="4"/>
  <c r="C3" i="4"/>
  <c r="C4" i="4"/>
  <c r="C5" i="4"/>
  <c r="C6" i="4"/>
  <c r="C6" i="3"/>
  <c r="C5" i="3"/>
  <c r="C4" i="3"/>
  <c r="C3" i="3"/>
  <c r="C2" i="3"/>
  <c r="B6" i="4"/>
  <c r="B2" i="4"/>
  <c r="B3" i="4"/>
  <c r="B4" i="4"/>
  <c r="B5" i="4"/>
  <c r="B6" i="3"/>
  <c r="B5" i="3"/>
  <c r="B4" i="3"/>
  <c r="B3" i="3"/>
  <c r="B2" i="3"/>
  <c r="D2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<sst xmlns="http://schemas.openxmlformats.org/spreadsheetml/2006/main" count="114" uniqueCount="16">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</sst>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"/>
    <numFmt numFmtId="167" formatCode="0.000"/>
    <numFmt numFmtId="168" formatCode="0.0000000"/>
    <numFmt numFmtId="169" formatCode="0.00000000"/>
  </numFmts>
  <fonts count="5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Arial"/>
      <family val="2"/>
    </font>
    <font>
      <sz val="11"/>
      <color rgb="FF4140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1403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1403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1403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1403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1403E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9" formatCode="0.00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8" formatCode="0.000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  <alignment horizontal="right" vertical="bottom" textRotation="0" wrapText="0" relativeIndent="-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334920915784402"/>
          <c:y val="0.29058552521360365"/>
          <c:w val="0.84813643378847314"/>
          <c:h val="0.627434802032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  <c:pt idx="0">
                  <c:v>64608</c:v>
                </c:pt>
                <c:pt idx="1">
                  <c:v>139216</c:v>
                </c:pt>
                <c:pt idx="2">
                  <c:v>298432</c:v>
                </c:pt>
                <c:pt idx="3">
                  <c:v>636864</c:v>
                </c:pt>
                <c:pt idx="4">
                  <c:v>815024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  <c:pt idx="0">
                  <c:v>25004999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  <c:pt idx="0">
                  <c:v>153619</c:v>
                </c:pt>
                <c:pt idx="1">
                  <c:v>337246</c:v>
                </c:pt>
                <c:pt idx="2">
                  <c:v>733114</c:v>
                </c:pt>
                <c:pt idx="3">
                  <c:v>1581832</c:v>
                </c:pt>
                <c:pt idx="4">
                  <c:v>2024810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538393456631874E-2"/>
          <c:y val="0.29058552521360365"/>
          <c:w val="0.86060372540641727"/>
          <c:h val="0.627434802032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 formatCode="#,##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  <c:pt idx="0">
                  <c:v>123649</c:v>
                </c:pt>
                <c:pt idx="1">
                  <c:v>267319</c:v>
                </c:pt>
                <c:pt idx="2">
                  <c:v>574681</c:v>
                </c:pt>
                <c:pt idx="3">
                  <c:v>1229355</c:v>
                </c:pt>
                <c:pt idx="4">
                  <c:v>1566476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  <c:pt idx="0">
                  <c:v>155591</c:v>
                </c:pt>
                <c:pt idx="1">
                  <c:v>327375</c:v>
                </c:pt>
                <c:pt idx="2">
                  <c:v>725565</c:v>
                </c:pt>
                <c:pt idx="3">
                  <c:v>1538091</c:v>
                </c:pt>
                <c:pt idx="4">
                  <c:v>1999011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  <c:pt idx="0">
                  <c:v>166314</c:v>
                </c:pt>
                <c:pt idx="1">
                  <c:v>362605</c:v>
                </c:pt>
                <c:pt idx="2">
                  <c:v>785306</c:v>
                </c:pt>
                <c:pt idx="3">
                  <c:v>1690938</c:v>
                </c:pt>
                <c:pt idx="4">
                  <c:v>2163164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0.00000</c:formatCode>
                <c:ptCount val="5"/>
                <c:pt idx="0">
                  <c:v>0.143622</c:v>
                </c:pt>
                <c:pt idx="1">
                  <c:v>0.67631500000000011</c:v>
                </c:pt>
                <c:pt idx="2">
                  <c:v>2.5638566666666667</c:v>
                </c:pt>
                <c:pt idx="3">
                  <c:v>10.004483333333333</c:v>
                </c:pt>
                <c:pt idx="4">
                  <c:v>15.401333333333334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1.2321333333333332E-2</c:v>
                </c:pt>
                <c:pt idx="1">
                  <c:v>2.3608666666666667E-2</c:v>
                </c:pt>
                <c:pt idx="2">
                  <c:v>3.2100666666666666E-2</c:v>
                </c:pt>
                <c:pt idx="3">
                  <c:v>6.2758666666666671E-2</c:v>
                </c:pt>
                <c:pt idx="4">
                  <c:v>7.1901666666666655E-2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0.000000</c:formatCode>
                <c:ptCount val="5"/>
                <c:pt idx="0">
                  <c:v>0.38189633333333334</c:v>
                </c:pt>
                <c:pt idx="1">
                  <c:v>1.3976733333333333</c:v>
                </c:pt>
                <c:pt idx="2">
                  <c:v>5.6177900000000003</c:v>
                </c:pt>
                <c:pt idx="3">
                  <c:v>22.60263333333333</c:v>
                </c:pt>
                <c:pt idx="4">
                  <c:v>35.24666666666667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0.0000000</c:formatCode>
                <c:ptCount val="5"/>
                <c:pt idx="0">
                  <c:v>1.9353333333333334E-3</c:v>
                </c:pt>
                <c:pt idx="1">
                  <c:v>4.2239999999999995E-3</c:v>
                </c:pt>
                <c:pt idx="2">
                  <c:v>1.3669666666666669E-2</c:v>
                </c:pt>
                <c:pt idx="3">
                  <c:v>2.1619666666666666E-2</c:v>
                </c:pt>
                <c:pt idx="4">
                  <c:v>3.0770666666666668E-2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0.00000</c:formatCode>
                <c:ptCount val="5"/>
                <c:pt idx="0">
                  <c:v>2.1589666666666668E-3</c:v>
                </c:pt>
                <c:pt idx="1">
                  <c:v>6.0543333333333326E-3</c:v>
                </c:pt>
                <c:pt idx="2">
                  <c:v>9.5876666666666662E-3</c:v>
                </c:pt>
                <c:pt idx="3">
                  <c:v>1.7432666666666666E-2</c:v>
                </c:pt>
                <c:pt idx="4">
                  <c:v>2.8567666666666668E-2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0.00000000</c:formatCode>
                <c:ptCount val="5"/>
                <c:pt idx="0">
                  <c:v>6.736666666666666E-4</c:v>
                </c:pt>
                <c:pt idx="1">
                  <c:v>1.3486666666666666E-3</c:v>
                </c:pt>
                <c:pt idx="2">
                  <c:v>2.5363333333333336E-3</c:v>
                </c:pt>
                <c:pt idx="3">
                  <c:v>5.1466666666666666E-3</c:v>
                </c:pt>
                <c:pt idx="4">
                  <c:v>6.1450000000000003E-3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0.29687733333333327</c:v>
                </c:pt>
                <c:pt idx="1">
                  <c:v>1.3655933333333332</c:v>
                </c:pt>
                <c:pt idx="2">
                  <c:v>5.0517433333333335</c:v>
                </c:pt>
                <c:pt idx="3">
                  <c:v>19.964033333333333</c:v>
                </c:pt>
                <c:pt idx="4">
                  <c:v>32.850699999999996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0.15196233333333334</c:v>
                </c:pt>
                <c:pt idx="1">
                  <c:v>0.8434586666666668</c:v>
                </c:pt>
                <c:pt idx="2">
                  <c:v>2.7565766666666662</c:v>
                </c:pt>
                <c:pt idx="3">
                  <c:v>10.373133333333334</c:v>
                </c:pt>
                <c:pt idx="4">
                  <c:v>16.178599999999999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6.6703333333333337E-3</c:v>
                </c:pt>
                <c:pt idx="1">
                  <c:v>1.2949333333333334E-2</c:v>
                </c:pt>
                <c:pt idx="2">
                  <c:v>2.5732666666666668E-2</c:v>
                </c:pt>
                <c:pt idx="3">
                  <c:v>5.1178666666666671E-2</c:v>
                </c:pt>
                <c:pt idx="4">
                  <c:v>6.7431999999999992E-2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0.00000</c:formatCode>
                <c:ptCount val="5"/>
                <c:pt idx="0">
                  <c:v>0.22045700000000001</c:v>
                </c:pt>
                <c:pt idx="1">
                  <c:v>1.1875799999999999</c:v>
                </c:pt>
                <c:pt idx="2">
                  <c:v>4.1071600000000004</c:v>
                </c:pt>
                <c:pt idx="3">
                  <c:v>16.362499999999997</c:v>
                </c:pt>
                <c:pt idx="4">
                  <c:v>26.164266666666666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1.3426666666666667E-3</c:v>
                </c:pt>
                <c:pt idx="1">
                  <c:v>5.796333333333333E-3</c:v>
                </c:pt>
                <c:pt idx="2">
                  <c:v>1.3815666666666665E-2</c:v>
                </c:pt>
                <c:pt idx="3">
                  <c:v>2.1087666666666668E-2</c:v>
                </c:pt>
                <c:pt idx="4">
                  <c:v>2.6658666666666667E-2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2.2190000000000001E-3</c:v>
                </c:pt>
                <c:pt idx="1">
                  <c:v>4.7593333333333333E-3</c:v>
                </c:pt>
                <c:pt idx="2">
                  <c:v>5.6686666666666665E-3</c:v>
                </c:pt>
                <c:pt idx="3">
                  <c:v>7.9036666666666665E-3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0.15417033333333333</c:v>
                </c:pt>
                <c:pt idx="1">
                  <c:v>0.81966966666666663</c:v>
                </c:pt>
                <c:pt idx="2">
                  <c:v>2.7840766666666661</c:v>
                </c:pt>
                <c:pt idx="3" formatCode="0.000">
                  <c:v>10.392333333333333</c:v>
                </c:pt>
                <c:pt idx="4" formatCode="General">
                  <c:v>15.708999999999998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2.69238</c:v>
                </c:pt>
                <c:pt idx="3">
                  <c:v>9.9679500000000001</c:v>
                </c:pt>
                <c:pt idx="4">
                  <c:v>15.584833333333334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9.0743333333333353E-3</c:v>
                </c:pt>
                <c:pt idx="1">
                  <c:v>1.5140666666666669E-2</c:v>
                </c:pt>
                <c:pt idx="2">
                  <c:v>2.3347299999999998E-2</c:v>
                </c:pt>
                <c:pt idx="3">
                  <c:v>5.6766666666666667E-2</c:v>
                </c:pt>
                <c:pt idx="4">
                  <c:v>7.1914666666666668E-2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0.000000</c:formatCode>
                <c:ptCount val="5"/>
                <c:pt idx="0">
                  <c:v>1.4126666666666669E-3</c:v>
                </c:pt>
                <c:pt idx="1">
                  <c:v>4.2750000000000002E-3</c:v>
                </c:pt>
                <c:pt idx="2">
                  <c:v>6.9903333333333336E-3</c:v>
                </c:pt>
                <c:pt idx="3">
                  <c:v>1.3340333333333334E-2</c:v>
                </c:pt>
                <c:pt idx="4">
                  <c:v>1.6921666666666665E-2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  <c:pt idx="0">
                  <c:v>2.7116666666666665E-3</c:v>
                </c:pt>
                <c:pt idx="1">
                  <c:v>7.2393333333333337E-3</c:v>
                </c:pt>
                <c:pt idx="2">
                  <c:v>1.2436666666666667E-2</c:v>
                </c:pt>
                <c:pt idx="3">
                  <c:v>2.2797666666666664E-2</c:v>
                </c:pt>
                <c:pt idx="4">
                  <c:v>4.4324333333333334E-2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4.2326666666666667E-3</c:v>
                </c:pt>
                <c:pt idx="1">
                  <c:v>5.7343333333333335E-3</c:v>
                </c:pt>
                <c:pt idx="2">
                  <c:v>9.1043333333333341E-3</c:v>
                </c:pt>
                <c:pt idx="3">
                  <c:v>2.3833333333333335E-2</c:v>
                </c:pt>
                <c:pt idx="4">
                  <c:v>3.209066666666667E-2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2.0873333333333334E-3</c:v>
                </c:pt>
                <c:pt idx="1">
                  <c:v>2.2443333333333334E-3</c:v>
                </c:pt>
                <c:pt idx="2">
                  <c:v>2.016E-3</c:v>
                </c:pt>
                <c:pt idx="3">
                  <c:v>5.1246666666666663E-3</c:v>
                </c:pt>
                <c:pt idx="4">
                  <c:v>6.5973333333333335E-3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  <c:pt idx="0">
                  <c:v>132947.56235739225</c:v>
                </c:pt>
                <c:pt idx="1">
                  <c:v>285829.68615288672</c:v>
                </c:pt>
                <c:pt idx="2">
                  <c:v>611588.93374387571</c:v>
                </c:pt>
                <c:pt idx="3">
                  <c:v>1303102.4289258537</c:v>
                </c:pt>
                <c:pt idx="4">
                  <c:v>1661051.0956460533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  <c:pt idx="0">
                  <c:v>57.150849518197802</c:v>
                </c:pt>
                <c:pt idx="1">
                  <c:v>61.150849518197795</c:v>
                </c:pt>
                <c:pt idx="2">
                  <c:v>65.150849518197788</c:v>
                </c:pt>
                <c:pt idx="3">
                  <c:v>69.150849518197802</c:v>
                </c:pt>
                <c:pt idx="4">
                  <c:v>70.438561897747249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  <c:pt idx="0">
                  <c:v>60002</c:v>
                </c:pt>
                <c:pt idx="1">
                  <c:v>120002</c:v>
                </c:pt>
                <c:pt idx="2">
                  <c:v>240002</c:v>
                </c:pt>
                <c:pt idx="3">
                  <c:v>480002</c:v>
                </c:pt>
                <c:pt idx="4">
                  <c:v>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  <c:pt idx="0">
                  <c:v>20002</c:v>
                </c:pt>
                <c:pt idx="1">
                  <c:v>40002</c:v>
                </c:pt>
                <c:pt idx="2">
                  <c:v>80002</c:v>
                </c:pt>
                <c:pt idx="3">
                  <c:v>160002</c:v>
                </c:pt>
                <c:pt idx="4">
                  <c:v>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  <c:pt idx="0">
                  <c:v>50059</c:v>
                </c:pt>
                <c:pt idx="1">
                  <c:v>100059</c:v>
                </c:pt>
                <c:pt idx="2">
                  <c:v>200059</c:v>
                </c:pt>
                <c:pt idx="3">
                  <c:v>400059</c:v>
                </c:pt>
                <c:pt idx="4">
                  <c:v>500059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754288013268414"/>
          <c:y val="0.31321513541319584"/>
          <c:w val="0.83956521858125399"/>
          <c:h val="0.600970953241089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  <c:pt idx="0">
                  <c:v>140000</c:v>
                </c:pt>
                <c:pt idx="1">
                  <c:v>300000</c:v>
                </c:pt>
                <c:pt idx="2">
                  <c:v>640000</c:v>
                </c:pt>
                <c:pt idx="3">
                  <c:v>1360000</c:v>
                </c:pt>
                <c:pt idx="4">
                  <c:v>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  <c:pt idx="0">
                  <c:v>131956</c:v>
                </c:pt>
                <c:pt idx="1">
                  <c:v>282878</c:v>
                </c:pt>
                <c:pt idx="2">
                  <c:v>605202</c:v>
                </c:pt>
                <c:pt idx="3">
                  <c:v>1293150</c:v>
                </c:pt>
                <c:pt idx="4">
                  <c:v>1650854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8425744227227066E-2"/>
          <c:y val="0.35985871446920198"/>
          <c:w val="0.85868235448671104"/>
          <c:h val="0.55816161277712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  <c:pt idx="0">
                  <c:v>140000</c:v>
                </c:pt>
                <c:pt idx="1">
                  <c:v>300000</c:v>
                </c:pt>
                <c:pt idx="2">
                  <c:v>640000</c:v>
                </c:pt>
                <c:pt idx="3">
                  <c:v>1360000</c:v>
                </c:pt>
                <c:pt idx="4">
                  <c:v>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  <c:pt idx="0">
                  <c:v>49995000</c:v>
                </c:pt>
                <c:pt idx="1">
                  <c:v>100009999</c:v>
                </c:pt>
                <c:pt idx="2">
                  <c:v>400019999</c:v>
                </c:pt>
                <c:pt idx="3">
                  <c:v>1600039999</c:v>
                </c:pt>
                <c:pt idx="4">
                  <c:v>2500049999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  <c:pt idx="0">
                  <c:v>116696</c:v>
                </c:pt>
                <c:pt idx="1">
                  <c:v>254334</c:v>
                </c:pt>
                <c:pt idx="2">
                  <c:v>547628</c:v>
                </c:pt>
                <c:pt idx="3">
                  <c:v>1174074</c:v>
                </c:pt>
                <c:pt idx="4">
                  <c:v>1497434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190158711912836"/>
          <c:y val="0.35985871446920198"/>
          <c:w val="0.85520651159480976"/>
          <c:h val="0.55816161277712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  <c:pt idx="0">
                  <c:v>140000</c:v>
                </c:pt>
                <c:pt idx="1">
                  <c:v>300000</c:v>
                </c:pt>
                <c:pt idx="2">
                  <c:v>640000</c:v>
                </c:pt>
                <c:pt idx="3">
                  <c:v>1360000</c:v>
                </c:pt>
                <c:pt idx="4">
                  <c:v>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  <c:pt idx="0">
                  <c:v>85177</c:v>
                </c:pt>
                <c:pt idx="1">
                  <c:v>184196</c:v>
                </c:pt>
                <c:pt idx="2">
                  <c:v>381834</c:v>
                </c:pt>
                <c:pt idx="3">
                  <c:v>806010</c:v>
                </c:pt>
                <c:pt idx="4">
                  <c:v>1055772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  <c:pt idx="0">
                  <c:v>124210</c:v>
                </c:pt>
                <c:pt idx="1">
                  <c:v>268398</c:v>
                </c:pt>
                <c:pt idx="2">
                  <c:v>576723</c:v>
                </c:pt>
                <c:pt idx="3">
                  <c:v>1233693</c:v>
                </c:pt>
                <c:pt idx="4">
                  <c:v>1574973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  <c:pt idx="0">
                  <c:v>106666</c:v>
                </c:pt>
                <c:pt idx="1">
                  <c:v>213333</c:v>
                </c:pt>
                <c:pt idx="2">
                  <c:v>426666</c:v>
                </c:pt>
                <c:pt idx="3">
                  <c:v>960000</c:v>
                </c:pt>
                <c:pt idx="4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650869673935657E-2"/>
          <c:y val="0.22131261517842185"/>
          <c:w val="0.89194517740578894"/>
          <c:h val="0.696707712067906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  <c:pt idx="0">
                  <c:v>71712</c:v>
                </c:pt>
                <c:pt idx="1">
                  <c:v>153424</c:v>
                </c:pt>
                <c:pt idx="2">
                  <c:v>326848</c:v>
                </c:pt>
                <c:pt idx="3">
                  <c:v>693696</c:v>
                </c:pt>
                <c:pt idx="4">
                  <c:v>877968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  <c:pt idx="0">
                  <c:v>180584</c:v>
                </c:pt>
                <c:pt idx="1">
                  <c:v>389734</c:v>
                </c:pt>
                <c:pt idx="2">
                  <c:v>838348</c:v>
                </c:pt>
                <c:pt idx="3">
                  <c:v>1800487</c:v>
                </c:pt>
                <c:pt idx="4">
                  <c:v>2303177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60960</xdr:rowOff>
    </xdr:from>
    <xdr:to>
      <xdr:col>22</xdr:col>
      <xdr:colOff>83820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 dataDxfId="4"/>
    <tableColumn id="3" xr3:uid="{4780842C-AEBA-497B-9744-D11CFE76A317}" name="InsertionSort" dataDxfId="3"/>
    <tableColumn id="4" xr3:uid="{C966C232-0A1D-4C25-8E61-63486C4005FF}" name="SelectionSort"/>
    <tableColumn id="5" xr3:uid="{674C8963-8923-47E8-992E-23C479459142}" name="MergeSort" dataDxfId="2"/>
    <tableColumn id="6" xr3:uid="{B4CA25D8-5A6E-4494-A066-9884739CA670}" name="QuickSort" dataDxfId="1"/>
    <tableColumn id="7" xr3:uid="{1696EB85-8CC2-4994-9660-2C79E0D1F342}" name="HeapSort" dataDxfId="0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 dataDxfId="36"/>
    <tableColumn id="2" xr3:uid="{C5127529-A4E4-4639-A4FA-738598E99596}" name="BubbleSort" dataDxfId="35"/>
    <tableColumn id="3" xr3:uid="{D3407327-A185-4351-A55C-14014B1B867D}" name="InsertionSort" dataDxfId="34"/>
    <tableColumn id="4" xr3:uid="{85C71698-96C8-48BF-9E4F-A31F4588E93A}" name="SelectionSort" dataDxfId="33"/>
    <tableColumn id="5" xr3:uid="{D89F0557-14DD-46AD-9565-6B8B49785A1D}" name="MergeSort" dataDxfId="32"/>
    <tableColumn id="6" xr3:uid="{342D5A51-5208-4EAA-A16A-1781198676FD}" name="QuickSort" dataDxfId="31"/>
    <tableColumn id="7" xr3:uid="{FBA48003-53BB-41A5-8ED7-223B444BF07D}" name="HeapSort" dataDxfId="30"/>
    <tableColumn id="8" xr3:uid="{AADA5A23-24DA-4A5E-9964-0C51CE8886B7}" name="RadixSort" dataDxfId="29"/>
    <tableColumn id="9" xr3:uid="{8A78FEEA-65F3-4865-8351-640E30D1210A}" name="CoutingSort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 dataDxfId="27"/>
    <tableColumn id="2" xr3:uid="{73836CB1-A1D9-4D27-AA51-8096EC2B23FB}" name="BubbleSort" dataDxfId="26"/>
    <tableColumn id="3" xr3:uid="{50D01E1E-E49D-48B8-9D64-68BB18FD132D}" name="InsertionSort" dataDxfId="25"/>
    <tableColumn id="4" xr3:uid="{BF3C1C79-92F0-4E93-AE3F-44D10600C26D}" name="SelectionSort" dataDxfId="24"/>
    <tableColumn id="5" xr3:uid="{71DF7DE3-1D14-438B-AA85-26258AB0E16E}" name="MergeSort" dataDxfId="23"/>
    <tableColumn id="6" xr3:uid="{D7044A8A-343F-410A-A47C-299C79374E83}" name="QuickSort" dataDxfId="22"/>
    <tableColumn id="7" xr3:uid="{44EE4653-5828-4AD8-89F5-DCD6FFFB7171}" name="HeapSort" dataDxfId="21"/>
    <tableColumn id="9" xr3:uid="{06AF528E-0B37-497F-86E3-9CA2A978E533}" name="RadixSort" dataDxfId="20"/>
    <tableColumn id="8" xr3:uid="{1AF9EE2E-6E80-48E6-A0EA-B411C6533961}" name="CoutingSort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 dataDxfId="18"/>
    <tableColumn id="2" xr3:uid="{AB29B0C4-1AC7-48FD-8D3C-13AA6916E031}" name="BubbleSort" dataDxfId="17"/>
    <tableColumn id="3" xr3:uid="{277890D8-FE28-4EFB-A704-7CA343850008}" name="InsertionSort" dataDxfId="16"/>
    <tableColumn id="4" xr3:uid="{7B9C2A85-4991-44A3-8EB5-C25296FAD161}" name="SelectionSort" dataDxfId="15"/>
    <tableColumn id="5" xr3:uid="{4450D16D-D01F-43DF-B8B1-9C2BAE2DFD58}" name="MergeSort" dataDxfId="14"/>
    <tableColumn id="6" xr3:uid="{8F5D90A6-8E0B-4E1B-8D02-4E5B09ACDCA0}" name="QuickSort" dataDxfId="13"/>
    <tableColumn id="7" xr3:uid="{59D8846C-91B6-4237-BE54-A17E0A509527}" name="HeapSort" dataDxfId="12"/>
    <tableColumn id="8" xr3:uid="{6B8DE172-995E-41FE-BF4F-C27226F78BC4}" name="RadixSort" dataDxfId="11"/>
    <tableColumn id="9" xr3:uid="{D222E4FB-3FC2-4727-958D-5584BD8905DB}" name="CoutingSort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9">
      <calculatedColumnFormula>(ComparaçãoEspacial[[#This Row],[Tamanho]]*LOG(ComparaçãoEspacial[[#This Row],[Tamanho]],2))+(5*LOG(ComparaçãoEspacial[[#This Row],[Tamanho]],2))+4</calculatedColumnFormula>
    </tableColumn>
    <tableColumn id="6" xr3:uid="{ACF4646F-3D62-4D2C-AFE7-17C20339F4C3}" name="QuickSort" dataDxfId="8">
      <calculatedColumnFormula>(4*LOG(ComparaçãoEspacial[[#This Row],[Tamanho]],2))+4</calculatedColumnFormula>
    </tableColumn>
    <tableColumn id="7" xr3:uid="{0B50FEDD-0752-47C3-ABE3-0D8374A536C0}" name="HeapSort" dataDxfId="7">
      <calculatedColumnFormula>2+(6*ComparaçãoEspacial[[#This Row],[Tamanho]])</calculatedColumnFormula>
    </tableColumn>
    <tableColumn id="8" xr3:uid="{C8222E89-0ECB-433B-90A5-CBD88DB6FE41}" name="RadixSort" dataDxfId="6">
      <calculatedColumnFormula>(2*ComparaçãoEspacial[[#This Row],[Tamanho]])+2</calculatedColumnFormula>
    </tableColumn>
    <tableColumn id="9" xr3:uid="{64003905-FAB0-4E61-96E1-4F3B35279A72}" name="CoutingSort" dataDxfId="5">
      <calculatedColumnFormula>(5*(ComparaçãoEspacial[[#This Row],[Tamanho]]+11))+4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I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  <c r="D2">
        <v>49995000</v>
      </c>
      <c r="E2">
        <v>64608</v>
      </c>
      <c r="F2">
        <v>25004999</v>
      </c>
      <c r="G2">
        <v>153619</v>
      </c>
      <c r="H2">
        <v>9999</v>
      </c>
      <c r="I2">
        <v>9999</v>
      </c>
    </row>
    <row r="3" spans="1:9" x14ac:dyDescent="0.3">
      <c r="A3">
        <v>20000</v>
      </c>
      <c r="B3">
        <v>199990000</v>
      </c>
      <c r="C3">
        <v>200009999</v>
      </c>
      <c r="D3">
        <v>199990000</v>
      </c>
      <c r="E3">
        <v>139216</v>
      </c>
      <c r="F3">
        <v>199990000</v>
      </c>
      <c r="G3">
        <v>337246</v>
      </c>
      <c r="H3">
        <v>19999</v>
      </c>
      <c r="I3">
        <v>19999</v>
      </c>
    </row>
    <row r="4" spans="1:9" x14ac:dyDescent="0.3">
      <c r="A4">
        <v>40000</v>
      </c>
      <c r="B4">
        <v>799980000</v>
      </c>
      <c r="C4">
        <v>800019999</v>
      </c>
      <c r="D4">
        <v>799980000</v>
      </c>
      <c r="E4">
        <v>298432</v>
      </c>
      <c r="F4">
        <v>799980000</v>
      </c>
      <c r="G4">
        <v>733114</v>
      </c>
      <c r="H4">
        <v>39999</v>
      </c>
      <c r="I4">
        <v>39999</v>
      </c>
    </row>
    <row r="5" spans="1:9" x14ac:dyDescent="0.3">
      <c r="A5">
        <v>80000</v>
      </c>
      <c r="B5">
        <v>3199960000</v>
      </c>
      <c r="C5">
        <v>3200039999</v>
      </c>
      <c r="D5">
        <v>3199960000</v>
      </c>
      <c r="E5">
        <v>636864</v>
      </c>
      <c r="F5">
        <v>3199960000</v>
      </c>
      <c r="G5">
        <v>1581832</v>
      </c>
      <c r="H5">
        <v>79999</v>
      </c>
      <c r="I5">
        <v>79999</v>
      </c>
    </row>
    <row r="6" spans="1:9" x14ac:dyDescent="0.3">
      <c r="A6">
        <v>100000</v>
      </c>
      <c r="B6">
        <v>4999950000</v>
      </c>
      <c r="C6">
        <v>5000049999</v>
      </c>
      <c r="D6">
        <v>4999950000</v>
      </c>
      <c r="E6">
        <v>815024</v>
      </c>
      <c r="F6">
        <v>4999950000</v>
      </c>
      <c r="G6">
        <v>2024810</v>
      </c>
      <c r="H6">
        <v>99999</v>
      </c>
      <c r="I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topLeftCell="D1" workbookViewId="0">
      <selection activeCell="H19" sqref="H19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 s="10">
        <v>24881446</v>
      </c>
      <c r="D2">
        <v>49995000</v>
      </c>
      <c r="E2" s="11">
        <v>123649</v>
      </c>
      <c r="F2" s="11">
        <v>155591</v>
      </c>
      <c r="G2" s="11">
        <v>166314</v>
      </c>
      <c r="H2">
        <v>9999</v>
      </c>
      <c r="I2">
        <v>9999</v>
      </c>
    </row>
    <row r="3" spans="1:9" x14ac:dyDescent="0.3">
      <c r="A3">
        <v>20000</v>
      </c>
      <c r="B3">
        <v>199971955</v>
      </c>
      <c r="C3" s="11">
        <v>100198747</v>
      </c>
      <c r="D3">
        <v>199990000</v>
      </c>
      <c r="E3" s="11">
        <v>267319</v>
      </c>
      <c r="F3" s="11">
        <v>327375</v>
      </c>
      <c r="G3" s="11">
        <v>362605</v>
      </c>
      <c r="H3">
        <v>19999</v>
      </c>
      <c r="I3">
        <v>19999</v>
      </c>
    </row>
    <row r="4" spans="1:9" x14ac:dyDescent="0.3">
      <c r="A4">
        <v>40000</v>
      </c>
      <c r="B4" s="11">
        <v>799928277</v>
      </c>
      <c r="C4" s="11">
        <v>399665715</v>
      </c>
      <c r="D4">
        <v>799980000</v>
      </c>
      <c r="E4" s="11">
        <v>574681</v>
      </c>
      <c r="F4" s="11">
        <v>725565</v>
      </c>
      <c r="G4" s="11">
        <v>785306</v>
      </c>
      <c r="H4">
        <v>39999</v>
      </c>
      <c r="I4">
        <v>39999</v>
      </c>
    </row>
    <row r="5" spans="1:9" x14ac:dyDescent="0.3">
      <c r="A5">
        <v>80000</v>
      </c>
      <c r="B5" s="11">
        <v>3199818372</v>
      </c>
      <c r="C5" s="11">
        <v>1600967093</v>
      </c>
      <c r="D5">
        <v>3199960000</v>
      </c>
      <c r="E5" s="11">
        <v>1229355</v>
      </c>
      <c r="F5" s="11">
        <v>1538091</v>
      </c>
      <c r="G5" s="11">
        <v>1690938</v>
      </c>
      <c r="H5">
        <v>79999</v>
      </c>
      <c r="I5">
        <v>79999</v>
      </c>
    </row>
    <row r="6" spans="1:9" x14ac:dyDescent="0.3">
      <c r="A6">
        <v>100000</v>
      </c>
      <c r="B6" s="11">
        <v>4999529555</v>
      </c>
      <c r="C6" s="11">
        <v>2500575302</v>
      </c>
      <c r="D6">
        <v>4999950000</v>
      </c>
      <c r="E6" s="11">
        <v>1566476</v>
      </c>
      <c r="F6" s="11">
        <v>1999011</v>
      </c>
      <c r="G6" s="11">
        <v>2163164</v>
      </c>
      <c r="H6">
        <v>99999</v>
      </c>
      <c r="I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abSelected="1" workbookViewId="0">
      <selection activeCell="G15" sqref="G1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4.1093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1">
        <v>1.0000000000000001E-5</v>
      </c>
      <c r="C2" s="1">
        <v>1.0000000000000001E-5</v>
      </c>
      <c r="D2" s="5">
        <f>(0.143508+0.153735+0.133623)/3</f>
        <v>0.143622</v>
      </c>
      <c r="E2" s="1">
        <f>(0.010572+0.01206+0.014332)/3</f>
        <v>1.2321333333333332E-2</v>
      </c>
      <c r="F2" s="6">
        <f>(0.356971+0.339464+0.449254)/3</f>
        <v>0.38189633333333334</v>
      </c>
      <c r="G2" s="8">
        <f>(0.002024+0.003782+0)/3</f>
        <v>1.9353333333333334E-3</v>
      </c>
      <c r="H2" s="5">
        <f>(0.0020229+0.002017+0.002437)/3</f>
        <v>2.1589666666666668E-3</v>
      </c>
      <c r="I2" s="9">
        <f>(0+0.002021+0)/3</f>
        <v>6.736666666666666E-4</v>
      </c>
    </row>
    <row r="3" spans="1:9" x14ac:dyDescent="0.3">
      <c r="A3" s="1">
        <v>20000</v>
      </c>
      <c r="B3" s="1">
        <v>1.0000000000000001E-5</v>
      </c>
      <c r="C3" s="1">
        <v>1.0000000000000001E-5</v>
      </c>
      <c r="D3" s="5">
        <f>(0.693299+0.734118+0.601528)/3</f>
        <v>0.67631500000000011</v>
      </c>
      <c r="E3" s="1">
        <f>(0.024509+0.020357+0.02596)/3</f>
        <v>2.3608666666666667E-2</v>
      </c>
      <c r="F3" s="6">
        <f>(1.28966+1.30651+1.59685)/3</f>
        <v>1.3976733333333333</v>
      </c>
      <c r="G3" s="8">
        <f>(0.004158+0.0045+0.004014)/3</f>
        <v>4.2239999999999995E-3</v>
      </c>
      <c r="H3" s="5">
        <f>(0.004247+0.006066+0.00785)/3</f>
        <v>6.0543333333333326E-3</v>
      </c>
      <c r="I3" s="9">
        <f>(0.002023+0.002023+0)/3</f>
        <v>1.3486666666666666E-3</v>
      </c>
    </row>
    <row r="4" spans="1:9" x14ac:dyDescent="0.3">
      <c r="A4" s="1">
        <v>40000</v>
      </c>
      <c r="B4" s="1">
        <v>1.0000000000000001E-5</v>
      </c>
      <c r="C4" s="1">
        <v>1.0000000000000001E-5</v>
      </c>
      <c r="D4" s="5">
        <f>(2.57674+2.52472+2.59011)/3</f>
        <v>2.5638566666666667</v>
      </c>
      <c r="E4" s="1">
        <f>(0.030752+0.033029+0.032521)/3</f>
        <v>3.2100666666666666E-2</v>
      </c>
      <c r="F4" s="6">
        <f>(5.58256+5.45561+5.8152)/3</f>
        <v>5.6177900000000003</v>
      </c>
      <c r="G4" s="8">
        <f>(0.010928+0.017637+0.012444)/3</f>
        <v>1.3669666666666669E-2</v>
      </c>
      <c r="H4" s="5">
        <f>(0.010026+0.012086+0.006651)/3</f>
        <v>9.5876666666666662E-3</v>
      </c>
      <c r="I4" s="9">
        <f>(0.003405+0.0022+0.002004)/3</f>
        <v>2.5363333333333336E-3</v>
      </c>
    </row>
    <row r="5" spans="1:9" x14ac:dyDescent="0.3">
      <c r="A5" s="1">
        <v>80000</v>
      </c>
      <c r="B5" s="1">
        <v>1.0000000000000001E-5</v>
      </c>
      <c r="C5" s="1">
        <v>1.0000000000000001E-5</v>
      </c>
      <c r="D5" s="5">
        <f>(9.90355+10.1659+9.944)/3</f>
        <v>10.004483333333333</v>
      </c>
      <c r="E5" s="1">
        <f>(0.055975+0.053481+0.07882)/3</f>
        <v>6.2758666666666671E-2</v>
      </c>
      <c r="F5" s="6">
        <f>(23.2866+23.075+21.4463)/3</f>
        <v>22.60263333333333</v>
      </c>
      <c r="G5" s="8">
        <f>(0.025006+0.017622+0.022231)/3</f>
        <v>2.1619666666666666E-2</v>
      </c>
      <c r="H5" s="5">
        <f>(0.016509+0.019933+0.015856)/3</f>
        <v>1.7432666666666666E-2</v>
      </c>
      <c r="I5" s="9">
        <f>(0.004044+0.003421+0.007975)/3</f>
        <v>5.1466666666666666E-3</v>
      </c>
    </row>
    <row r="6" spans="1:9" x14ac:dyDescent="0.3">
      <c r="A6" s="1">
        <v>100000</v>
      </c>
      <c r="B6" s="1">
        <v>1.0000000000000001E-5</v>
      </c>
      <c r="C6" s="1">
        <v>1.0000000000000001E-5</v>
      </c>
      <c r="D6" s="5">
        <f>(15.3161+15.5573+15.3306)/3</f>
        <v>15.401333333333334</v>
      </c>
      <c r="E6" s="1">
        <f>(0.071378+0.07094+0.073387)/3</f>
        <v>7.1901666666666655E-2</v>
      </c>
      <c r="F6" s="6">
        <f>(34.6416+35.688+35.4104)/3</f>
        <v>35.24666666666667</v>
      </c>
      <c r="G6" s="8">
        <f>(0.032071+0.02981+0.030431)/3</f>
        <v>3.0770666666666668E-2</v>
      </c>
      <c r="H6" s="5">
        <f>(0.028122+0.031568+0.026013)/3</f>
        <v>2.8567666666666668E-2</v>
      </c>
      <c r="I6" s="9">
        <f>(0.009264+0.005152+0.004019)/3</f>
        <v>6.1450000000000003E-3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I2" sqref="I2:I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2">
        <f>(0.373068+0.367002+0.410749)/3</f>
        <v>0.38360633333333333</v>
      </c>
      <c r="C2" s="2">
        <f>(0.283086+0.299998+0.307548)/3</f>
        <v>0.29687733333333327</v>
      </c>
      <c r="D2" s="2">
        <f>(0.147535+0.151521+0.156831)/3</f>
        <v>0.15196233333333334</v>
      </c>
      <c r="E2" s="5">
        <f>(0.007602+0.005998+0.006411)/3</f>
        <v>6.6703333333333337E-3</v>
      </c>
      <c r="F2" s="5">
        <f>(0.224719+0.224412+0.21224)/3</f>
        <v>0.22045700000000001</v>
      </c>
      <c r="G2" s="7">
        <f>(0.002018+0.00201+0)/3</f>
        <v>1.3426666666666667E-3</v>
      </c>
      <c r="H2" s="4">
        <f>(0.002025+0+0)/3</f>
        <v>6.7499999999999993E-4</v>
      </c>
      <c r="I2" s="5">
        <f>(0.001015+0.002016+0.002021)/3</f>
        <v>1.6839999999999997E-3</v>
      </c>
    </row>
    <row r="3" spans="1:9" x14ac:dyDescent="0.3">
      <c r="A3" s="1">
        <v>20000</v>
      </c>
      <c r="B3" s="2">
        <f>(1.4979+1.77204+1.77286)/3</f>
        <v>1.6809333333333332</v>
      </c>
      <c r="C3" s="2">
        <f>(1.39945+1.50779+1.18954)/3</f>
        <v>1.3655933333333332</v>
      </c>
      <c r="D3" s="2">
        <f>(0.641503+0.641503+1.24737)/3</f>
        <v>0.8434586666666668</v>
      </c>
      <c r="E3" s="5">
        <f>(0.013055+0.012397+0.013396)/3</f>
        <v>1.2949333333333334E-2</v>
      </c>
      <c r="F3" s="5">
        <f>(1.18705+1.19774+1.17795)/3</f>
        <v>1.1875799999999999</v>
      </c>
      <c r="G3" s="7">
        <f>(0.007584+0.005024+0.004781)/3</f>
        <v>5.796333333333333E-3</v>
      </c>
      <c r="H3" s="4">
        <f>(0.006508+0.006072+0.004036)/3</f>
        <v>5.5386666666666666E-3</v>
      </c>
      <c r="I3" s="5">
        <f>(0.002016+0.002626+0.002015)/3</f>
        <v>2.2190000000000001E-3</v>
      </c>
    </row>
    <row r="4" spans="1:9" x14ac:dyDescent="0.3">
      <c r="A4" s="1">
        <v>40000</v>
      </c>
      <c r="B4" s="2">
        <f>(6.37258+6.40264+6.14401)/3</f>
        <v>6.3064099999999996</v>
      </c>
      <c r="C4" s="2">
        <f>(5.00248+5.16485+4.9879)/3</f>
        <v>5.0517433333333335</v>
      </c>
      <c r="D4" s="2">
        <f>(2.74294+2.68053+2.84626)/3</f>
        <v>2.7565766666666662</v>
      </c>
      <c r="E4" s="5">
        <f>(0.018662+0.032966+0.02557)/3</f>
        <v>2.5732666666666668E-2</v>
      </c>
      <c r="F4" s="5">
        <f>(3.86531+4.23218+4.22399)/3</f>
        <v>4.1071600000000004</v>
      </c>
      <c r="G4" s="7">
        <f>(0.012549+0.012174+0.016724)/3</f>
        <v>1.3815666666666665E-2</v>
      </c>
      <c r="H4" s="4">
        <f>(0.012051+0.016326+0.015023)/3</f>
        <v>1.4466666666666668E-2</v>
      </c>
      <c r="I4" s="5">
        <f>(0.005505+0.006759+0.002014)/3</f>
        <v>4.7593333333333333E-3</v>
      </c>
    </row>
    <row r="5" spans="1:9" x14ac:dyDescent="0.3">
      <c r="A5" s="1">
        <v>80000</v>
      </c>
      <c r="B5" s="2">
        <f>(25.4475+26.1256+24.5724)/3</f>
        <v>25.381833333333333</v>
      </c>
      <c r="C5" s="2">
        <f>(20.3619+19.9446+19.5856)/3</f>
        <v>19.964033333333333</v>
      </c>
      <c r="D5" s="2">
        <f>(10.4724+10.6529+9.9941)/3</f>
        <v>10.373133333333334</v>
      </c>
      <c r="E5" s="5">
        <f>(0.053955+0.0497+0.049881)/3</f>
        <v>5.1178666666666671E-2</v>
      </c>
      <c r="F5" s="5">
        <f>(16.3649+16.4757+16.2469)/3</f>
        <v>16.362499999999997</v>
      </c>
      <c r="G5" s="7">
        <f>(0.02079+0.021552+0.020921)/3</f>
        <v>2.1087666666666668E-2</v>
      </c>
      <c r="H5" s="4">
        <f>(0.019913+0.018133+0.027697)/3</f>
        <v>2.1914333333333331E-2</v>
      </c>
      <c r="I5" s="5">
        <f>(0.004018+0.004034+0.008954)/3</f>
        <v>5.6686666666666665E-3</v>
      </c>
    </row>
    <row r="6" spans="1:9" x14ac:dyDescent="0.3">
      <c r="A6" s="1">
        <v>100000</v>
      </c>
      <c r="B6" s="2">
        <f>(38.7489+38.0342+38.1355)/3</f>
        <v>38.306199999999997</v>
      </c>
      <c r="C6" s="2">
        <f>(32.5796+33.864+32.1085)/3</f>
        <v>32.850699999999996</v>
      </c>
      <c r="D6" s="2">
        <f>(16.074+15.9184+16.5434)/3</f>
        <v>16.178599999999999</v>
      </c>
      <c r="E6" s="5">
        <f>(0.077619+0.063816+0.060861)/3</f>
        <v>6.7431999999999992E-2</v>
      </c>
      <c r="F6" s="5">
        <f>(27.5794+26.4656+24.4478)/3</f>
        <v>26.164266666666666</v>
      </c>
      <c r="G6" s="7">
        <f>(0.02447+0.028012+0.027494)/3</f>
        <v>2.6658666666666667E-2</v>
      </c>
      <c r="H6" s="4">
        <f>(0.028156+0.030035+0.032833)/3</f>
        <v>3.0341333333333331E-2</v>
      </c>
      <c r="I6" s="5">
        <f>(0.006022+0.004038+0.013651)/3</f>
        <v>7.9036666666666665E-3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opLeftCell="D1" workbookViewId="0">
      <selection activeCell="I2" sqref="I2:I6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2">
        <f>(0.367784+0.317723+0.331052)/3</f>
        <v>0.33885300000000002</v>
      </c>
      <c r="C2" s="4">
        <f>(0.146315+0.165353+0.150843)/3</f>
        <v>0.15417033333333333</v>
      </c>
      <c r="D2" s="4">
        <f>(0.136645+0.141604+0.120234)/3</f>
        <v>0.13282766666666665</v>
      </c>
      <c r="E2" s="5">
        <f>(0.013004+0.005218+0.009001)/3</f>
        <v>9.0743333333333353E-3</v>
      </c>
      <c r="F2" s="7">
        <f>(0.002018+0.00104+0.00118)/3</f>
        <v>1.4126666666666669E-3</v>
      </c>
      <c r="G2" s="1">
        <f>(0.002021+0.004044+0.00207)/3</f>
        <v>2.7116666666666665E-3</v>
      </c>
      <c r="H2" s="5">
        <f>(0.005187+0.00495+0.002561)/3</f>
        <v>4.2326666666666667E-3</v>
      </c>
      <c r="I2" s="5">
        <f>(0.002435+0.002011+0.001816)/3</f>
        <v>2.0873333333333334E-3</v>
      </c>
    </row>
    <row r="3" spans="1:9" x14ac:dyDescent="0.3">
      <c r="A3" s="1">
        <v>20000</v>
      </c>
      <c r="B3" s="2">
        <f>(1.3813+1.71049+1.65301)/3</f>
        <v>1.5815999999999999</v>
      </c>
      <c r="C3" s="4">
        <f>(0.751013+0.718205+0.989791)/3</f>
        <v>0.81966966666666663</v>
      </c>
      <c r="D3" s="4">
        <f>(0.523142+0.539128+0.540469)/3</f>
        <v>0.53424633333333338</v>
      </c>
      <c r="E3" s="5">
        <f>(0.015845+0.015712+0.013865)/3</f>
        <v>1.5140666666666669E-2</v>
      </c>
      <c r="F3" s="7">
        <f>(0.004039+0.004432+0.004354)/3</f>
        <v>4.2750000000000002E-3</v>
      </c>
      <c r="G3" s="1">
        <f>(0.006217+0.008083+0.007418)/3</f>
        <v>7.2393333333333337E-3</v>
      </c>
      <c r="H3" s="5">
        <f>(0.005457+0.00773+0.004016)/3</f>
        <v>5.7343333333333335E-3</v>
      </c>
      <c r="I3" s="5">
        <f>(0.002409+0.002807+0.001517)/3</f>
        <v>2.2443333333333334E-3</v>
      </c>
    </row>
    <row r="4" spans="1:9" x14ac:dyDescent="0.3">
      <c r="A4" s="1">
        <v>40000</v>
      </c>
      <c r="B4" s="2">
        <f>(6.06465+5.94132+6.02719)/3</f>
        <v>6.0110533333333338</v>
      </c>
      <c r="C4" s="4">
        <f>(3.0155+2.64147+2.69526)/3</f>
        <v>2.7840766666666661</v>
      </c>
      <c r="D4" s="4">
        <f>(2.97004+2.56919+2.53791)/3</f>
        <v>2.69238</v>
      </c>
      <c r="E4" s="5">
        <f>(0.029469+0.020023+0.0205499)/3</f>
        <v>2.3347299999999998E-2</v>
      </c>
      <c r="F4" s="7">
        <f>(0.008695+0.005554+0.006722)/3</f>
        <v>6.9903333333333336E-3</v>
      </c>
      <c r="G4" s="1">
        <f>(0.01583+0.013135+0.008345)/3</f>
        <v>1.2436666666666667E-2</v>
      </c>
      <c r="H4" s="5">
        <f>(0.008815+0.009832+0.008666)/3</f>
        <v>9.1043333333333341E-3</v>
      </c>
      <c r="I4" s="5">
        <f>(0.00202+0.002007+0.002021)/3</f>
        <v>2.016E-3</v>
      </c>
    </row>
    <row r="5" spans="1:9" x14ac:dyDescent="0.3">
      <c r="A5" s="1">
        <v>80000</v>
      </c>
      <c r="B5" s="2">
        <f>(24.9336+25.1887+24.7084)/3</f>
        <v>24.943566666666666</v>
      </c>
      <c r="C5" s="3">
        <f>(10.2434+10.8781+10.0555)/3</f>
        <v>10.392333333333333</v>
      </c>
      <c r="D5" s="4">
        <f>(10.0047+9.63215+10.267)/3</f>
        <v>9.9679500000000001</v>
      </c>
      <c r="E5" s="5">
        <f>(0.056134+0.056619+0.057547)/3</f>
        <v>5.6766666666666667E-2</v>
      </c>
      <c r="F5" s="7">
        <f>(0.012992+0.013812+0.013217)/3</f>
        <v>1.3340333333333334E-2</v>
      </c>
      <c r="G5" s="1">
        <f>(0.025214+0.016041+0.027138)/3</f>
        <v>2.2797666666666664E-2</v>
      </c>
      <c r="H5" s="5">
        <f>(0.017695+0.02431+0.029495)/3</f>
        <v>2.3833333333333335E-2</v>
      </c>
      <c r="I5" s="5">
        <f>(0.004052+0.00649+0.004832)/3</f>
        <v>5.1246666666666663E-3</v>
      </c>
    </row>
    <row r="6" spans="1:9" x14ac:dyDescent="0.3">
      <c r="A6" s="1">
        <v>100000</v>
      </c>
      <c r="B6" s="2">
        <f>(38.494+38.1501+38.7553)/3</f>
        <v>38.466466666666669</v>
      </c>
      <c r="C6" s="1">
        <f>(15.4495+15.9104+15.7671)/3</f>
        <v>15.708999999999998</v>
      </c>
      <c r="D6" s="4">
        <f>(15.2221+15.8064+15.726)/3</f>
        <v>15.584833333333334</v>
      </c>
      <c r="E6" s="5">
        <f>(0.074127+0.068825+0.072792)/3</f>
        <v>7.1914666666666668E-2</v>
      </c>
      <c r="F6" s="7">
        <f>(0.016786+0.016786+0.017193)/3</f>
        <v>1.6921666666666665E-2</v>
      </c>
      <c r="G6" s="1">
        <f>(0.055697+0.035763+0.041513)/3</f>
        <v>4.4324333333333334E-2</v>
      </c>
      <c r="H6" s="5">
        <f>(0.027616+0.038747+0.029909)/3</f>
        <v>3.209066666666667E-2</v>
      </c>
      <c r="I6" s="5">
        <f>(0.004964+0.006096+0.008732)/3</f>
        <v>6.5973333333333335E-3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I18" sqref="I18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  <c r="D2">
        <v>4</v>
      </c>
      <c r="E2">
        <f>(ComparaçãoEspacial[[#This Row],[Tamanho]]*LOG(ComparaçãoEspacial[[#This Row],[Tamanho]],2))+(5*LOG(ComparaçãoEspacial[[#This Row],[Tamanho]],2))+4</f>
        <v>132947.56235739225</v>
      </c>
      <c r="F2">
        <f>(4*LOG(ComparaçãoEspacial[[#This Row],[Tamanho]],2))+4</f>
        <v>57.150849518197802</v>
      </c>
      <c r="G2">
        <f>2+(6*ComparaçãoEspacial[[#This Row],[Tamanho]])</f>
        <v>60002</v>
      </c>
      <c r="H2">
        <f>(2*ComparaçãoEspacial[[#This Row],[Tamanho]])+2</f>
        <v>20002</v>
      </c>
      <c r="I2">
        <f>(5*(ComparaçãoEspacial[[#This Row],[Tamanho]]+11))+4</f>
        <v>50059</v>
      </c>
    </row>
    <row r="3" spans="1:9" x14ac:dyDescent="0.3">
      <c r="A3">
        <v>20000</v>
      </c>
      <c r="B3">
        <v>4</v>
      </c>
      <c r="C3">
        <v>3</v>
      </c>
      <c r="D3">
        <v>4</v>
      </c>
      <c r="E3">
        <f>(ComparaçãoEspacial[[#This Row],[Tamanho]]*LOG(ComparaçãoEspacial[[#This Row],[Tamanho]],2))+(5*LOG(ComparaçãoEspacial[[#This Row],[Tamanho]],2))+4</f>
        <v>285829.68615288672</v>
      </c>
      <c r="F3">
        <f>(4*LOG(ComparaçãoEspacial[[#This Row],[Tamanho]],2))+4</f>
        <v>61.150849518197795</v>
      </c>
      <c r="G3">
        <f>2+(6*ComparaçãoEspacial[[#This Row],[Tamanho]])</f>
        <v>120002</v>
      </c>
      <c r="H3">
        <f>(2*ComparaçãoEspacial[[#This Row],[Tamanho]])+2</f>
        <v>40002</v>
      </c>
      <c r="I3">
        <f>(5*(ComparaçãoEspacial[[#This Row],[Tamanho]]+11))+4</f>
        <v>100059</v>
      </c>
    </row>
    <row r="4" spans="1:9" x14ac:dyDescent="0.3">
      <c r="A4">
        <v>40000</v>
      </c>
      <c r="B4">
        <v>4</v>
      </c>
      <c r="C4">
        <v>3</v>
      </c>
      <c r="D4">
        <v>4</v>
      </c>
      <c r="E4">
        <f>(ComparaçãoEspacial[[#This Row],[Tamanho]]*LOG(ComparaçãoEspacial[[#This Row],[Tamanho]],2))+(5*LOG(ComparaçãoEspacial[[#This Row],[Tamanho]],2))+4</f>
        <v>611588.93374387571</v>
      </c>
      <c r="F4">
        <f>(4*LOG(ComparaçãoEspacial[[#This Row],[Tamanho]],2))+4</f>
        <v>65.150849518197788</v>
      </c>
      <c r="G4">
        <f>2+(6*ComparaçãoEspacial[[#This Row],[Tamanho]])</f>
        <v>240002</v>
      </c>
      <c r="H4">
        <f>(2*ComparaçãoEspacial[[#This Row],[Tamanho]])+2</f>
        <v>80002</v>
      </c>
      <c r="I4">
        <f>(5*(ComparaçãoEspacial[[#This Row],[Tamanho]]+11))+4</f>
        <v>200059</v>
      </c>
    </row>
    <row r="5" spans="1:9" x14ac:dyDescent="0.3">
      <c r="A5">
        <v>80000</v>
      </c>
      <c r="B5">
        <v>4</v>
      </c>
      <c r="C5">
        <v>3</v>
      </c>
      <c r="D5">
        <v>4</v>
      </c>
      <c r="E5">
        <f>(ComparaçãoEspacial[[#This Row],[Tamanho]]*LOG(ComparaçãoEspacial[[#This Row],[Tamanho]],2))+(5*LOG(ComparaçãoEspacial[[#This Row],[Tamanho]],2))+4</f>
        <v>1303102.4289258537</v>
      </c>
      <c r="F5">
        <f>(4*LOG(ComparaçãoEspacial[[#This Row],[Tamanho]],2))+4</f>
        <v>69.150849518197802</v>
      </c>
      <c r="G5">
        <f>2+(6*ComparaçãoEspacial[[#This Row],[Tamanho]])</f>
        <v>480002</v>
      </c>
      <c r="H5">
        <f>(2*ComparaçãoEspacial[[#This Row],[Tamanho]])+2</f>
        <v>160002</v>
      </c>
      <c r="I5">
        <f>(5*(ComparaçãoEspacial[[#This Row],[Tamanho]]+11))+4</f>
        <v>400059</v>
      </c>
    </row>
    <row r="6" spans="1:9" x14ac:dyDescent="0.3">
      <c r="A6">
        <v>100000</v>
      </c>
      <c r="B6">
        <v>4</v>
      </c>
      <c r="C6">
        <v>3</v>
      </c>
      <c r="D6">
        <v>4</v>
      </c>
      <c r="E6">
        <f>(ComparaçãoEspacial[[#This Row],[Tamanho]]*LOG(ComparaçãoEspacial[[#This Row],[Tamanho]],2))+(5*LOG(ComparaçãoEspacial[[#This Row],[Tamanho]],2))+4</f>
        <v>1661051.0956460533</v>
      </c>
      <c r="F6">
        <f>(4*LOG(ComparaçãoEspacial[[#This Row],[Tamanho]],2))+4</f>
        <v>70.438561897747249</v>
      </c>
      <c r="G6">
        <f>2+(6*ComparaçãoEspacial[[#This Row],[Tamanho]])</f>
        <v>600002</v>
      </c>
      <c r="H6">
        <f>(2*ComparaçãoEspacial[[#This Row],[Tamanho]])+2</f>
        <v>200002</v>
      </c>
      <c r="I6">
        <f>(5*(ComparaçãoEspacial[[#This Row],[Tamanho]]+11))+4</f>
        <v>500059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topLeftCell="B1" workbookViewId="0">
      <selection activeCell="I18" sqref="I18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0</v>
      </c>
      <c r="D2">
        <v>9999</v>
      </c>
      <c r="E2">
        <v>140000</v>
      </c>
      <c r="F2">
        <v>50004999</v>
      </c>
      <c r="G2">
        <v>131956</v>
      </c>
      <c r="H2">
        <v>100000</v>
      </c>
      <c r="I2">
        <v>10000</v>
      </c>
    </row>
    <row r="3" spans="1:9" x14ac:dyDescent="0.3">
      <c r="A3">
        <v>20000</v>
      </c>
      <c r="B3">
        <v>0</v>
      </c>
      <c r="C3">
        <v>0</v>
      </c>
      <c r="D3">
        <v>19999</v>
      </c>
      <c r="E3">
        <v>300000</v>
      </c>
      <c r="F3">
        <v>200009999</v>
      </c>
      <c r="G3">
        <v>282878</v>
      </c>
      <c r="H3">
        <v>200000</v>
      </c>
      <c r="I3">
        <v>20000</v>
      </c>
    </row>
    <row r="4" spans="1:9" x14ac:dyDescent="0.3">
      <c r="A4">
        <v>40000</v>
      </c>
      <c r="B4">
        <v>0</v>
      </c>
      <c r="C4">
        <v>0</v>
      </c>
      <c r="D4">
        <v>39999</v>
      </c>
      <c r="E4">
        <v>640000</v>
      </c>
      <c r="F4">
        <v>800019999</v>
      </c>
      <c r="G4">
        <v>605202</v>
      </c>
      <c r="H4">
        <v>400000</v>
      </c>
      <c r="I4">
        <v>40000</v>
      </c>
    </row>
    <row r="5" spans="1:9" x14ac:dyDescent="0.3">
      <c r="A5">
        <v>80000</v>
      </c>
      <c r="B5">
        <v>0</v>
      </c>
      <c r="C5">
        <v>0</v>
      </c>
      <c r="D5">
        <v>79999</v>
      </c>
      <c r="E5">
        <v>1360000</v>
      </c>
      <c r="F5">
        <v>3200039999</v>
      </c>
      <c r="G5">
        <v>1293150</v>
      </c>
      <c r="H5">
        <v>800000</v>
      </c>
      <c r="I5">
        <v>80000</v>
      </c>
    </row>
    <row r="6" spans="1:9" x14ac:dyDescent="0.3">
      <c r="A6">
        <v>100000</v>
      </c>
      <c r="B6">
        <v>0</v>
      </c>
      <c r="C6">
        <v>0</v>
      </c>
      <c r="D6">
        <v>99999</v>
      </c>
      <c r="E6">
        <v>1700000</v>
      </c>
      <c r="F6">
        <v>5000049999</v>
      </c>
      <c r="G6">
        <v>1650854</v>
      </c>
      <c r="H6">
        <v>1200000</v>
      </c>
      <c r="I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16" sqref="I1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  <c r="D2">
        <v>9999</v>
      </c>
      <c r="E2">
        <v>140000</v>
      </c>
      <c r="F2">
        <v>49995000</v>
      </c>
      <c r="G2">
        <v>116696</v>
      </c>
      <c r="H2">
        <v>120000</v>
      </c>
      <c r="I2">
        <v>10000</v>
      </c>
    </row>
    <row r="3" spans="1:9" x14ac:dyDescent="0.3">
      <c r="A3">
        <v>20000</v>
      </c>
      <c r="B3">
        <v>199990000</v>
      </c>
      <c r="C3">
        <v>200009999</v>
      </c>
      <c r="D3">
        <v>19999</v>
      </c>
      <c r="E3">
        <v>300000</v>
      </c>
      <c r="F3">
        <v>100009999</v>
      </c>
      <c r="G3">
        <v>254334</v>
      </c>
      <c r="H3">
        <v>240000</v>
      </c>
      <c r="I3">
        <v>20000</v>
      </c>
    </row>
    <row r="4" spans="1:9" x14ac:dyDescent="0.3">
      <c r="A4">
        <v>40000</v>
      </c>
      <c r="B4">
        <v>799980000</v>
      </c>
      <c r="C4">
        <v>800019999</v>
      </c>
      <c r="D4">
        <v>39999</v>
      </c>
      <c r="E4">
        <v>640000</v>
      </c>
      <c r="F4">
        <v>400019999</v>
      </c>
      <c r="G4">
        <v>547628</v>
      </c>
      <c r="H4">
        <v>480000</v>
      </c>
      <c r="I4">
        <v>40000</v>
      </c>
    </row>
    <row r="5" spans="1:9" x14ac:dyDescent="0.3">
      <c r="A5">
        <v>80000</v>
      </c>
      <c r="B5">
        <v>3199960000</v>
      </c>
      <c r="C5">
        <v>3200039999</v>
      </c>
      <c r="D5">
        <v>79999</v>
      </c>
      <c r="E5">
        <v>1360000</v>
      </c>
      <c r="F5">
        <v>1600039999</v>
      </c>
      <c r="G5">
        <v>1174074</v>
      </c>
      <c r="H5">
        <v>960000</v>
      </c>
      <c r="I5">
        <v>80000</v>
      </c>
    </row>
    <row r="6" spans="1:9" x14ac:dyDescent="0.3">
      <c r="A6">
        <v>100000</v>
      </c>
      <c r="B6">
        <v>4999950000</v>
      </c>
      <c r="C6">
        <v>5000049999</v>
      </c>
      <c r="D6">
        <v>99999</v>
      </c>
      <c r="E6">
        <v>1700000</v>
      </c>
      <c r="F6">
        <v>2500049999</v>
      </c>
      <c r="G6">
        <v>1497434</v>
      </c>
      <c r="H6">
        <v>1200000</v>
      </c>
      <c r="I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  <c r="D2">
        <v>9999</v>
      </c>
      <c r="E2">
        <v>140000</v>
      </c>
      <c r="F2">
        <v>85177</v>
      </c>
      <c r="G2">
        <v>124210</v>
      </c>
      <c r="H2">
        <v>106666</v>
      </c>
      <c r="I2">
        <v>10000</v>
      </c>
    </row>
    <row r="3" spans="1:9" x14ac:dyDescent="0.3">
      <c r="A3">
        <v>20000</v>
      </c>
      <c r="B3">
        <v>100178748</v>
      </c>
      <c r="C3">
        <v>100198747</v>
      </c>
      <c r="D3">
        <v>19999</v>
      </c>
      <c r="E3">
        <v>300000</v>
      </c>
      <c r="F3">
        <v>184196</v>
      </c>
      <c r="G3">
        <v>268398</v>
      </c>
      <c r="H3">
        <v>213333</v>
      </c>
      <c r="I3">
        <v>20000</v>
      </c>
    </row>
    <row r="4" spans="1:9" x14ac:dyDescent="0.3">
      <c r="A4">
        <v>40000</v>
      </c>
      <c r="B4">
        <v>399625716</v>
      </c>
      <c r="C4">
        <v>399665715</v>
      </c>
      <c r="D4">
        <v>39999</v>
      </c>
      <c r="E4">
        <v>640000</v>
      </c>
      <c r="F4">
        <v>381834</v>
      </c>
      <c r="G4">
        <v>576723</v>
      </c>
      <c r="H4">
        <v>426666</v>
      </c>
      <c r="I4">
        <v>40000</v>
      </c>
    </row>
    <row r="5" spans="1:9" x14ac:dyDescent="0.3">
      <c r="A5">
        <v>80000</v>
      </c>
      <c r="B5">
        <v>1600887094</v>
      </c>
      <c r="C5">
        <v>1600967093</v>
      </c>
      <c r="D5">
        <v>79999</v>
      </c>
      <c r="E5">
        <v>1360000</v>
      </c>
      <c r="F5">
        <v>806010</v>
      </c>
      <c r="G5">
        <v>1233693</v>
      </c>
      <c r="H5">
        <v>960000</v>
      </c>
      <c r="I5">
        <v>80000</v>
      </c>
    </row>
    <row r="6" spans="1:9" x14ac:dyDescent="0.3">
      <c r="A6">
        <v>100000</v>
      </c>
      <c r="B6">
        <v>2500475303</v>
      </c>
      <c r="C6">
        <v>2500575302</v>
      </c>
      <c r="D6">
        <v>99999</v>
      </c>
      <c r="E6">
        <v>1700000</v>
      </c>
      <c r="F6">
        <v>1055772</v>
      </c>
      <c r="G6">
        <v>1574973</v>
      </c>
      <c r="H6">
        <v>1200000</v>
      </c>
      <c r="I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2" sqref="C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D2">
        <v>49995000</v>
      </c>
      <c r="E2">
        <v>71712</v>
      </c>
      <c r="F2">
        <v>49995000</v>
      </c>
      <c r="G2">
        <v>180584</v>
      </c>
      <c r="H2">
        <v>9999</v>
      </c>
      <c r="I2">
        <v>9999</v>
      </c>
    </row>
    <row r="3" spans="1:9" x14ac:dyDescent="0.3">
      <c r="A3">
        <v>20000</v>
      </c>
      <c r="B3">
        <v>19999</v>
      </c>
      <c r="C3">
        <v>19999</v>
      </c>
      <c r="D3">
        <v>199990000</v>
      </c>
      <c r="E3">
        <v>153424</v>
      </c>
      <c r="F3">
        <v>199990000</v>
      </c>
      <c r="G3">
        <v>389734</v>
      </c>
      <c r="H3">
        <v>19999</v>
      </c>
      <c r="I3">
        <v>19999</v>
      </c>
    </row>
    <row r="4" spans="1:9" x14ac:dyDescent="0.3">
      <c r="A4">
        <v>40000</v>
      </c>
      <c r="B4">
        <v>39999</v>
      </c>
      <c r="C4">
        <v>39999</v>
      </c>
      <c r="D4">
        <v>799980000</v>
      </c>
      <c r="E4">
        <v>326848</v>
      </c>
      <c r="F4">
        <v>799980000</v>
      </c>
      <c r="G4">
        <v>838348</v>
      </c>
      <c r="H4">
        <v>39999</v>
      </c>
      <c r="I4">
        <v>39999</v>
      </c>
    </row>
    <row r="5" spans="1:9" x14ac:dyDescent="0.3">
      <c r="A5">
        <v>80000</v>
      </c>
      <c r="B5">
        <v>79999</v>
      </c>
      <c r="C5">
        <v>79999</v>
      </c>
      <c r="D5">
        <v>3199960000</v>
      </c>
      <c r="E5">
        <v>693696</v>
      </c>
      <c r="F5">
        <v>3199960000</v>
      </c>
      <c r="G5">
        <v>1800487</v>
      </c>
      <c r="H5">
        <v>79999</v>
      </c>
      <c r="I5">
        <v>79999</v>
      </c>
    </row>
    <row r="6" spans="1:9" x14ac:dyDescent="0.3">
      <c r="A6">
        <v>100000</v>
      </c>
      <c r="B6">
        <v>99999</v>
      </c>
      <c r="C6">
        <v>99999</v>
      </c>
      <c r="D6">
        <v>4999950000</v>
      </c>
      <c r="E6">
        <v>877968</v>
      </c>
      <c r="F6">
        <v>4999950000</v>
      </c>
      <c r="G6">
        <v>2303177</v>
      </c>
      <c r="H6">
        <v>99999</v>
      </c>
      <c r="I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2025-05-26T20:23:14Z</dcterms:modified>
</cp:coreProperties>
</file>