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wiss\Downloads\"/>
    </mc:Choice>
  </mc:AlternateContent>
  <xr:revisionPtr revIDLastSave="0" documentId="13_ncr:1_{695C40A8-13F4-4B52-87B4-62DCAC8CA8FE}" xr6:coauthVersionLast="47" xr6:coauthVersionMax="47" xr10:uidLastSave="{00000000-0000-0000-0000-000000000000}"/>
  <bookViews>
    <workbookView xWindow="-108" yWindow="-108" windowWidth="23256" windowHeight="12576" firstSheet="4" activeTab="11" xr2:uid="{00000000-000D-0000-FFFF-FFFF00000000}"/>
  </bookViews>
  <sheets>
    <sheet name="Contents" sheetId="1" r:id="rId1"/>
    <sheet name="Dataset" sheetId="2" r:id="rId2"/>
    <sheet name="Select" sheetId="3" r:id="rId3"/>
    <sheet name="Where" sheetId="4" r:id="rId4"/>
    <sheet name="Null" sheetId="5" r:id="rId5"/>
    <sheet name="Agg" sheetId="6" r:id="rId6"/>
    <sheet name="Agg - Group" sheetId="7" r:id="rId7"/>
    <sheet name="Label" sheetId="8" r:id="rId8"/>
    <sheet name="Pivot" sheetId="9" r:id="rId9"/>
    <sheet name="Order By" sheetId="10" r:id="rId10"/>
    <sheet name="Dynamic Query" sheetId="11" r:id="rId11"/>
    <sheet name="Sheet3" sheetId="13" r:id="rId12"/>
  </sheets>
  <definedNames>
    <definedName name="IMDB">Dataset!$A$1:$G$101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" i="13" l="1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" i="13"/>
  <c r="A4" i="13"/>
  <c r="A3" i="13"/>
  <c r="G42" i="11"/>
  <c r="F42" i="11"/>
  <c r="E42" i="11"/>
  <c r="D42" i="11"/>
  <c r="C42" i="11"/>
  <c r="B42" i="11"/>
  <c r="A42" i="11"/>
  <c r="G41" i="11"/>
  <c r="F41" i="11"/>
  <c r="E41" i="11"/>
  <c r="D41" i="11"/>
  <c r="C41" i="11"/>
  <c r="B41" i="11"/>
  <c r="A41" i="11"/>
  <c r="G40" i="11"/>
  <c r="F40" i="11"/>
  <c r="E40" i="11"/>
  <c r="D40" i="11"/>
  <c r="C40" i="11"/>
  <c r="B40" i="11"/>
  <c r="A40" i="11"/>
  <c r="G39" i="11"/>
  <c r="F39" i="11"/>
  <c r="E39" i="11"/>
  <c r="D39" i="11"/>
  <c r="C39" i="11"/>
  <c r="B39" i="11"/>
  <c r="A39" i="11"/>
  <c r="G38" i="11"/>
  <c r="F38" i="11"/>
  <c r="E38" i="11"/>
  <c r="D38" i="11"/>
  <c r="C38" i="11"/>
  <c r="B38" i="11"/>
  <c r="A38" i="11"/>
  <c r="G37" i="11"/>
  <c r="F37" i="11"/>
  <c r="E37" i="11"/>
  <c r="D37" i="11"/>
  <c r="C37" i="11"/>
  <c r="B37" i="11"/>
  <c r="A37" i="11"/>
  <c r="G36" i="11"/>
  <c r="F36" i="11"/>
  <c r="E36" i="11"/>
  <c r="D36" i="11"/>
  <c r="C36" i="11"/>
  <c r="B36" i="11"/>
  <c r="A36" i="11"/>
  <c r="G35" i="11"/>
  <c r="F35" i="11"/>
  <c r="E35" i="11"/>
  <c r="D35" i="11"/>
  <c r="C35" i="11"/>
  <c r="B35" i="11"/>
  <c r="A35" i="11"/>
  <c r="G34" i="11"/>
  <c r="F34" i="11"/>
  <c r="E34" i="11"/>
  <c r="D34" i="11"/>
  <c r="C34" i="11"/>
  <c r="B34" i="11"/>
  <c r="A34" i="11"/>
  <c r="G33" i="11"/>
  <c r="F33" i="11"/>
  <c r="E33" i="11"/>
  <c r="D33" i="11"/>
  <c r="C33" i="11"/>
  <c r="B33" i="11"/>
  <c r="A33" i="11"/>
  <c r="G32" i="11"/>
  <c r="F32" i="11"/>
  <c r="E32" i="11"/>
  <c r="D32" i="11"/>
  <c r="C32" i="11"/>
  <c r="B32" i="11"/>
  <c r="A32" i="11"/>
  <c r="G31" i="11"/>
  <c r="F31" i="11"/>
  <c r="E31" i="11"/>
  <c r="D31" i="11"/>
  <c r="C31" i="11"/>
  <c r="B31" i="11"/>
  <c r="A31" i="11"/>
  <c r="G30" i="11"/>
  <c r="F30" i="11"/>
  <c r="E30" i="11"/>
  <c r="D30" i="11"/>
  <c r="C30" i="11"/>
  <c r="B30" i="11"/>
  <c r="A30" i="11"/>
  <c r="G29" i="11"/>
  <c r="F29" i="11"/>
  <c r="E29" i="11"/>
  <c r="D29" i="11"/>
  <c r="C29" i="11"/>
  <c r="B29" i="11"/>
  <c r="A29" i="11"/>
  <c r="G28" i="11"/>
  <c r="F28" i="11"/>
  <c r="E28" i="11"/>
  <c r="D28" i="11"/>
  <c r="C28" i="11"/>
  <c r="B28" i="11"/>
  <c r="A28" i="11"/>
  <c r="G27" i="11"/>
  <c r="F27" i="11"/>
  <c r="E27" i="11"/>
  <c r="D27" i="11"/>
  <c r="C27" i="11"/>
  <c r="B27" i="11"/>
  <c r="A27" i="11"/>
  <c r="G26" i="11"/>
  <c r="F26" i="11"/>
  <c r="E26" i="11"/>
  <c r="D26" i="11"/>
  <c r="C26" i="11"/>
  <c r="B26" i="11"/>
  <c r="A26" i="11"/>
  <c r="G25" i="11"/>
  <c r="F25" i="11"/>
  <c r="E25" i="11"/>
  <c r="D25" i="11"/>
  <c r="C25" i="11"/>
  <c r="B25" i="11"/>
  <c r="A25" i="11"/>
  <c r="G24" i="11"/>
  <c r="F24" i="11"/>
  <c r="E24" i="11"/>
  <c r="D24" i="11"/>
  <c r="C24" i="11"/>
  <c r="B24" i="11"/>
  <c r="A24" i="11"/>
  <c r="G23" i="11"/>
  <c r="F23" i="11"/>
  <c r="E23" i="11"/>
  <c r="D23" i="11"/>
  <c r="C23" i="11"/>
  <c r="B23" i="11"/>
  <c r="A23" i="11"/>
  <c r="G22" i="11"/>
  <c r="F22" i="11"/>
  <c r="E22" i="11"/>
  <c r="D22" i="11"/>
  <c r="C22" i="11"/>
  <c r="B22" i="11"/>
  <c r="A22" i="11"/>
  <c r="G21" i="11"/>
  <c r="F21" i="11"/>
  <c r="E21" i="11"/>
  <c r="D21" i="11"/>
  <c r="C21" i="11"/>
  <c r="B21" i="11"/>
  <c r="A21" i="11"/>
  <c r="G20" i="11"/>
  <c r="F20" i="11"/>
  <c r="E20" i="11"/>
  <c r="D20" i="11"/>
  <c r="C20" i="11"/>
  <c r="B20" i="11"/>
  <c r="A20" i="11"/>
  <c r="G19" i="11"/>
  <c r="F19" i="11"/>
  <c r="E19" i="11"/>
  <c r="D19" i="11"/>
  <c r="C19" i="11"/>
  <c r="B19" i="11"/>
  <c r="A19" i="11"/>
  <c r="G18" i="11"/>
  <c r="F18" i="11"/>
  <c r="E18" i="11"/>
  <c r="D18" i="11"/>
  <c r="C18" i="11"/>
  <c r="B18" i="11"/>
  <c r="A18" i="11"/>
  <c r="G17" i="11"/>
  <c r="F17" i="11"/>
  <c r="E17" i="11"/>
  <c r="D17" i="11"/>
  <c r="C17" i="11"/>
  <c r="B17" i="11"/>
  <c r="A17" i="11"/>
  <c r="G16" i="11"/>
  <c r="F16" i="11"/>
  <c r="E16" i="11"/>
  <c r="D16" i="11"/>
  <c r="C16" i="11"/>
  <c r="B16" i="11"/>
  <c r="A16" i="11"/>
  <c r="G15" i="11"/>
  <c r="F15" i="11"/>
  <c r="E15" i="11"/>
  <c r="D15" i="11"/>
  <c r="C15" i="11"/>
  <c r="B15" i="11"/>
  <c r="A15" i="11"/>
  <c r="G14" i="11"/>
  <c r="F14" i="11"/>
  <c r="E14" i="11"/>
  <c r="D14" i="11"/>
  <c r="C14" i="11"/>
  <c r="B14" i="11"/>
  <c r="A14" i="11"/>
  <c r="G13" i="11"/>
  <c r="F13" i="11"/>
  <c r="E13" i="11"/>
  <c r="D13" i="11"/>
  <c r="C13" i="11"/>
  <c r="B13" i="11"/>
  <c r="A13" i="11"/>
  <c r="G12" i="11"/>
  <c r="F12" i="11"/>
  <c r="E12" i="11"/>
  <c r="D12" i="11"/>
  <c r="C12" i="11"/>
  <c r="B12" i="11"/>
  <c r="A12" i="11"/>
  <c r="G11" i="11"/>
  <c r="F11" i="11"/>
  <c r="E11" i="11"/>
  <c r="D11" i="11"/>
  <c r="C11" i="11"/>
  <c r="B11" i="11"/>
  <c r="A11" i="11"/>
  <c r="G10" i="11"/>
  <c r="F10" i="11"/>
  <c r="E10" i="11"/>
  <c r="D10" i="11"/>
  <c r="C10" i="11"/>
  <c r="B10" i="11"/>
  <c r="A10" i="11"/>
  <c r="I111" i="10"/>
  <c r="H111" i="10"/>
  <c r="G111" i="10"/>
  <c r="F111" i="10"/>
  <c r="D111" i="10"/>
  <c r="C111" i="10"/>
  <c r="B111" i="10"/>
  <c r="A111" i="10"/>
  <c r="I110" i="10"/>
  <c r="H110" i="10"/>
  <c r="G110" i="10"/>
  <c r="F110" i="10"/>
  <c r="D110" i="10"/>
  <c r="C110" i="10"/>
  <c r="B110" i="10"/>
  <c r="A110" i="10"/>
  <c r="I109" i="10"/>
  <c r="H109" i="10"/>
  <c r="G109" i="10"/>
  <c r="F109" i="10"/>
  <c r="D109" i="10"/>
  <c r="C109" i="10"/>
  <c r="B109" i="10"/>
  <c r="A109" i="10"/>
  <c r="N108" i="10"/>
  <c r="M108" i="10"/>
  <c r="L108" i="10"/>
  <c r="K108" i="10"/>
  <c r="I108" i="10"/>
  <c r="H108" i="10"/>
  <c r="G108" i="10"/>
  <c r="F108" i="10"/>
  <c r="D108" i="10"/>
  <c r="C108" i="10"/>
  <c r="B108" i="10"/>
  <c r="A108" i="10"/>
  <c r="N107" i="10"/>
  <c r="M107" i="10"/>
  <c r="L107" i="10"/>
  <c r="K107" i="10"/>
  <c r="I107" i="10"/>
  <c r="H107" i="10"/>
  <c r="G107" i="10"/>
  <c r="F107" i="10"/>
  <c r="D107" i="10"/>
  <c r="C107" i="10"/>
  <c r="B107" i="10"/>
  <c r="A107" i="10"/>
  <c r="N106" i="10"/>
  <c r="M106" i="10"/>
  <c r="L106" i="10"/>
  <c r="K106" i="10"/>
  <c r="I106" i="10"/>
  <c r="H106" i="10"/>
  <c r="G106" i="10"/>
  <c r="F106" i="10"/>
  <c r="D106" i="10"/>
  <c r="C106" i="10"/>
  <c r="B106" i="10"/>
  <c r="A106" i="10"/>
  <c r="N105" i="10"/>
  <c r="M105" i="10"/>
  <c r="L105" i="10"/>
  <c r="K105" i="10"/>
  <c r="I105" i="10"/>
  <c r="H105" i="10"/>
  <c r="G105" i="10"/>
  <c r="F105" i="10"/>
  <c r="D105" i="10"/>
  <c r="C105" i="10"/>
  <c r="B105" i="10"/>
  <c r="A105" i="10"/>
  <c r="N104" i="10"/>
  <c r="M104" i="10"/>
  <c r="L104" i="10"/>
  <c r="K104" i="10"/>
  <c r="I104" i="10"/>
  <c r="H104" i="10"/>
  <c r="G104" i="10"/>
  <c r="F104" i="10"/>
  <c r="D104" i="10"/>
  <c r="C104" i="10"/>
  <c r="B104" i="10"/>
  <c r="A104" i="10"/>
  <c r="N103" i="10"/>
  <c r="M103" i="10"/>
  <c r="L103" i="10"/>
  <c r="K103" i="10"/>
  <c r="I103" i="10"/>
  <c r="H103" i="10"/>
  <c r="F103" i="10"/>
  <c r="D103" i="10"/>
  <c r="C103" i="10"/>
  <c r="B103" i="10"/>
  <c r="A103" i="10"/>
  <c r="N102" i="10"/>
  <c r="M102" i="10"/>
  <c r="L102" i="10"/>
  <c r="K102" i="10"/>
  <c r="I102" i="10"/>
  <c r="H102" i="10"/>
  <c r="F102" i="10"/>
  <c r="D102" i="10"/>
  <c r="C102" i="10"/>
  <c r="B102" i="10"/>
  <c r="A102" i="10"/>
  <c r="N101" i="10"/>
  <c r="M101" i="10"/>
  <c r="L101" i="10"/>
  <c r="K101" i="10"/>
  <c r="I101" i="10"/>
  <c r="H101" i="10"/>
  <c r="G101" i="10"/>
  <c r="F101" i="10"/>
  <c r="D101" i="10"/>
  <c r="C101" i="10"/>
  <c r="B101" i="10"/>
  <c r="A101" i="10"/>
  <c r="N100" i="10"/>
  <c r="M100" i="10"/>
  <c r="L100" i="10"/>
  <c r="K100" i="10"/>
  <c r="I100" i="10"/>
  <c r="H100" i="10"/>
  <c r="G100" i="10"/>
  <c r="F100" i="10"/>
  <c r="D100" i="10"/>
  <c r="C100" i="10"/>
  <c r="B100" i="10"/>
  <c r="A100" i="10"/>
  <c r="N99" i="10"/>
  <c r="M99" i="10"/>
  <c r="L99" i="10"/>
  <c r="K99" i="10"/>
  <c r="I99" i="10"/>
  <c r="H99" i="10"/>
  <c r="G99" i="10"/>
  <c r="F99" i="10"/>
  <c r="D99" i="10"/>
  <c r="C99" i="10"/>
  <c r="B99" i="10"/>
  <c r="A99" i="10"/>
  <c r="N98" i="10"/>
  <c r="M98" i="10"/>
  <c r="L98" i="10"/>
  <c r="K98" i="10"/>
  <c r="I98" i="10"/>
  <c r="H98" i="10"/>
  <c r="G98" i="10"/>
  <c r="F98" i="10"/>
  <c r="D98" i="10"/>
  <c r="C98" i="10"/>
  <c r="B98" i="10"/>
  <c r="A98" i="10"/>
  <c r="N97" i="10"/>
  <c r="M97" i="10"/>
  <c r="L97" i="10"/>
  <c r="K97" i="10"/>
  <c r="I97" i="10"/>
  <c r="H97" i="10"/>
  <c r="G97" i="10"/>
  <c r="F97" i="10"/>
  <c r="D97" i="10"/>
  <c r="C97" i="10"/>
  <c r="B97" i="10"/>
  <c r="A97" i="10"/>
  <c r="N96" i="10"/>
  <c r="M96" i="10"/>
  <c r="L96" i="10"/>
  <c r="K96" i="10"/>
  <c r="I96" i="10"/>
  <c r="H96" i="10"/>
  <c r="G96" i="10"/>
  <c r="F96" i="10"/>
  <c r="D96" i="10"/>
  <c r="C96" i="10"/>
  <c r="B96" i="10"/>
  <c r="A96" i="10"/>
  <c r="N95" i="10"/>
  <c r="M95" i="10"/>
  <c r="L95" i="10"/>
  <c r="K95" i="10"/>
  <c r="I95" i="10"/>
  <c r="H95" i="10"/>
  <c r="G95" i="10"/>
  <c r="F95" i="10"/>
  <c r="D95" i="10"/>
  <c r="C95" i="10"/>
  <c r="B95" i="10"/>
  <c r="A95" i="10"/>
  <c r="N94" i="10"/>
  <c r="M94" i="10"/>
  <c r="L94" i="10"/>
  <c r="K94" i="10"/>
  <c r="I94" i="10"/>
  <c r="H94" i="10"/>
  <c r="G94" i="10"/>
  <c r="F94" i="10"/>
  <c r="D94" i="10"/>
  <c r="C94" i="10"/>
  <c r="B94" i="10"/>
  <c r="A94" i="10"/>
  <c r="N93" i="10"/>
  <c r="M93" i="10"/>
  <c r="L93" i="10"/>
  <c r="K93" i="10"/>
  <c r="I93" i="10"/>
  <c r="H93" i="10"/>
  <c r="G93" i="10"/>
  <c r="F93" i="10"/>
  <c r="D93" i="10"/>
  <c r="C93" i="10"/>
  <c r="B93" i="10"/>
  <c r="A93" i="10"/>
  <c r="N92" i="10"/>
  <c r="M92" i="10"/>
  <c r="L92" i="10"/>
  <c r="K92" i="10"/>
  <c r="I92" i="10"/>
  <c r="H92" i="10"/>
  <c r="G92" i="10"/>
  <c r="F92" i="10"/>
  <c r="D92" i="10"/>
  <c r="C92" i="10"/>
  <c r="B92" i="10"/>
  <c r="A92" i="10"/>
  <c r="N91" i="10"/>
  <c r="M91" i="10"/>
  <c r="L91" i="10"/>
  <c r="K91" i="10"/>
  <c r="I91" i="10"/>
  <c r="H91" i="10"/>
  <c r="G91" i="10"/>
  <c r="F91" i="10"/>
  <c r="D91" i="10"/>
  <c r="C91" i="10"/>
  <c r="B91" i="10"/>
  <c r="A91" i="10"/>
  <c r="N90" i="10"/>
  <c r="M90" i="10"/>
  <c r="L90" i="10"/>
  <c r="K90" i="10"/>
  <c r="I90" i="10"/>
  <c r="H90" i="10"/>
  <c r="G90" i="10"/>
  <c r="F90" i="10"/>
  <c r="D90" i="10"/>
  <c r="C90" i="10"/>
  <c r="B90" i="10"/>
  <c r="A90" i="10"/>
  <c r="N89" i="10"/>
  <c r="M89" i="10"/>
  <c r="L89" i="10"/>
  <c r="K89" i="10"/>
  <c r="I89" i="10"/>
  <c r="H89" i="10"/>
  <c r="G89" i="10"/>
  <c r="F89" i="10"/>
  <c r="D89" i="10"/>
  <c r="C89" i="10"/>
  <c r="B89" i="10"/>
  <c r="A89" i="10"/>
  <c r="N88" i="10"/>
  <c r="M88" i="10"/>
  <c r="L88" i="10"/>
  <c r="K88" i="10"/>
  <c r="I88" i="10"/>
  <c r="H88" i="10"/>
  <c r="G88" i="10"/>
  <c r="F88" i="10"/>
  <c r="D88" i="10"/>
  <c r="C88" i="10"/>
  <c r="B88" i="10"/>
  <c r="A88" i="10"/>
  <c r="N87" i="10"/>
  <c r="M87" i="10"/>
  <c r="L87" i="10"/>
  <c r="K87" i="10"/>
  <c r="I87" i="10"/>
  <c r="H87" i="10"/>
  <c r="G87" i="10"/>
  <c r="F87" i="10"/>
  <c r="D87" i="10"/>
  <c r="C87" i="10"/>
  <c r="B87" i="10"/>
  <c r="A87" i="10"/>
  <c r="N86" i="10"/>
  <c r="M86" i="10"/>
  <c r="L86" i="10"/>
  <c r="K86" i="10"/>
  <c r="I86" i="10"/>
  <c r="H86" i="10"/>
  <c r="G86" i="10"/>
  <c r="F86" i="10"/>
  <c r="D86" i="10"/>
  <c r="C86" i="10"/>
  <c r="B86" i="10"/>
  <c r="A86" i="10"/>
  <c r="N85" i="10"/>
  <c r="M85" i="10"/>
  <c r="L85" i="10"/>
  <c r="K85" i="10"/>
  <c r="I85" i="10"/>
  <c r="H85" i="10"/>
  <c r="G85" i="10"/>
  <c r="F85" i="10"/>
  <c r="D85" i="10"/>
  <c r="C85" i="10"/>
  <c r="B85" i="10"/>
  <c r="A85" i="10"/>
  <c r="N84" i="10"/>
  <c r="M84" i="10"/>
  <c r="L84" i="10"/>
  <c r="K84" i="10"/>
  <c r="I84" i="10"/>
  <c r="H84" i="10"/>
  <c r="G84" i="10"/>
  <c r="F84" i="10"/>
  <c r="D84" i="10"/>
  <c r="C84" i="10"/>
  <c r="B84" i="10"/>
  <c r="A84" i="10"/>
  <c r="N83" i="10"/>
  <c r="M83" i="10"/>
  <c r="L83" i="10"/>
  <c r="K83" i="10"/>
  <c r="I83" i="10"/>
  <c r="H83" i="10"/>
  <c r="G83" i="10"/>
  <c r="F83" i="10"/>
  <c r="D83" i="10"/>
  <c r="C83" i="10"/>
  <c r="B83" i="10"/>
  <c r="A83" i="10"/>
  <c r="N82" i="10"/>
  <c r="M82" i="10"/>
  <c r="L82" i="10"/>
  <c r="K82" i="10"/>
  <c r="I82" i="10"/>
  <c r="H82" i="10"/>
  <c r="G82" i="10"/>
  <c r="F82" i="10"/>
  <c r="D82" i="10"/>
  <c r="C82" i="10"/>
  <c r="B82" i="10"/>
  <c r="A82" i="10"/>
  <c r="N81" i="10"/>
  <c r="M81" i="10"/>
  <c r="L81" i="10"/>
  <c r="K81" i="10"/>
  <c r="I81" i="10"/>
  <c r="H81" i="10"/>
  <c r="G81" i="10"/>
  <c r="F81" i="10"/>
  <c r="D81" i="10"/>
  <c r="C81" i="10"/>
  <c r="B81" i="10"/>
  <c r="A81" i="10"/>
  <c r="N80" i="10"/>
  <c r="M80" i="10"/>
  <c r="L80" i="10"/>
  <c r="K80" i="10"/>
  <c r="I80" i="10"/>
  <c r="H80" i="10"/>
  <c r="G80" i="10"/>
  <c r="F80" i="10"/>
  <c r="D80" i="10"/>
  <c r="C80" i="10"/>
  <c r="B80" i="10"/>
  <c r="A80" i="10"/>
  <c r="N79" i="10"/>
  <c r="M79" i="10"/>
  <c r="L79" i="10"/>
  <c r="K79" i="10"/>
  <c r="I79" i="10"/>
  <c r="H79" i="10"/>
  <c r="G79" i="10"/>
  <c r="F79" i="10"/>
  <c r="D79" i="10"/>
  <c r="C79" i="10"/>
  <c r="B79" i="10"/>
  <c r="A79" i="10"/>
  <c r="N78" i="10"/>
  <c r="M78" i="10"/>
  <c r="L78" i="10"/>
  <c r="K78" i="10"/>
  <c r="I78" i="10"/>
  <c r="H78" i="10"/>
  <c r="G78" i="10"/>
  <c r="F78" i="10"/>
  <c r="D78" i="10"/>
  <c r="C78" i="10"/>
  <c r="B78" i="10"/>
  <c r="A78" i="10"/>
  <c r="N77" i="10"/>
  <c r="M77" i="10"/>
  <c r="L77" i="10"/>
  <c r="K77" i="10"/>
  <c r="I77" i="10"/>
  <c r="H77" i="10"/>
  <c r="G77" i="10"/>
  <c r="F77" i="10"/>
  <c r="D77" i="10"/>
  <c r="C77" i="10"/>
  <c r="B77" i="10"/>
  <c r="A77" i="10"/>
  <c r="N76" i="10"/>
  <c r="M76" i="10"/>
  <c r="L76" i="10"/>
  <c r="K76" i="10"/>
  <c r="I76" i="10"/>
  <c r="H76" i="10"/>
  <c r="G76" i="10"/>
  <c r="F76" i="10"/>
  <c r="D76" i="10"/>
  <c r="C76" i="10"/>
  <c r="B76" i="10"/>
  <c r="A76" i="10"/>
  <c r="N75" i="10"/>
  <c r="M75" i="10"/>
  <c r="L75" i="10"/>
  <c r="K75" i="10"/>
  <c r="I75" i="10"/>
  <c r="H75" i="10"/>
  <c r="G75" i="10"/>
  <c r="F75" i="10"/>
  <c r="D75" i="10"/>
  <c r="C75" i="10"/>
  <c r="B75" i="10"/>
  <c r="A75" i="10"/>
  <c r="N74" i="10"/>
  <c r="M74" i="10"/>
  <c r="L74" i="10"/>
  <c r="K74" i="10"/>
  <c r="I74" i="10"/>
  <c r="H74" i="10"/>
  <c r="G74" i="10"/>
  <c r="F74" i="10"/>
  <c r="D74" i="10"/>
  <c r="C74" i="10"/>
  <c r="B74" i="10"/>
  <c r="A74" i="10"/>
  <c r="N73" i="10"/>
  <c r="M73" i="10"/>
  <c r="L73" i="10"/>
  <c r="K73" i="10"/>
  <c r="I73" i="10"/>
  <c r="H73" i="10"/>
  <c r="G73" i="10"/>
  <c r="F73" i="10"/>
  <c r="D73" i="10"/>
  <c r="C73" i="10"/>
  <c r="B73" i="10"/>
  <c r="A73" i="10"/>
  <c r="N72" i="10"/>
  <c r="M72" i="10"/>
  <c r="L72" i="10"/>
  <c r="K72" i="10"/>
  <c r="I72" i="10"/>
  <c r="H72" i="10"/>
  <c r="G72" i="10"/>
  <c r="F72" i="10"/>
  <c r="D72" i="10"/>
  <c r="C72" i="10"/>
  <c r="B72" i="10"/>
  <c r="A72" i="10"/>
  <c r="N71" i="10"/>
  <c r="M71" i="10"/>
  <c r="L71" i="10"/>
  <c r="K71" i="10"/>
  <c r="I71" i="10"/>
  <c r="H71" i="10"/>
  <c r="G71" i="10"/>
  <c r="F71" i="10"/>
  <c r="D71" i="10"/>
  <c r="C71" i="10"/>
  <c r="B71" i="10"/>
  <c r="A71" i="10"/>
  <c r="N70" i="10"/>
  <c r="M70" i="10"/>
  <c r="L70" i="10"/>
  <c r="K70" i="10"/>
  <c r="I70" i="10"/>
  <c r="H70" i="10"/>
  <c r="G70" i="10"/>
  <c r="F70" i="10"/>
  <c r="D70" i="10"/>
  <c r="C70" i="10"/>
  <c r="B70" i="10"/>
  <c r="A70" i="10"/>
  <c r="N69" i="10"/>
  <c r="M69" i="10"/>
  <c r="L69" i="10"/>
  <c r="K69" i="10"/>
  <c r="I69" i="10"/>
  <c r="H69" i="10"/>
  <c r="G69" i="10"/>
  <c r="F69" i="10"/>
  <c r="D69" i="10"/>
  <c r="C69" i="10"/>
  <c r="B69" i="10"/>
  <c r="A69" i="10"/>
  <c r="N68" i="10"/>
  <c r="M68" i="10"/>
  <c r="L68" i="10"/>
  <c r="K68" i="10"/>
  <c r="I68" i="10"/>
  <c r="H68" i="10"/>
  <c r="G68" i="10"/>
  <c r="F68" i="10"/>
  <c r="D68" i="10"/>
  <c r="C68" i="10"/>
  <c r="B68" i="10"/>
  <c r="A68" i="10"/>
  <c r="N67" i="10"/>
  <c r="M67" i="10"/>
  <c r="L67" i="10"/>
  <c r="K67" i="10"/>
  <c r="I67" i="10"/>
  <c r="H67" i="10"/>
  <c r="G67" i="10"/>
  <c r="F67" i="10"/>
  <c r="D67" i="10"/>
  <c r="C67" i="10"/>
  <c r="B67" i="10"/>
  <c r="A67" i="10"/>
  <c r="N66" i="10"/>
  <c r="M66" i="10"/>
  <c r="L66" i="10"/>
  <c r="K66" i="10"/>
  <c r="I66" i="10"/>
  <c r="H66" i="10"/>
  <c r="F66" i="10"/>
  <c r="D66" i="10"/>
  <c r="C66" i="10"/>
  <c r="B66" i="10"/>
  <c r="A66" i="10"/>
  <c r="N65" i="10"/>
  <c r="M65" i="10"/>
  <c r="L65" i="10"/>
  <c r="K65" i="10"/>
  <c r="I65" i="10"/>
  <c r="H65" i="10"/>
  <c r="G65" i="10"/>
  <c r="F65" i="10"/>
  <c r="D65" i="10"/>
  <c r="C65" i="10"/>
  <c r="B65" i="10"/>
  <c r="A65" i="10"/>
  <c r="N64" i="10"/>
  <c r="M64" i="10"/>
  <c r="L64" i="10"/>
  <c r="K64" i="10"/>
  <c r="I64" i="10"/>
  <c r="H64" i="10"/>
  <c r="G64" i="10"/>
  <c r="F64" i="10"/>
  <c r="D64" i="10"/>
  <c r="C64" i="10"/>
  <c r="B64" i="10"/>
  <c r="A64" i="10"/>
  <c r="N63" i="10"/>
  <c r="M63" i="10"/>
  <c r="L63" i="10"/>
  <c r="K63" i="10"/>
  <c r="I63" i="10"/>
  <c r="H63" i="10"/>
  <c r="G63" i="10"/>
  <c r="F63" i="10"/>
  <c r="D63" i="10"/>
  <c r="C63" i="10"/>
  <c r="B63" i="10"/>
  <c r="A63" i="10"/>
  <c r="N62" i="10"/>
  <c r="M62" i="10"/>
  <c r="L62" i="10"/>
  <c r="K62" i="10"/>
  <c r="I62" i="10"/>
  <c r="H62" i="10"/>
  <c r="G62" i="10"/>
  <c r="F62" i="10"/>
  <c r="D62" i="10"/>
  <c r="C62" i="10"/>
  <c r="B62" i="10"/>
  <c r="A62" i="10"/>
  <c r="N61" i="10"/>
  <c r="M61" i="10"/>
  <c r="L61" i="10"/>
  <c r="K61" i="10"/>
  <c r="I61" i="10"/>
  <c r="H61" i="10"/>
  <c r="G61" i="10"/>
  <c r="F61" i="10"/>
  <c r="D61" i="10"/>
  <c r="C61" i="10"/>
  <c r="B61" i="10"/>
  <c r="A61" i="10"/>
  <c r="N60" i="10"/>
  <c r="M60" i="10"/>
  <c r="L60" i="10"/>
  <c r="K60" i="10"/>
  <c r="I60" i="10"/>
  <c r="H60" i="10"/>
  <c r="G60" i="10"/>
  <c r="F60" i="10"/>
  <c r="D60" i="10"/>
  <c r="C60" i="10"/>
  <c r="B60" i="10"/>
  <c r="A60" i="10"/>
  <c r="N59" i="10"/>
  <c r="M59" i="10"/>
  <c r="L59" i="10"/>
  <c r="K59" i="10"/>
  <c r="I59" i="10"/>
  <c r="H59" i="10"/>
  <c r="G59" i="10"/>
  <c r="F59" i="10"/>
  <c r="D59" i="10"/>
  <c r="C59" i="10"/>
  <c r="B59" i="10"/>
  <c r="A59" i="10"/>
  <c r="N58" i="10"/>
  <c r="M58" i="10"/>
  <c r="L58" i="10"/>
  <c r="K58" i="10"/>
  <c r="I58" i="10"/>
  <c r="H58" i="10"/>
  <c r="G58" i="10"/>
  <c r="F58" i="10"/>
  <c r="D58" i="10"/>
  <c r="C58" i="10"/>
  <c r="B58" i="10"/>
  <c r="A58" i="10"/>
  <c r="N57" i="10"/>
  <c r="M57" i="10"/>
  <c r="L57" i="10"/>
  <c r="K57" i="10"/>
  <c r="I57" i="10"/>
  <c r="H57" i="10"/>
  <c r="G57" i="10"/>
  <c r="F57" i="10"/>
  <c r="D57" i="10"/>
  <c r="C57" i="10"/>
  <c r="B57" i="10"/>
  <c r="A57" i="10"/>
  <c r="N56" i="10"/>
  <c r="M56" i="10"/>
  <c r="L56" i="10"/>
  <c r="K56" i="10"/>
  <c r="I56" i="10"/>
  <c r="H56" i="10"/>
  <c r="G56" i="10"/>
  <c r="F56" i="10"/>
  <c r="D56" i="10"/>
  <c r="C56" i="10"/>
  <c r="B56" i="10"/>
  <c r="A56" i="10"/>
  <c r="N55" i="10"/>
  <c r="M55" i="10"/>
  <c r="L55" i="10"/>
  <c r="K55" i="10"/>
  <c r="I55" i="10"/>
  <c r="H55" i="10"/>
  <c r="G55" i="10"/>
  <c r="F55" i="10"/>
  <c r="D55" i="10"/>
  <c r="C55" i="10"/>
  <c r="B55" i="10"/>
  <c r="A55" i="10"/>
  <c r="N54" i="10"/>
  <c r="M54" i="10"/>
  <c r="L54" i="10"/>
  <c r="K54" i="10"/>
  <c r="I54" i="10"/>
  <c r="H54" i="10"/>
  <c r="G54" i="10"/>
  <c r="F54" i="10"/>
  <c r="D54" i="10"/>
  <c r="C54" i="10"/>
  <c r="B54" i="10"/>
  <c r="A54" i="10"/>
  <c r="N53" i="10"/>
  <c r="M53" i="10"/>
  <c r="L53" i="10"/>
  <c r="K53" i="10"/>
  <c r="I53" i="10"/>
  <c r="H53" i="10"/>
  <c r="G53" i="10"/>
  <c r="F53" i="10"/>
  <c r="D53" i="10"/>
  <c r="C53" i="10"/>
  <c r="B53" i="10"/>
  <c r="A53" i="10"/>
  <c r="N52" i="10"/>
  <c r="M52" i="10"/>
  <c r="L52" i="10"/>
  <c r="K52" i="10"/>
  <c r="I52" i="10"/>
  <c r="H52" i="10"/>
  <c r="G52" i="10"/>
  <c r="F52" i="10"/>
  <c r="D52" i="10"/>
  <c r="C52" i="10"/>
  <c r="B52" i="10"/>
  <c r="A52" i="10"/>
  <c r="N51" i="10"/>
  <c r="M51" i="10"/>
  <c r="L51" i="10"/>
  <c r="K51" i="10"/>
  <c r="I51" i="10"/>
  <c r="H51" i="10"/>
  <c r="G51" i="10"/>
  <c r="F51" i="10"/>
  <c r="D51" i="10"/>
  <c r="C51" i="10"/>
  <c r="B51" i="10"/>
  <c r="A51" i="10"/>
  <c r="N50" i="10"/>
  <c r="M50" i="10"/>
  <c r="L50" i="10"/>
  <c r="K50" i="10"/>
  <c r="I50" i="10"/>
  <c r="H50" i="10"/>
  <c r="G50" i="10"/>
  <c r="F50" i="10"/>
  <c r="D50" i="10"/>
  <c r="C50" i="10"/>
  <c r="B50" i="10"/>
  <c r="A50" i="10"/>
  <c r="N49" i="10"/>
  <c r="M49" i="10"/>
  <c r="L49" i="10"/>
  <c r="K49" i="10"/>
  <c r="I49" i="10"/>
  <c r="H49" i="10"/>
  <c r="G49" i="10"/>
  <c r="F49" i="10"/>
  <c r="D49" i="10"/>
  <c r="C49" i="10"/>
  <c r="B49" i="10"/>
  <c r="A49" i="10"/>
  <c r="N48" i="10"/>
  <c r="M48" i="10"/>
  <c r="L48" i="10"/>
  <c r="K48" i="10"/>
  <c r="I48" i="10"/>
  <c r="H48" i="10"/>
  <c r="G48" i="10"/>
  <c r="F48" i="10"/>
  <c r="D48" i="10"/>
  <c r="C48" i="10"/>
  <c r="B48" i="10"/>
  <c r="A48" i="10"/>
  <c r="N47" i="10"/>
  <c r="M47" i="10"/>
  <c r="L47" i="10"/>
  <c r="K47" i="10"/>
  <c r="I47" i="10"/>
  <c r="H47" i="10"/>
  <c r="G47" i="10"/>
  <c r="F47" i="10"/>
  <c r="D47" i="10"/>
  <c r="C47" i="10"/>
  <c r="B47" i="10"/>
  <c r="A47" i="10"/>
  <c r="N46" i="10"/>
  <c r="M46" i="10"/>
  <c r="L46" i="10"/>
  <c r="K46" i="10"/>
  <c r="I46" i="10"/>
  <c r="H46" i="10"/>
  <c r="G46" i="10"/>
  <c r="F46" i="10"/>
  <c r="D46" i="10"/>
  <c r="C46" i="10"/>
  <c r="B46" i="10"/>
  <c r="A46" i="10"/>
  <c r="N45" i="10"/>
  <c r="M45" i="10"/>
  <c r="L45" i="10"/>
  <c r="K45" i="10"/>
  <c r="I45" i="10"/>
  <c r="H45" i="10"/>
  <c r="G45" i="10"/>
  <c r="F45" i="10"/>
  <c r="D45" i="10"/>
  <c r="C45" i="10"/>
  <c r="B45" i="10"/>
  <c r="A45" i="10"/>
  <c r="N44" i="10"/>
  <c r="M44" i="10"/>
  <c r="L44" i="10"/>
  <c r="K44" i="10"/>
  <c r="I44" i="10"/>
  <c r="H44" i="10"/>
  <c r="G44" i="10"/>
  <c r="F44" i="10"/>
  <c r="D44" i="10"/>
  <c r="C44" i="10"/>
  <c r="B44" i="10"/>
  <c r="A44" i="10"/>
  <c r="N43" i="10"/>
  <c r="M43" i="10"/>
  <c r="L43" i="10"/>
  <c r="K43" i="10"/>
  <c r="I43" i="10"/>
  <c r="H43" i="10"/>
  <c r="G43" i="10"/>
  <c r="F43" i="10"/>
  <c r="D43" i="10"/>
  <c r="C43" i="10"/>
  <c r="B43" i="10"/>
  <c r="A43" i="10"/>
  <c r="N42" i="10"/>
  <c r="M42" i="10"/>
  <c r="L42" i="10"/>
  <c r="K42" i="10"/>
  <c r="I42" i="10"/>
  <c r="H42" i="10"/>
  <c r="G42" i="10"/>
  <c r="F42" i="10"/>
  <c r="D42" i="10"/>
  <c r="C42" i="10"/>
  <c r="B42" i="10"/>
  <c r="A42" i="10"/>
  <c r="N41" i="10"/>
  <c r="M41" i="10"/>
  <c r="L41" i="10"/>
  <c r="K41" i="10"/>
  <c r="I41" i="10"/>
  <c r="H41" i="10"/>
  <c r="G41" i="10"/>
  <c r="F41" i="10"/>
  <c r="D41" i="10"/>
  <c r="C41" i="10"/>
  <c r="B41" i="10"/>
  <c r="A41" i="10"/>
  <c r="N40" i="10"/>
  <c r="M40" i="10"/>
  <c r="L40" i="10"/>
  <c r="K40" i="10"/>
  <c r="I40" i="10"/>
  <c r="H40" i="10"/>
  <c r="G40" i="10"/>
  <c r="F40" i="10"/>
  <c r="D40" i="10"/>
  <c r="C40" i="10"/>
  <c r="B40" i="10"/>
  <c r="A40" i="10"/>
  <c r="N39" i="10"/>
  <c r="M39" i="10"/>
  <c r="L39" i="10"/>
  <c r="K39" i="10"/>
  <c r="I39" i="10"/>
  <c r="H39" i="10"/>
  <c r="G39" i="10"/>
  <c r="F39" i="10"/>
  <c r="D39" i="10"/>
  <c r="C39" i="10"/>
  <c r="B39" i="10"/>
  <c r="A39" i="10"/>
  <c r="N38" i="10"/>
  <c r="M38" i="10"/>
  <c r="L38" i="10"/>
  <c r="K38" i="10"/>
  <c r="I38" i="10"/>
  <c r="H38" i="10"/>
  <c r="G38" i="10"/>
  <c r="F38" i="10"/>
  <c r="D38" i="10"/>
  <c r="C38" i="10"/>
  <c r="B38" i="10"/>
  <c r="A38" i="10"/>
  <c r="N37" i="10"/>
  <c r="M37" i="10"/>
  <c r="L37" i="10"/>
  <c r="K37" i="10"/>
  <c r="I37" i="10"/>
  <c r="H37" i="10"/>
  <c r="G37" i="10"/>
  <c r="F37" i="10"/>
  <c r="D37" i="10"/>
  <c r="C37" i="10"/>
  <c r="B37" i="10"/>
  <c r="A37" i="10"/>
  <c r="N36" i="10"/>
  <c r="M36" i="10"/>
  <c r="L36" i="10"/>
  <c r="K36" i="10"/>
  <c r="I36" i="10"/>
  <c r="H36" i="10"/>
  <c r="G36" i="10"/>
  <c r="F36" i="10"/>
  <c r="D36" i="10"/>
  <c r="C36" i="10"/>
  <c r="B36" i="10"/>
  <c r="A36" i="10"/>
  <c r="N35" i="10"/>
  <c r="M35" i="10"/>
  <c r="L35" i="10"/>
  <c r="K35" i="10"/>
  <c r="I35" i="10"/>
  <c r="H35" i="10"/>
  <c r="G35" i="10"/>
  <c r="F35" i="10"/>
  <c r="D35" i="10"/>
  <c r="C35" i="10"/>
  <c r="B35" i="10"/>
  <c r="A35" i="10"/>
  <c r="N34" i="10"/>
  <c r="M34" i="10"/>
  <c r="L34" i="10"/>
  <c r="K34" i="10"/>
  <c r="I34" i="10"/>
  <c r="H34" i="10"/>
  <c r="G34" i="10"/>
  <c r="F34" i="10"/>
  <c r="D34" i="10"/>
  <c r="C34" i="10"/>
  <c r="B34" i="10"/>
  <c r="A34" i="10"/>
  <c r="N33" i="10"/>
  <c r="M33" i="10"/>
  <c r="L33" i="10"/>
  <c r="K33" i="10"/>
  <c r="I33" i="10"/>
  <c r="H33" i="10"/>
  <c r="G33" i="10"/>
  <c r="F33" i="10"/>
  <c r="D33" i="10"/>
  <c r="C33" i="10"/>
  <c r="B33" i="10"/>
  <c r="A33" i="10"/>
  <c r="N32" i="10"/>
  <c r="M32" i="10"/>
  <c r="L32" i="10"/>
  <c r="K32" i="10"/>
  <c r="I32" i="10"/>
  <c r="H32" i="10"/>
  <c r="G32" i="10"/>
  <c r="F32" i="10"/>
  <c r="D32" i="10"/>
  <c r="C32" i="10"/>
  <c r="B32" i="10"/>
  <c r="A32" i="10"/>
  <c r="N31" i="10"/>
  <c r="M31" i="10"/>
  <c r="L31" i="10"/>
  <c r="K31" i="10"/>
  <c r="I31" i="10"/>
  <c r="H31" i="10"/>
  <c r="G31" i="10"/>
  <c r="F31" i="10"/>
  <c r="D31" i="10"/>
  <c r="C31" i="10"/>
  <c r="A31" i="10"/>
  <c r="N30" i="10"/>
  <c r="M30" i="10"/>
  <c r="L30" i="10"/>
  <c r="K30" i="10"/>
  <c r="I30" i="10"/>
  <c r="H30" i="10"/>
  <c r="G30" i="10"/>
  <c r="F30" i="10"/>
  <c r="D30" i="10"/>
  <c r="C30" i="10"/>
  <c r="B30" i="10"/>
  <c r="A30" i="10"/>
  <c r="N29" i="10"/>
  <c r="M29" i="10"/>
  <c r="L29" i="10"/>
  <c r="K29" i="10"/>
  <c r="I29" i="10"/>
  <c r="H29" i="10"/>
  <c r="G29" i="10"/>
  <c r="F29" i="10"/>
  <c r="D29" i="10"/>
  <c r="C29" i="10"/>
  <c r="B29" i="10"/>
  <c r="A29" i="10"/>
  <c r="N28" i="10"/>
  <c r="M28" i="10"/>
  <c r="L28" i="10"/>
  <c r="K28" i="10"/>
  <c r="I28" i="10"/>
  <c r="H28" i="10"/>
  <c r="G28" i="10"/>
  <c r="F28" i="10"/>
  <c r="D28" i="10"/>
  <c r="C28" i="10"/>
  <c r="B28" i="10"/>
  <c r="A28" i="10"/>
  <c r="N27" i="10"/>
  <c r="M27" i="10"/>
  <c r="L27" i="10"/>
  <c r="K27" i="10"/>
  <c r="I27" i="10"/>
  <c r="H27" i="10"/>
  <c r="G27" i="10"/>
  <c r="F27" i="10"/>
  <c r="D27" i="10"/>
  <c r="C27" i="10"/>
  <c r="B27" i="10"/>
  <c r="A27" i="10"/>
  <c r="N26" i="10"/>
  <c r="M26" i="10"/>
  <c r="L26" i="10"/>
  <c r="K26" i="10"/>
  <c r="I26" i="10"/>
  <c r="H26" i="10"/>
  <c r="G26" i="10"/>
  <c r="F26" i="10"/>
  <c r="D26" i="10"/>
  <c r="C26" i="10"/>
  <c r="B26" i="10"/>
  <c r="A26" i="10"/>
  <c r="N25" i="10"/>
  <c r="M25" i="10"/>
  <c r="L25" i="10"/>
  <c r="K25" i="10"/>
  <c r="I25" i="10"/>
  <c r="H25" i="10"/>
  <c r="G25" i="10"/>
  <c r="F25" i="10"/>
  <c r="D25" i="10"/>
  <c r="C25" i="10"/>
  <c r="B25" i="10"/>
  <c r="A25" i="10"/>
  <c r="N24" i="10"/>
  <c r="M24" i="10"/>
  <c r="L24" i="10"/>
  <c r="K24" i="10"/>
  <c r="I24" i="10"/>
  <c r="H24" i="10"/>
  <c r="G24" i="10"/>
  <c r="F24" i="10"/>
  <c r="D24" i="10"/>
  <c r="C24" i="10"/>
  <c r="B24" i="10"/>
  <c r="A24" i="10"/>
  <c r="N23" i="10"/>
  <c r="M23" i="10"/>
  <c r="L23" i="10"/>
  <c r="K23" i="10"/>
  <c r="I23" i="10"/>
  <c r="H23" i="10"/>
  <c r="G23" i="10"/>
  <c r="F23" i="10"/>
  <c r="D23" i="10"/>
  <c r="C23" i="10"/>
  <c r="B23" i="10"/>
  <c r="A23" i="10"/>
  <c r="N22" i="10"/>
  <c r="M22" i="10"/>
  <c r="L22" i="10"/>
  <c r="K22" i="10"/>
  <c r="I22" i="10"/>
  <c r="H22" i="10"/>
  <c r="G22" i="10"/>
  <c r="F22" i="10"/>
  <c r="D22" i="10"/>
  <c r="C22" i="10"/>
  <c r="B22" i="10"/>
  <c r="A22" i="10"/>
  <c r="N21" i="10"/>
  <c r="M21" i="10"/>
  <c r="L21" i="10"/>
  <c r="K21" i="10"/>
  <c r="I21" i="10"/>
  <c r="H21" i="10"/>
  <c r="G21" i="10"/>
  <c r="F21" i="10"/>
  <c r="D21" i="10"/>
  <c r="C21" i="10"/>
  <c r="A21" i="10"/>
  <c r="N20" i="10"/>
  <c r="M20" i="10"/>
  <c r="L20" i="10"/>
  <c r="K20" i="10"/>
  <c r="I20" i="10"/>
  <c r="H20" i="10"/>
  <c r="G20" i="10"/>
  <c r="F20" i="10"/>
  <c r="D20" i="10"/>
  <c r="C20" i="10"/>
  <c r="A20" i="10"/>
  <c r="N19" i="10"/>
  <c r="M19" i="10"/>
  <c r="L19" i="10"/>
  <c r="K19" i="10"/>
  <c r="I19" i="10"/>
  <c r="H19" i="10"/>
  <c r="G19" i="10"/>
  <c r="F19" i="10"/>
  <c r="D19" i="10"/>
  <c r="C19" i="10"/>
  <c r="B19" i="10"/>
  <c r="A19" i="10"/>
  <c r="N18" i="10"/>
  <c r="M18" i="10"/>
  <c r="L18" i="10"/>
  <c r="K18" i="10"/>
  <c r="I18" i="10"/>
  <c r="H18" i="10"/>
  <c r="G18" i="10"/>
  <c r="F18" i="10"/>
  <c r="D18" i="10"/>
  <c r="C18" i="10"/>
  <c r="B18" i="10"/>
  <c r="A18" i="10"/>
  <c r="N17" i="10"/>
  <c r="M17" i="10"/>
  <c r="L17" i="10"/>
  <c r="K17" i="10"/>
  <c r="I17" i="10"/>
  <c r="H17" i="10"/>
  <c r="G17" i="10"/>
  <c r="F17" i="10"/>
  <c r="D17" i="10"/>
  <c r="C17" i="10"/>
  <c r="B17" i="10"/>
  <c r="A17" i="10"/>
  <c r="N16" i="10"/>
  <c r="M16" i="10"/>
  <c r="L16" i="10"/>
  <c r="K16" i="10"/>
  <c r="I16" i="10"/>
  <c r="H16" i="10"/>
  <c r="G16" i="10"/>
  <c r="F16" i="10"/>
  <c r="D16" i="10"/>
  <c r="C16" i="10"/>
  <c r="B16" i="10"/>
  <c r="A16" i="10"/>
  <c r="N15" i="10"/>
  <c r="M15" i="10"/>
  <c r="L15" i="10"/>
  <c r="K15" i="10"/>
  <c r="I15" i="10"/>
  <c r="H15" i="10"/>
  <c r="G15" i="10"/>
  <c r="F15" i="10"/>
  <c r="D15" i="10"/>
  <c r="C15" i="10"/>
  <c r="B15" i="10"/>
  <c r="A15" i="10"/>
  <c r="N14" i="10"/>
  <c r="M14" i="10"/>
  <c r="L14" i="10"/>
  <c r="K14" i="10"/>
  <c r="I14" i="10"/>
  <c r="H14" i="10"/>
  <c r="G14" i="10"/>
  <c r="F14" i="10"/>
  <c r="D14" i="10"/>
  <c r="C14" i="10"/>
  <c r="B14" i="10"/>
  <c r="A14" i="10"/>
  <c r="N13" i="10"/>
  <c r="M13" i="10"/>
  <c r="L13" i="10"/>
  <c r="K13" i="10"/>
  <c r="I13" i="10"/>
  <c r="H13" i="10"/>
  <c r="G13" i="10"/>
  <c r="F13" i="10"/>
  <c r="D13" i="10"/>
  <c r="C13" i="10"/>
  <c r="B13" i="10"/>
  <c r="A13" i="10"/>
  <c r="N12" i="10"/>
  <c r="M12" i="10"/>
  <c r="L12" i="10"/>
  <c r="K12" i="10"/>
  <c r="I12" i="10"/>
  <c r="H12" i="10"/>
  <c r="G12" i="10"/>
  <c r="F12" i="10"/>
  <c r="D12" i="10"/>
  <c r="C12" i="10"/>
  <c r="B12" i="10"/>
  <c r="A12" i="10"/>
  <c r="N11" i="10"/>
  <c r="M11" i="10"/>
  <c r="L11" i="10"/>
  <c r="K11" i="10"/>
  <c r="I11" i="10"/>
  <c r="H11" i="10"/>
  <c r="G11" i="10"/>
  <c r="F11" i="10"/>
  <c r="D11" i="10"/>
  <c r="C11" i="10"/>
  <c r="B11" i="10"/>
  <c r="A11" i="10"/>
  <c r="E24" i="9"/>
  <c r="D24" i="9"/>
  <c r="E23" i="9"/>
  <c r="D23" i="9"/>
  <c r="E22" i="9"/>
  <c r="D22" i="9"/>
  <c r="E21" i="9"/>
  <c r="D21" i="9"/>
  <c r="E20" i="9"/>
  <c r="D20" i="9"/>
  <c r="E19" i="9"/>
  <c r="D19" i="9"/>
  <c r="E18" i="9"/>
  <c r="D18" i="9"/>
  <c r="B18" i="9"/>
  <c r="A18" i="9"/>
  <c r="B17" i="9"/>
  <c r="A17" i="9"/>
  <c r="B16" i="9"/>
  <c r="A16" i="9"/>
  <c r="J15" i="9"/>
  <c r="I15" i="9"/>
  <c r="H15" i="9"/>
  <c r="G15" i="9"/>
  <c r="F15" i="9"/>
  <c r="E15" i="9"/>
  <c r="D15" i="9"/>
  <c r="B15" i="9"/>
  <c r="A15" i="9"/>
  <c r="J14" i="9"/>
  <c r="I14" i="9"/>
  <c r="H14" i="9"/>
  <c r="G14" i="9"/>
  <c r="F14" i="9"/>
  <c r="E14" i="9"/>
  <c r="D14" i="9"/>
  <c r="B14" i="9"/>
  <c r="A14" i="9"/>
  <c r="B13" i="9"/>
  <c r="A13" i="9"/>
  <c r="K12" i="9"/>
  <c r="J12" i="9"/>
  <c r="I12" i="9"/>
  <c r="H12" i="9"/>
  <c r="G12" i="9"/>
  <c r="F12" i="9"/>
  <c r="E12" i="9"/>
  <c r="D12" i="9"/>
  <c r="B12" i="9"/>
  <c r="A12" i="9"/>
  <c r="K11" i="9"/>
  <c r="J11" i="9"/>
  <c r="I11" i="9"/>
  <c r="H11" i="9"/>
  <c r="G11" i="9"/>
  <c r="F11" i="9"/>
  <c r="E11" i="9"/>
  <c r="D11" i="9"/>
  <c r="B11" i="9"/>
  <c r="A11" i="9"/>
  <c r="I25" i="8"/>
  <c r="H25" i="8"/>
  <c r="F25" i="8"/>
  <c r="E25" i="8"/>
  <c r="I24" i="8"/>
  <c r="H24" i="8"/>
  <c r="F24" i="8"/>
  <c r="E24" i="8"/>
  <c r="I23" i="8"/>
  <c r="H23" i="8"/>
  <c r="F23" i="8"/>
  <c r="E23" i="8"/>
  <c r="C23" i="8"/>
  <c r="B23" i="8"/>
  <c r="A23" i="8"/>
  <c r="I22" i="8"/>
  <c r="H22" i="8"/>
  <c r="F22" i="8"/>
  <c r="E22" i="8"/>
  <c r="C22" i="8"/>
  <c r="B22" i="8"/>
  <c r="A22" i="8"/>
  <c r="I21" i="8"/>
  <c r="H21" i="8"/>
  <c r="F21" i="8"/>
  <c r="E21" i="8"/>
  <c r="C21" i="8"/>
  <c r="B21" i="8"/>
  <c r="A21" i="8"/>
  <c r="I20" i="8"/>
  <c r="H20" i="8"/>
  <c r="F20" i="8"/>
  <c r="E20" i="8"/>
  <c r="C20" i="8"/>
  <c r="B20" i="8"/>
  <c r="A20" i="8"/>
  <c r="I19" i="8"/>
  <c r="H19" i="8"/>
  <c r="F19" i="8"/>
  <c r="E19" i="8"/>
  <c r="C19" i="8"/>
  <c r="B19" i="8"/>
  <c r="A19" i="8"/>
  <c r="I18" i="8"/>
  <c r="H18" i="8"/>
  <c r="F18" i="8"/>
  <c r="E18" i="8"/>
  <c r="C18" i="8"/>
  <c r="B18" i="8"/>
  <c r="A18" i="8"/>
  <c r="C15" i="8"/>
  <c r="B15" i="8"/>
  <c r="A15" i="8"/>
  <c r="C14" i="8"/>
  <c r="B14" i="8"/>
  <c r="A14" i="8"/>
  <c r="C13" i="8"/>
  <c r="B13" i="8"/>
  <c r="A13" i="8"/>
  <c r="C12" i="8"/>
  <c r="B12" i="8"/>
  <c r="A12" i="8"/>
  <c r="C11" i="8"/>
  <c r="B11" i="8"/>
  <c r="A11" i="8"/>
  <c r="C10" i="8"/>
  <c r="B10" i="8"/>
  <c r="A10" i="8"/>
  <c r="D28" i="7"/>
  <c r="C28" i="7"/>
  <c r="B28" i="7"/>
  <c r="A28" i="7"/>
  <c r="I27" i="7"/>
  <c r="H27" i="7"/>
  <c r="G27" i="7"/>
  <c r="F27" i="7"/>
  <c r="D27" i="7"/>
  <c r="C27" i="7"/>
  <c r="B27" i="7"/>
  <c r="A27" i="7"/>
  <c r="I26" i="7"/>
  <c r="H26" i="7"/>
  <c r="G26" i="7"/>
  <c r="F26" i="7"/>
  <c r="D26" i="7"/>
  <c r="C26" i="7"/>
  <c r="B26" i="7"/>
  <c r="A26" i="7"/>
  <c r="I25" i="7"/>
  <c r="H25" i="7"/>
  <c r="G25" i="7"/>
  <c r="F25" i="7"/>
  <c r="D25" i="7"/>
  <c r="C25" i="7"/>
  <c r="B25" i="7"/>
  <c r="A25" i="7"/>
  <c r="I24" i="7"/>
  <c r="H24" i="7"/>
  <c r="G24" i="7"/>
  <c r="F24" i="7"/>
  <c r="D24" i="7"/>
  <c r="C24" i="7"/>
  <c r="B24" i="7"/>
  <c r="A24" i="7"/>
  <c r="I23" i="7"/>
  <c r="H23" i="7"/>
  <c r="G23" i="7"/>
  <c r="F23" i="7"/>
  <c r="D23" i="7"/>
  <c r="C23" i="7"/>
  <c r="B23" i="7"/>
  <c r="A23" i="7"/>
  <c r="I22" i="7"/>
  <c r="H22" i="7"/>
  <c r="G22" i="7"/>
  <c r="F22" i="7"/>
  <c r="D22" i="7"/>
  <c r="C22" i="7"/>
  <c r="B22" i="7"/>
  <c r="A22" i="7"/>
  <c r="I21" i="7"/>
  <c r="H21" i="7"/>
  <c r="G21" i="7"/>
  <c r="F21" i="7"/>
  <c r="D21" i="7"/>
  <c r="C21" i="7"/>
  <c r="B21" i="7"/>
  <c r="I20" i="7"/>
  <c r="H20" i="7"/>
  <c r="G20" i="7"/>
  <c r="F20" i="7"/>
  <c r="D20" i="7"/>
  <c r="C20" i="7"/>
  <c r="B20" i="7"/>
  <c r="A20" i="7"/>
  <c r="A18" i="7"/>
  <c r="A17" i="7"/>
  <c r="A16" i="7"/>
  <c r="A15" i="7"/>
  <c r="A14" i="7"/>
  <c r="A13" i="7"/>
  <c r="A12" i="7"/>
  <c r="A11" i="7"/>
  <c r="A10" i="7"/>
  <c r="E12" i="6"/>
  <c r="D12" i="6"/>
  <c r="C12" i="6"/>
  <c r="B12" i="6"/>
  <c r="A12" i="6"/>
  <c r="E11" i="6"/>
  <c r="D11" i="6"/>
  <c r="C11" i="6"/>
  <c r="B11" i="6"/>
  <c r="A11" i="6"/>
  <c r="D113" i="5"/>
  <c r="C113" i="5"/>
  <c r="B113" i="5"/>
  <c r="A113" i="5"/>
  <c r="D112" i="5"/>
  <c r="C112" i="5"/>
  <c r="B112" i="5"/>
  <c r="A112" i="5"/>
  <c r="D111" i="5"/>
  <c r="C111" i="5"/>
  <c r="B111" i="5"/>
  <c r="A111" i="5"/>
  <c r="D110" i="5"/>
  <c r="C110" i="5"/>
  <c r="B110" i="5"/>
  <c r="A110" i="5"/>
  <c r="D109" i="5"/>
  <c r="C109" i="5"/>
  <c r="B109" i="5"/>
  <c r="A109" i="5"/>
  <c r="D108" i="5"/>
  <c r="C108" i="5"/>
  <c r="B108" i="5"/>
  <c r="A108" i="5"/>
  <c r="D107" i="5"/>
  <c r="C107" i="5"/>
  <c r="B107" i="5"/>
  <c r="A107" i="5"/>
  <c r="D106" i="5"/>
  <c r="C106" i="5"/>
  <c r="B106" i="5"/>
  <c r="A106" i="5"/>
  <c r="D105" i="5"/>
  <c r="C105" i="5"/>
  <c r="B105" i="5"/>
  <c r="A105" i="5"/>
  <c r="D104" i="5"/>
  <c r="C104" i="5"/>
  <c r="B104" i="5"/>
  <c r="A104" i="5"/>
  <c r="D103" i="5"/>
  <c r="C103" i="5"/>
  <c r="B103" i="5"/>
  <c r="A103" i="5"/>
  <c r="D102" i="5"/>
  <c r="C102" i="5"/>
  <c r="B102" i="5"/>
  <c r="A102" i="5"/>
  <c r="D101" i="5"/>
  <c r="C101" i="5"/>
  <c r="B101" i="5"/>
  <c r="A101" i="5"/>
  <c r="D100" i="5"/>
  <c r="C100" i="5"/>
  <c r="B100" i="5"/>
  <c r="A100" i="5"/>
  <c r="D99" i="5"/>
  <c r="C99" i="5"/>
  <c r="B99" i="5"/>
  <c r="A99" i="5"/>
  <c r="D98" i="5"/>
  <c r="C98" i="5"/>
  <c r="B98" i="5"/>
  <c r="A98" i="5"/>
  <c r="D97" i="5"/>
  <c r="C97" i="5"/>
  <c r="B97" i="5"/>
  <c r="A97" i="5"/>
  <c r="D96" i="5"/>
  <c r="C96" i="5"/>
  <c r="B96" i="5"/>
  <c r="A96" i="5"/>
  <c r="D95" i="5"/>
  <c r="C95" i="5"/>
  <c r="B95" i="5"/>
  <c r="A95" i="5"/>
  <c r="D94" i="5"/>
  <c r="C94" i="5"/>
  <c r="B94" i="5"/>
  <c r="A94" i="5"/>
  <c r="D93" i="5"/>
  <c r="C93" i="5"/>
  <c r="B93" i="5"/>
  <c r="A93" i="5"/>
  <c r="D92" i="5"/>
  <c r="C92" i="5"/>
  <c r="B92" i="5"/>
  <c r="A92" i="5"/>
  <c r="D91" i="5"/>
  <c r="C91" i="5"/>
  <c r="B91" i="5"/>
  <c r="A91" i="5"/>
  <c r="D90" i="5"/>
  <c r="C90" i="5"/>
  <c r="B90" i="5"/>
  <c r="A90" i="5"/>
  <c r="D89" i="5"/>
  <c r="C89" i="5"/>
  <c r="B89" i="5"/>
  <c r="A89" i="5"/>
  <c r="D88" i="5"/>
  <c r="C88" i="5"/>
  <c r="B88" i="5"/>
  <c r="A88" i="5"/>
  <c r="D87" i="5"/>
  <c r="C87" i="5"/>
  <c r="B87" i="5"/>
  <c r="A87" i="5"/>
  <c r="D86" i="5"/>
  <c r="C86" i="5"/>
  <c r="B86" i="5"/>
  <c r="A86" i="5"/>
  <c r="D85" i="5"/>
  <c r="C85" i="5"/>
  <c r="B85" i="5"/>
  <c r="A85" i="5"/>
  <c r="D84" i="5"/>
  <c r="C84" i="5"/>
  <c r="B84" i="5"/>
  <c r="A84" i="5"/>
  <c r="D83" i="5"/>
  <c r="C83" i="5"/>
  <c r="B83" i="5"/>
  <c r="A83" i="5"/>
  <c r="D82" i="5"/>
  <c r="C82" i="5"/>
  <c r="B82" i="5"/>
  <c r="A82" i="5"/>
  <c r="D81" i="5"/>
  <c r="C81" i="5"/>
  <c r="B81" i="5"/>
  <c r="A81" i="5"/>
  <c r="D80" i="5"/>
  <c r="C80" i="5"/>
  <c r="B80" i="5"/>
  <c r="A80" i="5"/>
  <c r="D79" i="5"/>
  <c r="C79" i="5"/>
  <c r="B79" i="5"/>
  <c r="A79" i="5"/>
  <c r="D78" i="5"/>
  <c r="C78" i="5"/>
  <c r="B78" i="5"/>
  <c r="A78" i="5"/>
  <c r="D77" i="5"/>
  <c r="C77" i="5"/>
  <c r="B77" i="5"/>
  <c r="A77" i="5"/>
  <c r="D76" i="5"/>
  <c r="C76" i="5"/>
  <c r="B76" i="5"/>
  <c r="A76" i="5"/>
  <c r="D75" i="5"/>
  <c r="C75" i="5"/>
  <c r="B75" i="5"/>
  <c r="A75" i="5"/>
  <c r="D74" i="5"/>
  <c r="C74" i="5"/>
  <c r="B74" i="5"/>
  <c r="A74" i="5"/>
  <c r="D73" i="5"/>
  <c r="C73" i="5"/>
  <c r="B73" i="5"/>
  <c r="A73" i="5"/>
  <c r="D72" i="5"/>
  <c r="C72" i="5"/>
  <c r="B72" i="5"/>
  <c r="A72" i="5"/>
  <c r="D71" i="5"/>
  <c r="C71" i="5"/>
  <c r="B71" i="5"/>
  <c r="A71" i="5"/>
  <c r="D70" i="5"/>
  <c r="C70" i="5"/>
  <c r="B70" i="5"/>
  <c r="A70" i="5"/>
  <c r="D69" i="5"/>
  <c r="C69" i="5"/>
  <c r="B69" i="5"/>
  <c r="A69" i="5"/>
  <c r="D68" i="5"/>
  <c r="C68" i="5"/>
  <c r="B68" i="5"/>
  <c r="A68" i="5"/>
  <c r="D67" i="5"/>
  <c r="C67" i="5"/>
  <c r="B67" i="5"/>
  <c r="A67" i="5"/>
  <c r="D66" i="5"/>
  <c r="C66" i="5"/>
  <c r="B66" i="5"/>
  <c r="A66" i="5"/>
  <c r="D65" i="5"/>
  <c r="C65" i="5"/>
  <c r="B65" i="5"/>
  <c r="A65" i="5"/>
  <c r="D64" i="5"/>
  <c r="C64" i="5"/>
  <c r="B64" i="5"/>
  <c r="A64" i="5"/>
  <c r="D63" i="5"/>
  <c r="C63" i="5"/>
  <c r="B63" i="5"/>
  <c r="A63" i="5"/>
  <c r="D62" i="5"/>
  <c r="C62" i="5"/>
  <c r="B62" i="5"/>
  <c r="A62" i="5"/>
  <c r="D61" i="5"/>
  <c r="C61" i="5"/>
  <c r="B61" i="5"/>
  <c r="A61" i="5"/>
  <c r="D60" i="5"/>
  <c r="C60" i="5"/>
  <c r="B60" i="5"/>
  <c r="A60" i="5"/>
  <c r="D59" i="5"/>
  <c r="C59" i="5"/>
  <c r="B59" i="5"/>
  <c r="A59" i="5"/>
  <c r="D58" i="5"/>
  <c r="C58" i="5"/>
  <c r="B58" i="5"/>
  <c r="A58" i="5"/>
  <c r="D57" i="5"/>
  <c r="C57" i="5"/>
  <c r="B57" i="5"/>
  <c r="A57" i="5"/>
  <c r="D56" i="5"/>
  <c r="C56" i="5"/>
  <c r="B56" i="5"/>
  <c r="A56" i="5"/>
  <c r="D55" i="5"/>
  <c r="C55" i="5"/>
  <c r="B55" i="5"/>
  <c r="A55" i="5"/>
  <c r="D54" i="5"/>
  <c r="C54" i="5"/>
  <c r="B54" i="5"/>
  <c r="A54" i="5"/>
  <c r="D53" i="5"/>
  <c r="C53" i="5"/>
  <c r="B53" i="5"/>
  <c r="A53" i="5"/>
  <c r="D52" i="5"/>
  <c r="C52" i="5"/>
  <c r="B52" i="5"/>
  <c r="A52" i="5"/>
  <c r="D51" i="5"/>
  <c r="C51" i="5"/>
  <c r="B51" i="5"/>
  <c r="A51" i="5"/>
  <c r="D50" i="5"/>
  <c r="C50" i="5"/>
  <c r="B50" i="5"/>
  <c r="A50" i="5"/>
  <c r="D49" i="5"/>
  <c r="C49" i="5"/>
  <c r="B49" i="5"/>
  <c r="A49" i="5"/>
  <c r="D48" i="5"/>
  <c r="C48" i="5"/>
  <c r="B48" i="5"/>
  <c r="A48" i="5"/>
  <c r="D47" i="5"/>
  <c r="C47" i="5"/>
  <c r="B47" i="5"/>
  <c r="A47" i="5"/>
  <c r="D46" i="5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C13" i="5"/>
  <c r="B13" i="5"/>
  <c r="A13" i="5"/>
  <c r="C12" i="5"/>
  <c r="B12" i="5"/>
  <c r="A12" i="5"/>
  <c r="C11" i="5"/>
  <c r="B11" i="5"/>
  <c r="A11" i="5"/>
  <c r="D10" i="5"/>
  <c r="C10" i="5"/>
  <c r="B10" i="5"/>
  <c r="A10" i="5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H46" i="4"/>
  <c r="G46" i="4"/>
  <c r="B46" i="4"/>
  <c r="A46" i="4"/>
  <c r="H45" i="4"/>
  <c r="G45" i="4"/>
  <c r="B45" i="4"/>
  <c r="A45" i="4"/>
  <c r="H44" i="4"/>
  <c r="G44" i="4"/>
  <c r="E44" i="4"/>
  <c r="D44" i="4"/>
  <c r="B44" i="4"/>
  <c r="A44" i="4"/>
  <c r="H43" i="4"/>
  <c r="G43" i="4"/>
  <c r="E43" i="4"/>
  <c r="D43" i="4"/>
  <c r="B43" i="4"/>
  <c r="A43" i="4"/>
  <c r="H42" i="4"/>
  <c r="G42" i="4"/>
  <c r="E42" i="4"/>
  <c r="D42" i="4"/>
  <c r="B42" i="4"/>
  <c r="A42" i="4"/>
  <c r="H41" i="4"/>
  <c r="G41" i="4"/>
  <c r="E41" i="4"/>
  <c r="D41" i="4"/>
  <c r="B41" i="4"/>
  <c r="A41" i="4"/>
  <c r="H40" i="4"/>
  <c r="G40" i="4"/>
  <c r="E40" i="4"/>
  <c r="D40" i="4"/>
  <c r="B40" i="4"/>
  <c r="A40" i="4"/>
  <c r="H39" i="4"/>
  <c r="G39" i="4"/>
  <c r="E39" i="4"/>
  <c r="D39" i="4"/>
  <c r="B39" i="4"/>
  <c r="A39" i="4"/>
  <c r="H38" i="4"/>
  <c r="G38" i="4"/>
  <c r="E38" i="4"/>
  <c r="D38" i="4"/>
  <c r="B38" i="4"/>
  <c r="A38" i="4"/>
  <c r="H37" i="4"/>
  <c r="G37" i="4"/>
  <c r="E37" i="4"/>
  <c r="D37" i="4"/>
  <c r="B37" i="4"/>
  <c r="A37" i="4"/>
  <c r="H36" i="4"/>
  <c r="G36" i="4"/>
  <c r="E36" i="4"/>
  <c r="D36" i="4"/>
  <c r="B36" i="4"/>
  <c r="A36" i="4"/>
  <c r="H35" i="4"/>
  <c r="G35" i="4"/>
  <c r="E35" i="4"/>
  <c r="D35" i="4"/>
  <c r="B35" i="4"/>
  <c r="A35" i="4"/>
  <c r="H34" i="4"/>
  <c r="G34" i="4"/>
  <c r="E34" i="4"/>
  <c r="D34" i="4"/>
  <c r="B34" i="4"/>
  <c r="A34" i="4"/>
  <c r="H33" i="4"/>
  <c r="G33" i="4"/>
  <c r="E33" i="4"/>
  <c r="D33" i="4"/>
  <c r="B33" i="4"/>
  <c r="A33" i="4"/>
  <c r="H32" i="4"/>
  <c r="G32" i="4"/>
  <c r="E32" i="4"/>
  <c r="D32" i="4"/>
  <c r="B32" i="4"/>
  <c r="A32" i="4"/>
  <c r="H31" i="4"/>
  <c r="G31" i="4"/>
  <c r="E31" i="4"/>
  <c r="D31" i="4"/>
  <c r="B31" i="4"/>
  <c r="A31" i="4"/>
  <c r="H30" i="4"/>
  <c r="G30" i="4"/>
  <c r="E30" i="4"/>
  <c r="D30" i="4"/>
  <c r="B30" i="4"/>
  <c r="A30" i="4"/>
  <c r="H29" i="4"/>
  <c r="G29" i="4"/>
  <c r="E29" i="4"/>
  <c r="D29" i="4"/>
  <c r="B29" i="4"/>
  <c r="A29" i="4"/>
  <c r="H28" i="4"/>
  <c r="G28" i="4"/>
  <c r="E28" i="4"/>
  <c r="D28" i="4"/>
  <c r="B28" i="4"/>
  <c r="A28" i="4"/>
  <c r="H27" i="4"/>
  <c r="G27" i="4"/>
  <c r="E27" i="4"/>
  <c r="D27" i="4"/>
  <c r="B27" i="4"/>
  <c r="A27" i="4"/>
  <c r="H26" i="4"/>
  <c r="G26" i="4"/>
  <c r="E26" i="4"/>
  <c r="D26" i="4"/>
  <c r="B26" i="4"/>
  <c r="A26" i="4"/>
  <c r="H25" i="4"/>
  <c r="G25" i="4"/>
  <c r="E25" i="4"/>
  <c r="D25" i="4"/>
  <c r="B25" i="4"/>
  <c r="A25" i="4"/>
  <c r="H24" i="4"/>
  <c r="G24" i="4"/>
  <c r="E24" i="4"/>
  <c r="D24" i="4"/>
  <c r="B24" i="4"/>
  <c r="A24" i="4"/>
  <c r="H23" i="4"/>
  <c r="G23" i="4"/>
  <c r="E23" i="4"/>
  <c r="D23" i="4"/>
  <c r="B23" i="4"/>
  <c r="A23" i="4"/>
  <c r="H22" i="4"/>
  <c r="G22" i="4"/>
  <c r="E22" i="4"/>
  <c r="D22" i="4"/>
  <c r="B22" i="4"/>
  <c r="A22" i="4"/>
  <c r="H21" i="4"/>
  <c r="G21" i="4"/>
  <c r="E21" i="4"/>
  <c r="D21" i="4"/>
  <c r="B21" i="4"/>
  <c r="A21" i="4"/>
  <c r="H20" i="4"/>
  <c r="G20" i="4"/>
  <c r="E20" i="4"/>
  <c r="D20" i="4"/>
  <c r="B20" i="4"/>
  <c r="A20" i="4"/>
  <c r="H19" i="4"/>
  <c r="G19" i="4"/>
  <c r="E19" i="4"/>
  <c r="D19" i="4"/>
  <c r="B19" i="4"/>
  <c r="A19" i="4"/>
  <c r="H18" i="4"/>
  <c r="G18" i="4"/>
  <c r="E18" i="4"/>
  <c r="D18" i="4"/>
  <c r="B18" i="4"/>
  <c r="A18" i="4"/>
  <c r="H17" i="4"/>
  <c r="G17" i="4"/>
  <c r="E17" i="4"/>
  <c r="D17" i="4"/>
  <c r="B17" i="4"/>
  <c r="A17" i="4"/>
  <c r="K16" i="4"/>
  <c r="J16" i="4"/>
  <c r="H16" i="4"/>
  <c r="G16" i="4"/>
  <c r="E16" i="4"/>
  <c r="D16" i="4"/>
  <c r="B16" i="4"/>
  <c r="A16" i="4"/>
  <c r="K15" i="4"/>
  <c r="J15" i="4"/>
  <c r="H15" i="4"/>
  <c r="G15" i="4"/>
  <c r="E15" i="4"/>
  <c r="D15" i="4"/>
  <c r="B15" i="4"/>
  <c r="A15" i="4"/>
  <c r="G11" i="4"/>
  <c r="F11" i="4"/>
  <c r="E11" i="4"/>
  <c r="D11" i="4"/>
  <c r="C11" i="4"/>
  <c r="B11" i="4"/>
  <c r="A11" i="4"/>
  <c r="G10" i="4"/>
  <c r="F10" i="4"/>
  <c r="E10" i="4"/>
  <c r="D10" i="4"/>
  <c r="C10" i="4"/>
  <c r="B10" i="4"/>
  <c r="A10" i="4"/>
  <c r="C16" i="3"/>
  <c r="B16" i="3"/>
  <c r="A16" i="3"/>
  <c r="C15" i="3"/>
  <c r="B15" i="3"/>
  <c r="A15" i="3"/>
  <c r="C14" i="3"/>
  <c r="B14" i="3"/>
  <c r="A14" i="3"/>
  <c r="C13" i="3"/>
  <c r="B13" i="3"/>
  <c r="A13" i="3"/>
  <c r="C12" i="3"/>
  <c r="B12" i="3"/>
  <c r="A12" i="3"/>
  <c r="C11" i="3"/>
  <c r="B11" i="3"/>
  <c r="A11" i="3"/>
</calcChain>
</file>

<file path=xl/sharedStrings.xml><?xml version="1.0" encoding="utf-8"?>
<sst xmlns="http://schemas.openxmlformats.org/spreadsheetml/2006/main" count="860" uniqueCount="344">
  <si>
    <t>Contents</t>
  </si>
  <si>
    <t>Links</t>
  </si>
  <si>
    <t>1</t>
  </si>
  <si>
    <t>Datasets</t>
  </si>
  <si>
    <t>2</t>
  </si>
  <si>
    <t>Select data</t>
  </si>
  <si>
    <t>3</t>
  </si>
  <si>
    <t>Filter data</t>
  </si>
  <si>
    <t>4</t>
  </si>
  <si>
    <t>Dealing with NULL values</t>
  </si>
  <si>
    <t>5</t>
  </si>
  <si>
    <t>Aggregate data</t>
  </si>
  <si>
    <t>6</t>
  </si>
  <si>
    <t>Aggregate data by groups</t>
  </si>
  <si>
    <t>7</t>
  </si>
  <si>
    <t>Label</t>
  </si>
  <si>
    <t>8</t>
  </si>
  <si>
    <t>Pivot</t>
  </si>
  <si>
    <t>9</t>
  </si>
  <si>
    <t>Order by</t>
  </si>
  <si>
    <t>10</t>
  </si>
  <si>
    <t>Dynamic Query</t>
  </si>
  <si>
    <t>NO</t>
  </si>
  <si>
    <t>MOVIE_NAME</t>
  </si>
  <si>
    <t>YEAR</t>
  </si>
  <si>
    <t>RATING</t>
  </si>
  <si>
    <t>LENGTH</t>
  </si>
  <si>
    <t>GENRE</t>
  </si>
  <si>
    <t>SCORE</t>
  </si>
  <si>
    <t>The Shawshank Redemption</t>
  </si>
  <si>
    <t>R</t>
  </si>
  <si>
    <t>Drama</t>
  </si>
  <si>
    <t>The Godfather</t>
  </si>
  <si>
    <t>Crime, Drama</t>
  </si>
  <si>
    <t>The Dark Knight</t>
  </si>
  <si>
    <t>PG-13</t>
  </si>
  <si>
    <t>Action, Crime, Drama</t>
  </si>
  <si>
    <t>The Godfather: Part II</t>
  </si>
  <si>
    <t>The Lord of the Rings: The Return of the King</t>
  </si>
  <si>
    <t>Action, Adventure, Drama</t>
  </si>
  <si>
    <t>Pulp Fiction</t>
  </si>
  <si>
    <t>Schindler's List</t>
  </si>
  <si>
    <t>Biography, Drama, History</t>
  </si>
  <si>
    <t>12 Angry Men</t>
  </si>
  <si>
    <t>Approved</t>
  </si>
  <si>
    <t>Inception</t>
  </si>
  <si>
    <t>Action, Adventure, Sci-Fi</t>
  </si>
  <si>
    <t>Fight Club</t>
  </si>
  <si>
    <t>The Lord of the Rings: The Fellowship of the Ring</t>
  </si>
  <si>
    <t>Forrest Gump</t>
  </si>
  <si>
    <t>Drama, Romance</t>
  </si>
  <si>
    <t>The Good, the Bad and the Ugly</t>
  </si>
  <si>
    <t>Western</t>
  </si>
  <si>
    <t>Hamilton</t>
  </si>
  <si>
    <t>The Lord of the Rings: The Two Towers</t>
  </si>
  <si>
    <t>The Matrix</t>
  </si>
  <si>
    <t>Action, Sci-Fi</t>
  </si>
  <si>
    <t>Goodfellas</t>
  </si>
  <si>
    <t>Biography, Crime, Drama</t>
  </si>
  <si>
    <t>Star Wars: Episode V - The Empire Strikes Back</t>
  </si>
  <si>
    <t>PG</t>
  </si>
  <si>
    <t>Action, Adventure, Fantasy</t>
  </si>
  <si>
    <t>One Flew Over the Cuckoo's Nest</t>
  </si>
  <si>
    <t>Parasite</t>
  </si>
  <si>
    <t>Comedy, Drama, Thriller</t>
  </si>
  <si>
    <t>Interstellar</t>
  </si>
  <si>
    <t>Adventure, Drama, Sci-Fi</t>
  </si>
  <si>
    <t>City of God</t>
  </si>
  <si>
    <t>Spirited Away</t>
  </si>
  <si>
    <t>Animation, Adventure, Family</t>
  </si>
  <si>
    <t>Saving Private Ryan</t>
  </si>
  <si>
    <t>Drama, War</t>
  </si>
  <si>
    <t>The Green Mile</t>
  </si>
  <si>
    <t>Crime, Drama, Fantasy</t>
  </si>
  <si>
    <t>Life Is Beautiful</t>
  </si>
  <si>
    <t>Comedy, Drama, Romance</t>
  </si>
  <si>
    <t>Se7en</t>
  </si>
  <si>
    <t>Crime, Drama, Mystery</t>
  </si>
  <si>
    <t>The Silence of the Lambs</t>
  </si>
  <si>
    <t>Crime, Drama, Thriller</t>
  </si>
  <si>
    <t>Star Wars: Episode IV - A New Hope</t>
  </si>
  <si>
    <t>Harakiri</t>
  </si>
  <si>
    <t>Not Rated</t>
  </si>
  <si>
    <t>Action, Drama, Mystery</t>
  </si>
  <si>
    <t>Seven Samurai</t>
  </si>
  <si>
    <t>It's a Wonderful Life</t>
  </si>
  <si>
    <t>Drama, Family, Fantasy</t>
  </si>
  <si>
    <t>Joker</t>
  </si>
  <si>
    <t>Whiplash</t>
  </si>
  <si>
    <t>Drama, Music</t>
  </si>
  <si>
    <t>The Intouchables</t>
  </si>
  <si>
    <t>Biography, Comedy, Drama</t>
  </si>
  <si>
    <t>The Prestige</t>
  </si>
  <si>
    <t>Drama, Mystery, Sci-Fi</t>
  </si>
  <si>
    <t>The Departed</t>
  </si>
  <si>
    <t>The Pianist</t>
  </si>
  <si>
    <t>Biography, Drama, Music</t>
  </si>
  <si>
    <t>Gladiator</t>
  </si>
  <si>
    <t>American History X</t>
  </si>
  <si>
    <t>The Usual Suspects</t>
  </si>
  <si>
    <t>Crime, Mystery, Thriller</t>
  </si>
  <si>
    <t>Léon: The Professional</t>
  </si>
  <si>
    <t>The Lion King</t>
  </si>
  <si>
    <t>G</t>
  </si>
  <si>
    <t>Animation, Adventure, Drama</t>
  </si>
  <si>
    <t>Terminator 2: Judgment Day</t>
  </si>
  <si>
    <t>Cinema Paradiso</t>
  </si>
  <si>
    <t>Grave of the Fireflies</t>
  </si>
  <si>
    <t>Animation, Drama, War</t>
  </si>
  <si>
    <t>Back to the Future</t>
  </si>
  <si>
    <t>Adventure, Comedy, Sci-Fi</t>
  </si>
  <si>
    <t>Anand</t>
  </si>
  <si>
    <t>Drama, Musical</t>
  </si>
  <si>
    <t>Once Upon a Time in the West</t>
  </si>
  <si>
    <t>Psycho</t>
  </si>
  <si>
    <t>Horror, Mystery, Thriller</t>
  </si>
  <si>
    <t>Casablanca</t>
  </si>
  <si>
    <t>Drama, Romance, War</t>
  </si>
  <si>
    <t>Modern Times</t>
  </si>
  <si>
    <t>Comedy, Drama, Family</t>
  </si>
  <si>
    <t>City Lights</t>
  </si>
  <si>
    <t>Capharnaüm</t>
  </si>
  <si>
    <t>Ayla: The Daughter of War</t>
  </si>
  <si>
    <t>Your Name.</t>
  </si>
  <si>
    <t>Animation, Drama, Fantasy</t>
  </si>
  <si>
    <t>Dangal</t>
  </si>
  <si>
    <t>Action, Biography, Drama</t>
  </si>
  <si>
    <t>Spider-Man: Into the Spider-Verse</t>
  </si>
  <si>
    <t>Animation, Action, Adventure</t>
  </si>
  <si>
    <t>Avengers: Endgame</t>
  </si>
  <si>
    <t>Avengers: Infinity War</t>
  </si>
  <si>
    <t>Coco</t>
  </si>
  <si>
    <t>Django Unchained</t>
  </si>
  <si>
    <t>Drama, Western</t>
  </si>
  <si>
    <t>The Dark Knight Rises</t>
  </si>
  <si>
    <t>Action, Adventure</t>
  </si>
  <si>
    <t>3 Idiots</t>
  </si>
  <si>
    <t>Comedy, Drama</t>
  </si>
  <si>
    <t>Taare Zameen Par</t>
  </si>
  <si>
    <t>Drama, Family</t>
  </si>
  <si>
    <t>WALL·E</t>
  </si>
  <si>
    <t>The Lives of Others</t>
  </si>
  <si>
    <t>Drama, Mystery, Thriller</t>
  </si>
  <si>
    <t>Oldboy</t>
  </si>
  <si>
    <t>Memento</t>
  </si>
  <si>
    <t>Mystery, Thriller</t>
  </si>
  <si>
    <t>Princess Mononoke</t>
  </si>
  <si>
    <t>Animation, Adventure, Fantasy</t>
  </si>
  <si>
    <t>Once Upon a Time in America</t>
  </si>
  <si>
    <t>Raiders of the Lost Ark</t>
  </si>
  <si>
    <t>The Shining</t>
  </si>
  <si>
    <t>Drama, Horror</t>
  </si>
  <si>
    <t>Apocalypse Now</t>
  </si>
  <si>
    <t>Drama, Mystery, War</t>
  </si>
  <si>
    <t>Alien</t>
  </si>
  <si>
    <t>Horror, Sci-Fi</t>
  </si>
  <si>
    <t>High and Low</t>
  </si>
  <si>
    <t>Dr. Strangelove or: How I Learned to Stop Worrying and Love the Bomb</t>
  </si>
  <si>
    <t>Comedy</t>
  </si>
  <si>
    <t>Witness for the Prosecution</t>
  </si>
  <si>
    <t>Paths of Glory</t>
  </si>
  <si>
    <t>Rear Window</t>
  </si>
  <si>
    <t>Sunset Blvd.</t>
  </si>
  <si>
    <t>Passed</t>
  </si>
  <si>
    <t>Drama, Film-Noir</t>
  </si>
  <si>
    <t>The Great Dictator</t>
  </si>
  <si>
    <t>Comedy, Drama, War</t>
  </si>
  <si>
    <t>Uri: The Surgical Strike</t>
  </si>
  <si>
    <t>Action, Drama, War</t>
  </si>
  <si>
    <t>Tumbbad</t>
  </si>
  <si>
    <t>Drama, Fantasy, Horror</t>
  </si>
  <si>
    <t>Andhadhun</t>
  </si>
  <si>
    <t>Crime, Thriller</t>
  </si>
  <si>
    <t>Drishyam</t>
  </si>
  <si>
    <t>The Hunt</t>
  </si>
  <si>
    <t>A Separation</t>
  </si>
  <si>
    <t>Drama, Thriller</t>
  </si>
  <si>
    <t>Incendies</t>
  </si>
  <si>
    <t>Yedinci Kogustaki Mucize</t>
  </si>
  <si>
    <t>Babam ve Oglum</t>
  </si>
  <si>
    <t>Toy Story 3</t>
  </si>
  <si>
    <t>Animation, Adventure, Comedy</t>
  </si>
  <si>
    <t>Inglourious Basterds</t>
  </si>
  <si>
    <t>Adventure, Drama, War</t>
  </si>
  <si>
    <t>Eternal Sunshine of the Spotless Mind</t>
  </si>
  <si>
    <t>Drama, Romance, Sci-Fi</t>
  </si>
  <si>
    <t>Amélie</t>
  </si>
  <si>
    <t>Comedy, Romance</t>
  </si>
  <si>
    <t>Snatch</t>
  </si>
  <si>
    <t>Comedy, Crime</t>
  </si>
  <si>
    <t>Requiem for a Dream</t>
  </si>
  <si>
    <t>American Beauty</t>
  </si>
  <si>
    <t>Good Will Hunting</t>
  </si>
  <si>
    <t>Preview Data</t>
  </si>
  <si>
    <t>Select Columns</t>
  </si>
  <si>
    <t>%</t>
  </si>
  <si>
    <t>%#%</t>
  </si>
  <si>
    <t>%#</t>
  </si>
  <si>
    <t>#%</t>
  </si>
  <si>
    <t>_</t>
  </si>
  <si>
    <t>Filter NULL values</t>
  </si>
  <si>
    <t>Aggregate data (summary stats)</t>
  </si>
  <si>
    <t>not filter null</t>
  </si>
  <si>
    <t>filter null</t>
  </si>
  <si>
    <t>Label - change column names</t>
  </si>
  <si>
    <t>Pivot Table</t>
  </si>
  <si>
    <t>aggregation</t>
  </si>
  <si>
    <t>pivot</t>
  </si>
  <si>
    <t>null handle</t>
  </si>
  <si>
    <t>transpose</t>
  </si>
  <si>
    <t>Sort/ Order data</t>
  </si>
  <si>
    <t>aesc</t>
  </si>
  <si>
    <t>desc</t>
  </si>
  <si>
    <t>sort-&gt; order</t>
  </si>
  <si>
    <t>https://www.imdb.com/search/title/?count=100&amp;groups=top_1000&amp;sort=user_rating</t>
  </si>
  <si>
    <t>=IMPORTXML(A1, "//h3")</t>
  </si>
  <si>
    <t>=IMPORTXML(A1, "//*[@class='certificate']")</t>
  </si>
  <si>
    <t>=IMPORTXML(A1, "//*[@class='runtime']")</t>
  </si>
  <si>
    <t>=IMPORTXML(A1, "//*[@class='genre']")</t>
  </si>
  <si>
    <t>=IMPORTXML(A1,"//*[@class='inline-block ratings-imdb-rating']/strong")</t>
  </si>
  <si>
    <t>142 min</t>
  </si>
  <si>
    <t xml:space="preserve"> Drama </t>
  </si>
  <si>
    <t>175 min</t>
  </si>
  <si>
    <t xml:space="preserve"> Crime, Drama </t>
  </si>
  <si>
    <t>152 min</t>
  </si>
  <si>
    <t xml:space="preserve"> Action, Crime, Drama </t>
  </si>
  <si>
    <t>202 min</t>
  </si>
  <si>
    <t>201 min</t>
  </si>
  <si>
    <t xml:space="preserve"> Action, Adventure, Drama </t>
  </si>
  <si>
    <t>154 min</t>
  </si>
  <si>
    <t>195 min</t>
  </si>
  <si>
    <t xml:space="preserve"> Biography, Drama, History </t>
  </si>
  <si>
    <t>96 min</t>
  </si>
  <si>
    <t>148 min</t>
  </si>
  <si>
    <t xml:space="preserve"> Action, Adventure, Sci-Fi </t>
  </si>
  <si>
    <t>139 min</t>
  </si>
  <si>
    <t>178 min</t>
  </si>
  <si>
    <t xml:space="preserve"> Drama, Romance </t>
  </si>
  <si>
    <t xml:space="preserve"> Western </t>
  </si>
  <si>
    <t>160 min</t>
  </si>
  <si>
    <t>179 min</t>
  </si>
  <si>
    <t>136 min</t>
  </si>
  <si>
    <t xml:space="preserve"> Action, Sci-Fi </t>
  </si>
  <si>
    <t>146 min</t>
  </si>
  <si>
    <t xml:space="preserve"> Biography, Crime, Drama </t>
  </si>
  <si>
    <t>124 min</t>
  </si>
  <si>
    <t xml:space="preserve"> Action, Adventure, Fantasy </t>
  </si>
  <si>
    <t>133 min</t>
  </si>
  <si>
    <t>132 min</t>
  </si>
  <si>
    <t xml:space="preserve"> Comedy, Drama, Thriller </t>
  </si>
  <si>
    <t>169 min</t>
  </si>
  <si>
    <t xml:space="preserve"> Adventure, Drama, Sci-Fi </t>
  </si>
  <si>
    <t>130 min</t>
  </si>
  <si>
    <t>125 min</t>
  </si>
  <si>
    <t xml:space="preserve"> Animation, Adventure, Family </t>
  </si>
  <si>
    <t xml:space="preserve"> Drama, War </t>
  </si>
  <si>
    <t>189 min</t>
  </si>
  <si>
    <t xml:space="preserve"> Crime, Drama, Fantasy </t>
  </si>
  <si>
    <t>116 min</t>
  </si>
  <si>
    <t xml:space="preserve"> Comedy, Drama, Romance </t>
  </si>
  <si>
    <t>127 min</t>
  </si>
  <si>
    <t xml:space="preserve"> Crime, Drama, Mystery </t>
  </si>
  <si>
    <t>118 min</t>
  </si>
  <si>
    <t xml:space="preserve"> Crime, Drama, Thriller </t>
  </si>
  <si>
    <t>121 min</t>
  </si>
  <si>
    <t xml:space="preserve"> Action, Drama, Mystery </t>
  </si>
  <si>
    <t>207 min</t>
  </si>
  <si>
    <t xml:space="preserve"> Drama, Family, Fantasy </t>
  </si>
  <si>
    <t>122 min</t>
  </si>
  <si>
    <t>106 min</t>
  </si>
  <si>
    <t xml:space="preserve"> Drama, Music </t>
  </si>
  <si>
    <t>112 min</t>
  </si>
  <si>
    <t xml:space="preserve"> Biography, Comedy, Drama </t>
  </si>
  <si>
    <t xml:space="preserve"> Drama, Mystery, Sci-Fi </t>
  </si>
  <si>
    <t>151 min</t>
  </si>
  <si>
    <t>150 min</t>
  </si>
  <si>
    <t xml:space="preserve"> Biography, Drama, Music </t>
  </si>
  <si>
    <t>155 min</t>
  </si>
  <si>
    <t>119 min</t>
  </si>
  <si>
    <t xml:space="preserve"> Crime, Mystery, Thriller </t>
  </si>
  <si>
    <t>110 min</t>
  </si>
  <si>
    <t>88 min</t>
  </si>
  <si>
    <t xml:space="preserve"> Animation, Adventure, Drama </t>
  </si>
  <si>
    <t>137 min</t>
  </si>
  <si>
    <t>89 min</t>
  </si>
  <si>
    <t xml:space="preserve"> Animation, Drama, War </t>
  </si>
  <si>
    <t xml:space="preserve"> Adventure, Comedy, Sci-Fi </t>
  </si>
  <si>
    <t xml:space="preserve"> Drama, Musical </t>
  </si>
  <si>
    <t>165 min</t>
  </si>
  <si>
    <t>109 min</t>
  </si>
  <si>
    <t xml:space="preserve"> Horror, Mystery, Thriller </t>
  </si>
  <si>
    <t>102 min</t>
  </si>
  <si>
    <t xml:space="preserve"> Drama, Romance, War </t>
  </si>
  <si>
    <t>87 min</t>
  </si>
  <si>
    <t xml:space="preserve"> Comedy, Drama, Family </t>
  </si>
  <si>
    <t>126 min</t>
  </si>
  <si>
    <t xml:space="preserve"> Animation, Drama, Fantasy </t>
  </si>
  <si>
    <t>161 min</t>
  </si>
  <si>
    <t xml:space="preserve"> Action, Biography, Drama </t>
  </si>
  <si>
    <t>117 min</t>
  </si>
  <si>
    <t xml:space="preserve"> Animation, Action, Adventure </t>
  </si>
  <si>
    <t>181 min</t>
  </si>
  <si>
    <t>149 min</t>
  </si>
  <si>
    <t>105 min</t>
  </si>
  <si>
    <t xml:space="preserve"> Drama, Western </t>
  </si>
  <si>
    <t>164 min</t>
  </si>
  <si>
    <t xml:space="preserve"> Action, Adventure </t>
  </si>
  <si>
    <t>170 min</t>
  </si>
  <si>
    <t xml:space="preserve"> Comedy, Drama </t>
  </si>
  <si>
    <t xml:space="preserve"> Drama, Family </t>
  </si>
  <si>
    <t>98 min</t>
  </si>
  <si>
    <t xml:space="preserve"> Drama, Mystery, Thriller </t>
  </si>
  <si>
    <t>120 min</t>
  </si>
  <si>
    <t>113 min</t>
  </si>
  <si>
    <t xml:space="preserve"> Mystery, Thriller </t>
  </si>
  <si>
    <t>134 min</t>
  </si>
  <si>
    <t xml:space="preserve"> Animation, Adventure, Fantasy </t>
  </si>
  <si>
    <t>229 min</t>
  </si>
  <si>
    <t>115 min</t>
  </si>
  <si>
    <t xml:space="preserve"> Drama, Horror </t>
  </si>
  <si>
    <t>147 min</t>
  </si>
  <si>
    <t xml:space="preserve"> Drama, Mystery, War </t>
  </si>
  <si>
    <t xml:space="preserve"> Horror, Sci-Fi </t>
  </si>
  <si>
    <t>143 min</t>
  </si>
  <si>
    <t>95 min</t>
  </si>
  <si>
    <t xml:space="preserve"> Comedy </t>
  </si>
  <si>
    <t xml:space="preserve"> Drama, Film-Noir </t>
  </si>
  <si>
    <t xml:space="preserve"> Comedy, Drama, War </t>
  </si>
  <si>
    <t>138 min</t>
  </si>
  <si>
    <t xml:space="preserve"> Action, Drama, War </t>
  </si>
  <si>
    <t>104 min</t>
  </si>
  <si>
    <t xml:space="preserve"> Drama, Fantasy, Horror </t>
  </si>
  <si>
    <t xml:space="preserve"> Crime, Thriller </t>
  </si>
  <si>
    <t>123 min</t>
  </si>
  <si>
    <t xml:space="preserve"> Drama, Thriller </t>
  </si>
  <si>
    <t>131 min</t>
  </si>
  <si>
    <t>103 min</t>
  </si>
  <si>
    <t xml:space="preserve"> Animation, Adventure, Comedy </t>
  </si>
  <si>
    <t>153 min</t>
  </si>
  <si>
    <t xml:space="preserve"> Adventure, Drama, War </t>
  </si>
  <si>
    <t>108 min</t>
  </si>
  <si>
    <t xml:space="preserve"> Drama, Romance, Sci-Fi </t>
  </si>
  <si>
    <t xml:space="preserve"> Comedy, Romance </t>
  </si>
  <si>
    <t xml:space="preserve"> Comedy, Crime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</si>
</sst>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&quot;-&quot;mmmm&quot;-&quot;dd"/>
  </numFmts>
  <fonts count="8" x14ac:knownFonts="1">
    <font>
      <sz val="10"/>
      <color rgb="FF000000"/>
      <name val="Arial"/>
      <scheme val="minor"/>
    </font>
    <font>
      <b/>
      <sz val="10"/>
      <color theme="1"/>
      <name val="Work Sans"/>
    </font>
    <font>
      <sz val="10"/>
      <color theme="1"/>
      <name val="Work Sans"/>
    </font>
    <font>
      <u/>
      <sz val="10"/>
      <color rgb="FF1155CC"/>
      <name val="Work Sans"/>
    </font>
    <font>
      <b/>
      <sz val="10"/>
      <color rgb="FFFFFFFF"/>
      <name val="Work Sans"/>
    </font>
    <font>
      <sz val="10"/>
      <color rgb="FFFFFFFF"/>
      <name val="Work Sans"/>
    </font>
    <font>
      <sz val="10"/>
      <color theme="1"/>
      <name val="Arial"/>
      <scheme val="minor"/>
    </font>
    <font>
      <u/>
      <sz val="10"/>
      <color rgb="FF0000FF"/>
      <name val="Work Sans"/>
    </font>
  </fonts>
  <fills count="9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187" fontId="2" fillId="0" borderId="0" xfId="0" applyNumberFormat="1" applyFont="1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1" fillId="0" borderId="0" xfId="0" applyFont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2" fontId="2" fillId="0" borderId="0" xfId="0" applyNumberFormat="1" applyFont="1"/>
    <xf numFmtId="0" fontId="2" fillId="8" borderId="0" xfId="0" applyFont="1" applyFill="1"/>
    <xf numFmtId="0" fontId="6" fillId="0" borderId="0" xfId="0" applyFont="1"/>
    <xf numFmtId="0" fontId="6" fillId="3" borderId="0" xfId="0" applyFont="1" applyFill="1"/>
    <xf numFmtId="0" fontId="6" fillId="6" borderId="0" xfId="0" applyFont="1" applyFill="1"/>
    <xf numFmtId="0" fontId="2" fillId="0" borderId="0" xfId="0" quotePrefix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mdb.com/search/title/?count=100&amp;groups=top_1000&amp;sort=user_rat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9"/>
  <sheetViews>
    <sheetView workbookViewId="0">
      <selection activeCell="A13" sqref="A13:XFD13"/>
    </sheetView>
  </sheetViews>
  <sheetFormatPr defaultColWidth="12.6640625" defaultRowHeight="15.75" customHeight="1" x14ac:dyDescent="0.25"/>
  <cols>
    <col min="2" max="2" width="25.88671875" customWidth="1"/>
    <col min="3" max="3" width="12.33203125" customWidth="1"/>
    <col min="5" max="5" width="12.6640625" customWidth="1"/>
  </cols>
  <sheetData>
    <row r="1" spans="1:26" ht="15.75" customHeight="1" x14ac:dyDescent="0.45">
      <c r="A1" s="1" t="s">
        <v>0</v>
      </c>
      <c r="B1" s="1" t="s">
        <v>1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45">
      <c r="A2" s="2" t="s">
        <v>2</v>
      </c>
      <c r="B2" s="3" t="s">
        <v>3</v>
      </c>
      <c r="C2" s="2"/>
      <c r="D2" s="2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45">
      <c r="A3" s="2" t="s">
        <v>4</v>
      </c>
      <c r="B3" s="3" t="s">
        <v>5</v>
      </c>
      <c r="C3" s="2"/>
      <c r="D3" s="2"/>
      <c r="E3" s="4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45">
      <c r="A4" s="2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45">
      <c r="A5" s="2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45">
      <c r="A6" s="2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45">
      <c r="A7" s="2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45">
      <c r="A8" s="2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45">
      <c r="A9" s="2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45">
      <c r="A10" s="2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45">
      <c r="A11" s="2" t="s">
        <v>20</v>
      </c>
      <c r="B11" s="3" t="s">
        <v>21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4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4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4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4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4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4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4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4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4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4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4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4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4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4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6.8" x14ac:dyDescent="0.4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6.8" x14ac:dyDescent="0.4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6.8" x14ac:dyDescent="0.4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6.8" x14ac:dyDescent="0.4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6.8" x14ac:dyDescent="0.4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6.8" x14ac:dyDescent="0.4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6.8" x14ac:dyDescent="0.4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6.8" x14ac:dyDescent="0.4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6.8" x14ac:dyDescent="0.4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6.8" x14ac:dyDescent="0.4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6.8" x14ac:dyDescent="0.4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6.8" x14ac:dyDescent="0.4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6.8" x14ac:dyDescent="0.4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6.8" x14ac:dyDescent="0.4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6.8" x14ac:dyDescent="0.4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6.8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6.8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6.8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6.8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6.8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6.8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6.8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6.8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6.8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6.8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6.8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6.8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6.8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6.8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6.8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6.8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6.8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6.8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6.8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6.8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6.8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6.8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6.8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6.8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6.8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6.8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6.8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6.8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6.8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6.8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6.8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6.8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6.8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6.8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6.8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6.8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6.8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6.8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6.8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6.8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6.8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6.8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6.8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6.8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6.8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6.8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6.8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6.8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6.8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6.8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6.8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6.8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6.8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6.8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6.8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6.8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6.8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6.8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6.8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6.8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6.8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6.8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6.8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6.8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6.8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6.8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6.8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6.8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6.8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6.8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6.8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6.8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6.8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6.8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6.8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6.8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6.8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6.8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6.8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6.8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6.8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6.8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6.8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6.8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6.8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6.8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6.8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6.8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6.8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6.8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6.8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6.8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6.8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6.8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6.8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6.8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6.8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6.8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6.8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6.8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6.8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6.8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6.8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6.8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6.8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6.8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6.8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6.8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6.8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6.8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6.8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6.8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6.8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6.8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6.8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6.8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6.8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6.8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6.8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6.8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6.8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6.8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6.8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6.8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6.8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6.8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6.8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6.8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6.8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6.8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6.8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6.8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6.8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6.8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6.8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6.8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6.8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6.8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6.8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6.8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6.8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6.8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6.8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6.8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6.8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6.8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6.8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6.8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6.8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6.8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6.8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6.8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6.8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6.8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6.8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6.8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6.8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6.8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6.8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6.8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6.8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6.8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6.8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6.8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6.8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6.8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6.8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6.8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6.8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6.8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6.8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6.8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6.8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6.8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6.8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6.8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6.8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6.8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6.8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6.8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6.8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6.8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6.8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6.8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6.8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6.8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6.8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6.8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6.8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6.8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6.8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6.8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6.8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6.8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6.8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6.8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6.8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6.8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6.8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6.8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6.8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6.8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6.8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6.8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6.8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6.8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6.8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6.8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6.8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6.8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6.8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6.8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6.8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6.8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6.8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6.8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6.8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6.8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6.8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6.8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6.8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6.8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6.8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6.8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6.8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6.8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6.8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6.8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6.8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6.8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6.8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6.8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6.8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6.8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6.8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6.8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6.8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6.8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6.8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6.8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6.8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6.8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6.8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6.8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6.8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6.8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6.8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6.8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6.8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6.8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6.8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6.8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6.8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6.8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6.8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6.8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6.8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6.8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6.8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6.8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6.8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6.8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6.8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6.8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6.8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6.8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6.8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6.8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6.8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6.8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6.8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6.8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6.8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6.8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6.8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6.8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6.8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6.8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6.8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6.8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6.8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6.8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6.8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6.8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6.8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6.8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6.8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6.8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6.8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6.8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6.8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6.8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6.8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6.8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6.8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6.8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6.8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6.8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6.8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6.8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6.8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6.8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6.8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6.8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6.8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6.8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6.8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6.8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6.8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6.8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6.8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6.8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6.8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6.8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6.8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6.8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6.8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6.8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6.8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6.8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6.8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6.8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6.8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6.8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6.8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6.8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6.8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6.8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6.8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6.8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6.8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6.8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6.8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6.8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6.8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6.8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6.8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6.8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6.8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6.8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6.8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6.8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6.8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6.8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6.8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6.8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6.8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6.8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6.8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6.8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6.8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6.8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6.8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6.8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6.8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6.8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6.8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6.8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6.8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6.8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6.8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6.8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6.8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6.8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6.8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6.8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6.8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6.8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6.8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6.8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6.8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6.8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6.8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6.8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6.8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6.8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6.8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6.8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6.8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6.8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6.8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6.8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6.8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6.8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6.8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6.8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6.8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6.8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6.8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6.8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6.8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6.8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6.8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6.8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6.8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6.8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6.8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6.8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6.8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6.8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6.8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6.8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6.8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6.8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6.8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6.8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6.8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6.8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6.8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6.8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6.8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6.8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6.8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6.8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6.8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6.8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6.8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6.8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6.8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6.8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6.8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6.8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6.8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6.8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6.8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6.8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6.8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6.8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6.8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6.8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6.8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6.8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6.8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6.8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6.8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6.8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6.8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6.8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6.8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6.8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6.8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6.8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6.8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6.8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6.8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6.8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6.8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6.8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6.8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6.8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6.8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6.8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6.8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6.8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6.8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6.8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6.8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6.8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6.8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6.8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6.8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6.8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6.8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6.8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6.8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6.8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6.8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6.8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6.8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6.8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6.8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6.8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6.8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6.8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6.8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6.8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6.8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6.8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6.8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6.8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6.8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6.8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6.8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6.8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6.8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6.8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6.8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6.8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6.8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6.8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6.8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6.8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6.8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6.8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6.8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6.8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6.8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6.8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6.8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6.8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6.8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6.8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6.8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6.8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6.8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6.8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6.8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6.8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6.8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6.8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6.8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6.8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6.8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6.8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6.8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6.8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6.8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6.8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6.8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6.8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6.8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6.8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6.8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6.8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6.8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6.8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6.8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6.8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6.8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6.8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6.8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6.8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6.8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6.8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6.8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6.8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6.8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6.8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6.8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6.8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6.8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6.8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6.8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6.8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6.8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6.8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6.8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6.8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6.8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6.8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6.8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6.8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6.8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6.8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6.8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6.8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6.8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6.8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6.8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6.8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6.8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6.8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6.8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6.8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6.8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6.8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6.8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6.8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6.8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6.8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6.8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6.8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6.8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6.8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6.8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6.8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6.8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6.8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6.8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6.8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6.8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6.8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6.8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6.8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6.8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6.8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6.8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6.8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6.8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6.8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6.8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6.8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6.8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6.8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6.8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6.8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6.8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6.8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6.8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6.8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6.8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6.8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6.8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6.8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6.8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6.8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6.8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6.8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6.8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6.8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6.8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6.8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6.8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6.8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6.8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6.8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6.8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6.8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6.8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6.8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6.8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6.8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6.8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6.8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6.8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6.8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6.8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6.8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6.8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6.8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6.8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6.8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6.8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6.8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6.8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6.8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6.8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6.8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6.8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6.8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6.8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6.8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6.8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6.8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6.8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6.8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6.8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6.8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6.8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6.8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6.8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6.8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6.8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6.8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6.8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6.8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6.8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6.8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6.8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6.8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6.8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6.8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6.8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6.8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6.8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6.8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6.8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6.8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6.8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6.8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6.8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6.8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6.8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6.8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6.8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6.8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6.8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6.8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6.8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6.8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6.8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6.8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6.8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6.8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6.8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6.8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6.8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6.8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6.8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6.8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6.8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6.8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6.8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6.8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6.8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6.8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6.8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6.8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6.8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6.8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6.8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6.8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6.8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6.8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6.8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6.8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6.8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6.8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6.8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6.8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6.8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6.8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6.8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6.8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6.8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6.8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6.8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6.8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6.8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6.8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6.8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6.8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6.8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6.8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6.8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6.8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6.8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6.8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6.8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6.8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6.8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6.8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6.8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6.8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6.8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6.8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6.8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6.8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6.8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6.8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6.8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6.8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6.8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6.8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6.8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6.8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6.8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6.8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6.8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6.8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6.8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6.8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6.8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6.8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6.8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6.8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6.8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6.8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6.8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6.8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6.8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6.8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6.8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6.8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6.8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6.8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6.8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6.8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6.8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6.8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6.8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6.8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6.8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6.8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6.8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6.8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6.8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6.8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6.8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6.8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6.8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6.8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6.8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6.8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6.8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6.8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6.8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6.8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6.8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6.8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6.8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6.8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6.8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6.8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6.8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6.8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6.8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6.8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6.8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6.8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6.8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6.8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6.8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6.8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6.8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6.8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6.8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6.8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6.8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6.8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6.8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6.8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6.8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6.8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6.8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6.8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6.8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6.8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6.8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6.8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6.8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6.8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6.8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6.8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6.8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6.8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6.8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6.8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6.8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6.8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6.8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6.8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6.8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6.8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6.8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6.8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6.8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6.8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6.8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6.8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6.8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6.8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6.8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6.8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6.8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6.8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6.8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6.8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6.8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6.8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6.8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6.8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6.8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6.8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6.8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6.8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6.8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6.8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6.8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6.8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6.8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6.8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6.8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6.8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6.8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6.8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6.8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6.8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6.8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6.8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6.8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6.8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6.8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6.8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6.8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6.8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6.8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6.8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6.8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6.8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6.8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6.8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6.8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6.8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6.8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6.8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6.8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6.8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6.8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6.8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6.8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6.8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6.8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6.8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6.8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6.8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6.8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6.8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6.8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6.8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6.8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6.8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6.8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6.8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6.8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6.8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6.8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6.8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6.8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6.8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6.8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6.8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6.8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6.8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6.8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6.8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6.8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6.8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6.8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6.8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6.8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6.8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6.8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6.8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6.8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6.8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6.8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6.8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6.8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6.8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6.8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6.8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6.8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6.8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6.8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6.8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6.8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6.8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6.8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6.8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6.8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6.8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6.8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6.8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6.8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6.8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6.8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6.8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6.8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6.8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6.8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6.8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6.8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6.8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6.8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6.8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6.8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6.8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6.8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hyperlinks>
    <hyperlink ref="B2" location="Dataset!A1" display="Datasets" xr:uid="{00000000-0004-0000-0000-000000000000}"/>
    <hyperlink ref="B3" location="Select!A1" display="Select data" xr:uid="{00000000-0004-0000-0000-000001000000}"/>
    <hyperlink ref="B4" location="Where!A1" display="Filter data" xr:uid="{00000000-0004-0000-0000-000002000000}"/>
    <hyperlink ref="B5" location="Null!A1" display="Dealing with NULL values" xr:uid="{00000000-0004-0000-0000-000003000000}"/>
    <hyperlink ref="B6" location="Agg!A1" display="Aggregate data" xr:uid="{00000000-0004-0000-0000-000004000000}"/>
    <hyperlink ref="B7" location="'Agg - Group'!A1" display="Aggregate data by groups" xr:uid="{00000000-0004-0000-0000-000005000000}"/>
    <hyperlink ref="B8" location="Label!A1" display="Label" xr:uid="{00000000-0004-0000-0000-000006000000}"/>
    <hyperlink ref="B9" location="Pivot!A1" display="Pivot" xr:uid="{00000000-0004-0000-0000-000007000000}"/>
    <hyperlink ref="B10" location="'Order By'!A1" display="Order by" xr:uid="{00000000-0004-0000-0000-000008000000}"/>
    <hyperlink ref="B11" location="'Dynamic Query'!A1" display="Dynamic Query" xr:uid="{00000000-0004-0000-0000-000009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/>
  </sheetViews>
  <sheetFormatPr defaultColWidth="12.6640625" defaultRowHeight="15.75" customHeight="1" x14ac:dyDescent="0.25"/>
  <cols>
    <col min="1" max="1" width="7.109375" customWidth="1"/>
    <col min="2" max="2" width="24.6640625" customWidth="1"/>
    <col min="6" max="6" width="21.109375" customWidth="1"/>
  </cols>
  <sheetData>
    <row r="1" spans="1:25" ht="15.75" customHeight="1" x14ac:dyDescent="0.4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15.75" customHeight="1" x14ac:dyDescent="0.45">
      <c r="A2" s="7">
        <v>1</v>
      </c>
      <c r="B2" s="7" t="s">
        <v>29</v>
      </c>
      <c r="C2" s="7">
        <v>1994</v>
      </c>
      <c r="D2" s="7" t="s">
        <v>30</v>
      </c>
      <c r="E2" s="7">
        <v>142</v>
      </c>
      <c r="F2" s="7" t="s">
        <v>31</v>
      </c>
      <c r="G2" s="7">
        <v>9.3000000000000007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ht="15.75" customHeight="1" x14ac:dyDescent="0.45">
      <c r="A3" s="7">
        <v>2</v>
      </c>
      <c r="B3" s="7" t="s">
        <v>32</v>
      </c>
      <c r="C3" s="7">
        <v>1972</v>
      </c>
      <c r="D3" s="7" t="s">
        <v>30</v>
      </c>
      <c r="E3" s="7">
        <v>175</v>
      </c>
      <c r="F3" s="7" t="s">
        <v>33</v>
      </c>
      <c r="G3" s="7">
        <v>9.1999999999999993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ht="15.75" customHeight="1" x14ac:dyDescent="0.45">
      <c r="A4" s="7">
        <v>3</v>
      </c>
      <c r="B4" s="7" t="s">
        <v>34</v>
      </c>
      <c r="C4" s="7">
        <v>2008</v>
      </c>
      <c r="D4" s="7" t="s">
        <v>35</v>
      </c>
      <c r="E4" s="7">
        <v>152</v>
      </c>
      <c r="F4" s="7" t="s">
        <v>36</v>
      </c>
      <c r="G4" s="7">
        <v>9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15.75" customHeight="1" x14ac:dyDescent="0.45">
      <c r="A5" s="7">
        <v>4</v>
      </c>
      <c r="B5" s="7" t="s">
        <v>37</v>
      </c>
      <c r="C5" s="7">
        <v>1974</v>
      </c>
      <c r="D5" s="7" t="s">
        <v>30</v>
      </c>
      <c r="E5" s="7">
        <v>202</v>
      </c>
      <c r="F5" s="7" t="s">
        <v>33</v>
      </c>
      <c r="G5" s="7">
        <v>9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 ht="15.75" customHeight="1" x14ac:dyDescent="0.45">
      <c r="A6" s="7">
        <v>5</v>
      </c>
      <c r="B6" s="7" t="s">
        <v>38</v>
      </c>
      <c r="C6" s="7">
        <v>2003</v>
      </c>
      <c r="D6" s="7" t="s">
        <v>35</v>
      </c>
      <c r="E6" s="7">
        <v>201</v>
      </c>
      <c r="F6" s="7" t="s">
        <v>39</v>
      </c>
      <c r="G6" s="7">
        <v>8.9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spans="1:25" ht="15.75" customHeight="1" x14ac:dyDescent="0.45">
      <c r="A7" s="7">
        <v>6</v>
      </c>
      <c r="B7" s="7" t="s">
        <v>40</v>
      </c>
      <c r="C7" s="7">
        <v>1994</v>
      </c>
      <c r="D7" s="7" t="s">
        <v>30</v>
      </c>
      <c r="E7" s="7">
        <v>154</v>
      </c>
      <c r="F7" s="7" t="s">
        <v>33</v>
      </c>
      <c r="G7" s="7">
        <v>8.9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1:25" ht="15.75" customHeight="1" x14ac:dyDescent="0.45">
      <c r="A8" s="7">
        <v>7</v>
      </c>
      <c r="B8" s="7" t="s">
        <v>41</v>
      </c>
      <c r="C8" s="7">
        <v>1993</v>
      </c>
      <c r="D8" s="7" t="s">
        <v>30</v>
      </c>
      <c r="E8" s="7">
        <v>195</v>
      </c>
      <c r="F8" s="7" t="s">
        <v>42</v>
      </c>
      <c r="G8" s="7">
        <v>8.9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1:25" ht="15.75" customHeight="1" x14ac:dyDescent="0.45">
      <c r="A9" s="7">
        <v>8</v>
      </c>
      <c r="B9" s="7" t="s">
        <v>43</v>
      </c>
      <c r="C9" s="7">
        <v>1957</v>
      </c>
      <c r="D9" s="7" t="s">
        <v>44</v>
      </c>
      <c r="E9" s="7">
        <v>96</v>
      </c>
      <c r="F9" s="7" t="s">
        <v>33</v>
      </c>
      <c r="G9" s="7">
        <v>8.9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 ht="15.75" customHeight="1" x14ac:dyDescent="0.45">
      <c r="A10" s="7">
        <v>9</v>
      </c>
      <c r="B10" s="7" t="s">
        <v>45</v>
      </c>
      <c r="C10" s="7">
        <v>2010</v>
      </c>
      <c r="D10" s="7" t="s">
        <v>35</v>
      </c>
      <c r="E10" s="7">
        <v>148</v>
      </c>
      <c r="F10" s="7" t="s">
        <v>46</v>
      </c>
      <c r="G10" s="7">
        <v>8.8000000000000007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 ht="15.75" customHeight="1" x14ac:dyDescent="0.45">
      <c r="A11" s="7">
        <v>10</v>
      </c>
      <c r="B11" s="7" t="s">
        <v>47</v>
      </c>
      <c r="C11" s="7">
        <v>1999</v>
      </c>
      <c r="D11" s="7" t="s">
        <v>30</v>
      </c>
      <c r="E11" s="7">
        <v>139</v>
      </c>
      <c r="F11" s="7" t="s">
        <v>31</v>
      </c>
      <c r="G11" s="7">
        <v>8.8000000000000007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ht="15.75" customHeight="1" x14ac:dyDescent="0.45">
      <c r="A12" s="7">
        <v>11</v>
      </c>
      <c r="B12" s="7" t="s">
        <v>48</v>
      </c>
      <c r="C12" s="7">
        <v>2001</v>
      </c>
      <c r="D12" s="7" t="s">
        <v>35</v>
      </c>
      <c r="E12" s="7">
        <v>178</v>
      </c>
      <c r="F12" s="7" t="s">
        <v>39</v>
      </c>
      <c r="G12" s="7">
        <v>8.8000000000000007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 ht="15.75" customHeight="1" x14ac:dyDescent="0.45">
      <c r="A13" s="7">
        <v>12</v>
      </c>
      <c r="B13" s="7" t="s">
        <v>49</v>
      </c>
      <c r="C13" s="7">
        <v>1994</v>
      </c>
      <c r="D13" s="7" t="s">
        <v>35</v>
      </c>
      <c r="E13" s="7">
        <v>142</v>
      </c>
      <c r="F13" s="7" t="s">
        <v>50</v>
      </c>
      <c r="G13" s="7">
        <v>8.8000000000000007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ht="15.75" customHeight="1" x14ac:dyDescent="0.45">
      <c r="A14" s="7">
        <v>13</v>
      </c>
      <c r="B14" s="7" t="s">
        <v>51</v>
      </c>
      <c r="C14" s="7">
        <v>1966</v>
      </c>
      <c r="D14" s="7" t="s">
        <v>30</v>
      </c>
      <c r="E14" s="7">
        <v>178</v>
      </c>
      <c r="F14" s="7" t="s">
        <v>52</v>
      </c>
      <c r="G14" s="7">
        <v>8.8000000000000007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1:25" ht="15.75" customHeight="1" x14ac:dyDescent="0.45">
      <c r="A15" s="7">
        <v>14</v>
      </c>
      <c r="B15" s="7" t="s">
        <v>53</v>
      </c>
      <c r="C15" s="7">
        <v>2020</v>
      </c>
      <c r="D15" s="7" t="s">
        <v>35</v>
      </c>
      <c r="E15" s="7">
        <v>160</v>
      </c>
      <c r="F15" s="7" t="s">
        <v>42</v>
      </c>
      <c r="G15" s="7">
        <v>8.6999999999999993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5" ht="15.75" customHeight="1" x14ac:dyDescent="0.45">
      <c r="A16" s="7">
        <v>15</v>
      </c>
      <c r="B16" s="7" t="s">
        <v>54</v>
      </c>
      <c r="C16" s="7">
        <v>2002</v>
      </c>
      <c r="D16" s="7" t="s">
        <v>35</v>
      </c>
      <c r="E16" s="7">
        <v>179</v>
      </c>
      <c r="F16" s="7" t="s">
        <v>39</v>
      </c>
      <c r="G16" s="7">
        <v>8.6999999999999993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25" ht="15.75" customHeight="1" x14ac:dyDescent="0.45">
      <c r="A17" s="7">
        <v>16</v>
      </c>
      <c r="B17" s="7" t="s">
        <v>55</v>
      </c>
      <c r="C17" s="7">
        <v>1999</v>
      </c>
      <c r="D17" s="7" t="s">
        <v>30</v>
      </c>
      <c r="E17" s="7">
        <v>136</v>
      </c>
      <c r="F17" s="7" t="s">
        <v>56</v>
      </c>
      <c r="G17" s="7">
        <v>8.6999999999999993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ht="15.75" customHeight="1" x14ac:dyDescent="0.45">
      <c r="A18" s="7">
        <v>17</v>
      </c>
      <c r="B18" s="7" t="s">
        <v>57</v>
      </c>
      <c r="C18" s="7">
        <v>1990</v>
      </c>
      <c r="D18" s="7" t="s">
        <v>30</v>
      </c>
      <c r="E18" s="7">
        <v>146</v>
      </c>
      <c r="F18" s="7" t="s">
        <v>58</v>
      </c>
      <c r="G18" s="7">
        <v>8.6999999999999993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 ht="15.75" customHeight="1" x14ac:dyDescent="0.45">
      <c r="A19" s="7">
        <v>18</v>
      </c>
      <c r="B19" s="7" t="s">
        <v>59</v>
      </c>
      <c r="C19" s="7">
        <v>1980</v>
      </c>
      <c r="D19" s="7" t="s">
        <v>60</v>
      </c>
      <c r="E19" s="7">
        <v>124</v>
      </c>
      <c r="F19" s="7" t="s">
        <v>61</v>
      </c>
      <c r="G19" s="7">
        <v>8.6999999999999993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ht="15.75" customHeight="1" x14ac:dyDescent="0.45">
      <c r="A20" s="7">
        <v>19</v>
      </c>
      <c r="B20" s="7" t="s">
        <v>62</v>
      </c>
      <c r="C20" s="7">
        <v>1975</v>
      </c>
      <c r="D20" s="7" t="s">
        <v>30</v>
      </c>
      <c r="E20" s="7">
        <v>133</v>
      </c>
      <c r="F20" s="7" t="s">
        <v>31</v>
      </c>
      <c r="G20" s="7">
        <v>8.6999999999999993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spans="1:25" ht="15.75" customHeight="1" x14ac:dyDescent="0.45">
      <c r="A21" s="7">
        <v>20</v>
      </c>
      <c r="B21" s="7" t="s">
        <v>63</v>
      </c>
      <c r="C21" s="7">
        <v>2019</v>
      </c>
      <c r="D21" s="7" t="s">
        <v>30</v>
      </c>
      <c r="E21" s="7">
        <v>132</v>
      </c>
      <c r="F21" s="7" t="s">
        <v>64</v>
      </c>
      <c r="G21" s="7">
        <v>8.6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spans="1:25" ht="15.75" customHeight="1" x14ac:dyDescent="0.45">
      <c r="A22" s="7">
        <v>21</v>
      </c>
      <c r="B22" s="7" t="s">
        <v>65</v>
      </c>
      <c r="C22" s="7">
        <v>2014</v>
      </c>
      <c r="D22" s="7" t="s">
        <v>35</v>
      </c>
      <c r="E22" s="7">
        <v>169</v>
      </c>
      <c r="F22" s="7" t="s">
        <v>66</v>
      </c>
      <c r="G22" s="7">
        <v>8.6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spans="1:25" ht="15.75" customHeight="1" x14ac:dyDescent="0.45">
      <c r="A23" s="7">
        <v>22</v>
      </c>
      <c r="B23" s="7" t="s">
        <v>67</v>
      </c>
      <c r="C23" s="7">
        <v>2002</v>
      </c>
      <c r="D23" s="7" t="s">
        <v>30</v>
      </c>
      <c r="E23" s="7">
        <v>130</v>
      </c>
      <c r="F23" s="7" t="s">
        <v>33</v>
      </c>
      <c r="G23" s="7">
        <v>8.6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spans="1:25" ht="15.75" customHeight="1" x14ac:dyDescent="0.45">
      <c r="A24" s="7">
        <v>23</v>
      </c>
      <c r="B24" s="7" t="s">
        <v>68</v>
      </c>
      <c r="C24" s="7">
        <v>2001</v>
      </c>
      <c r="D24" s="7" t="s">
        <v>60</v>
      </c>
      <c r="E24" s="7">
        <v>125</v>
      </c>
      <c r="F24" s="7" t="s">
        <v>69</v>
      </c>
      <c r="G24" s="7">
        <v>8.6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5" ht="15.75" customHeight="1" x14ac:dyDescent="0.45">
      <c r="A25" s="7">
        <v>24</v>
      </c>
      <c r="B25" s="7" t="s">
        <v>70</v>
      </c>
      <c r="C25" s="7">
        <v>1998</v>
      </c>
      <c r="D25" s="7" t="s">
        <v>30</v>
      </c>
      <c r="E25" s="7">
        <v>169</v>
      </c>
      <c r="F25" s="7" t="s">
        <v>71</v>
      </c>
      <c r="G25" s="7">
        <v>8.6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spans="1:25" ht="15.75" customHeight="1" x14ac:dyDescent="0.45">
      <c r="A26" s="7">
        <v>25</v>
      </c>
      <c r="B26" s="7" t="s">
        <v>72</v>
      </c>
      <c r="C26" s="7">
        <v>1999</v>
      </c>
      <c r="D26" s="7" t="s">
        <v>30</v>
      </c>
      <c r="E26" s="7">
        <v>189</v>
      </c>
      <c r="F26" s="7" t="s">
        <v>73</v>
      </c>
      <c r="G26" s="7">
        <v>8.6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spans="1:25" ht="16.8" x14ac:dyDescent="0.45">
      <c r="A27" s="7">
        <v>26</v>
      </c>
      <c r="B27" s="7" t="s">
        <v>74</v>
      </c>
      <c r="C27" s="7">
        <v>1997</v>
      </c>
      <c r="D27" s="7" t="s">
        <v>35</v>
      </c>
      <c r="E27" s="7">
        <v>116</v>
      </c>
      <c r="F27" s="7" t="s">
        <v>75</v>
      </c>
      <c r="G27" s="7">
        <v>8.6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1:25" ht="16.8" x14ac:dyDescent="0.45">
      <c r="A28" s="7">
        <v>27</v>
      </c>
      <c r="B28" s="7" t="s">
        <v>76</v>
      </c>
      <c r="C28" s="7">
        <v>1995</v>
      </c>
      <c r="D28" s="7" t="s">
        <v>30</v>
      </c>
      <c r="E28" s="7">
        <v>127</v>
      </c>
      <c r="F28" s="7" t="s">
        <v>77</v>
      </c>
      <c r="G28" s="7">
        <v>8.6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1:25" ht="16.8" x14ac:dyDescent="0.45">
      <c r="A29" s="7">
        <v>28</v>
      </c>
      <c r="B29" s="7" t="s">
        <v>78</v>
      </c>
      <c r="C29" s="7">
        <v>1991</v>
      </c>
      <c r="D29" s="7" t="s">
        <v>30</v>
      </c>
      <c r="E29" s="7">
        <v>118</v>
      </c>
      <c r="F29" s="7" t="s">
        <v>79</v>
      </c>
      <c r="G29" s="7">
        <v>8.6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:25" ht="16.8" x14ac:dyDescent="0.45">
      <c r="A30" s="7">
        <v>29</v>
      </c>
      <c r="B30" s="7" t="s">
        <v>80</v>
      </c>
      <c r="C30" s="7">
        <v>1977</v>
      </c>
      <c r="D30" s="7" t="s">
        <v>60</v>
      </c>
      <c r="E30" s="7">
        <v>121</v>
      </c>
      <c r="F30" s="7" t="s">
        <v>61</v>
      </c>
      <c r="G30" s="7">
        <v>8.6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pans="1:25" ht="16.8" x14ac:dyDescent="0.45">
      <c r="A31" s="7">
        <v>30</v>
      </c>
      <c r="B31" s="7" t="s">
        <v>81</v>
      </c>
      <c r="C31" s="7">
        <v>1962</v>
      </c>
      <c r="D31" s="7" t="s">
        <v>82</v>
      </c>
      <c r="E31" s="7">
        <v>133</v>
      </c>
      <c r="F31" s="7" t="s">
        <v>83</v>
      </c>
      <c r="G31" s="7">
        <v>8.6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pans="1:25" ht="16.8" x14ac:dyDescent="0.45">
      <c r="A32" s="7">
        <v>31</v>
      </c>
      <c r="B32" s="7" t="s">
        <v>84</v>
      </c>
      <c r="C32" s="7">
        <v>1954</v>
      </c>
      <c r="D32" s="7" t="s">
        <v>82</v>
      </c>
      <c r="E32" s="7">
        <v>207</v>
      </c>
      <c r="F32" s="7" t="s">
        <v>39</v>
      </c>
      <c r="G32" s="7">
        <v>8.6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pans="1:25" ht="16.8" x14ac:dyDescent="0.45">
      <c r="A33" s="7">
        <v>32</v>
      </c>
      <c r="B33" s="7" t="s">
        <v>85</v>
      </c>
      <c r="C33" s="7">
        <v>1946</v>
      </c>
      <c r="D33" s="7" t="s">
        <v>60</v>
      </c>
      <c r="E33" s="7">
        <v>130</v>
      </c>
      <c r="F33" s="7" t="s">
        <v>86</v>
      </c>
      <c r="G33" s="7">
        <v>8.6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:25" ht="16.8" x14ac:dyDescent="0.45">
      <c r="A34" s="7">
        <v>33</v>
      </c>
      <c r="B34" s="7" t="s">
        <v>87</v>
      </c>
      <c r="C34" s="7">
        <v>2019</v>
      </c>
      <c r="D34" s="7" t="s">
        <v>30</v>
      </c>
      <c r="E34" s="7">
        <v>122</v>
      </c>
      <c r="F34" s="7" t="s">
        <v>79</v>
      </c>
      <c r="G34" s="7">
        <v>8.5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1:25" ht="16.8" x14ac:dyDescent="0.45">
      <c r="A35" s="7">
        <v>34</v>
      </c>
      <c r="B35" s="7" t="s">
        <v>88</v>
      </c>
      <c r="C35" s="7">
        <v>2014</v>
      </c>
      <c r="D35" s="7" t="s">
        <v>30</v>
      </c>
      <c r="E35" s="7">
        <v>106</v>
      </c>
      <c r="F35" s="7" t="s">
        <v>89</v>
      </c>
      <c r="G35" s="7">
        <v>8.5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pans="1:25" ht="16.8" x14ac:dyDescent="0.45">
      <c r="A36" s="7">
        <v>35</v>
      </c>
      <c r="B36" s="7" t="s">
        <v>90</v>
      </c>
      <c r="C36" s="7">
        <v>2011</v>
      </c>
      <c r="D36" s="7" t="s">
        <v>30</v>
      </c>
      <c r="E36" s="7">
        <v>112</v>
      </c>
      <c r="F36" s="7" t="s">
        <v>91</v>
      </c>
      <c r="G36" s="7">
        <v>8.5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5" ht="16.8" x14ac:dyDescent="0.45">
      <c r="A37" s="7">
        <v>36</v>
      </c>
      <c r="B37" s="7" t="s">
        <v>92</v>
      </c>
      <c r="C37" s="7">
        <v>2006</v>
      </c>
      <c r="D37" s="7" t="s">
        <v>35</v>
      </c>
      <c r="E37" s="7">
        <v>130</v>
      </c>
      <c r="F37" s="7" t="s">
        <v>93</v>
      </c>
      <c r="G37" s="7">
        <v>8.5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spans="1:25" ht="16.8" x14ac:dyDescent="0.45">
      <c r="A38" s="7">
        <v>37</v>
      </c>
      <c r="B38" s="7" t="s">
        <v>94</v>
      </c>
      <c r="C38" s="7">
        <v>2006</v>
      </c>
      <c r="D38" s="7" t="s">
        <v>30</v>
      </c>
      <c r="E38" s="7">
        <v>151</v>
      </c>
      <c r="F38" s="7" t="s">
        <v>79</v>
      </c>
      <c r="G38" s="7">
        <v>8.5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5" ht="16.8" x14ac:dyDescent="0.45">
      <c r="A39" s="7">
        <v>38</v>
      </c>
      <c r="B39" s="7" t="s">
        <v>95</v>
      </c>
      <c r="C39" s="7">
        <v>2002</v>
      </c>
      <c r="D39" s="7" t="s">
        <v>30</v>
      </c>
      <c r="E39" s="7">
        <v>150</v>
      </c>
      <c r="F39" s="7" t="s">
        <v>96</v>
      </c>
      <c r="G39" s="7">
        <v>8.5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5" ht="16.8" x14ac:dyDescent="0.45">
      <c r="A40" s="7">
        <v>39</v>
      </c>
      <c r="B40" s="7" t="s">
        <v>97</v>
      </c>
      <c r="C40" s="7">
        <v>2000</v>
      </c>
      <c r="D40" s="7" t="s">
        <v>30</v>
      </c>
      <c r="E40" s="7">
        <v>155</v>
      </c>
      <c r="F40" s="7" t="s">
        <v>39</v>
      </c>
      <c r="G40" s="7">
        <v>8.5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5" ht="16.8" x14ac:dyDescent="0.45">
      <c r="A41" s="7">
        <v>40</v>
      </c>
      <c r="B41" s="7" t="s">
        <v>98</v>
      </c>
      <c r="C41" s="7">
        <v>1998</v>
      </c>
      <c r="D41" s="7" t="s">
        <v>30</v>
      </c>
      <c r="E41" s="7">
        <v>119</v>
      </c>
      <c r="F41" s="7" t="s">
        <v>31</v>
      </c>
      <c r="G41" s="7">
        <v>8.5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5" ht="16.8" x14ac:dyDescent="0.45">
      <c r="A42" s="7">
        <v>41</v>
      </c>
      <c r="B42" s="7" t="s">
        <v>99</v>
      </c>
      <c r="C42" s="7">
        <v>1995</v>
      </c>
      <c r="D42" s="7" t="s">
        <v>30</v>
      </c>
      <c r="E42" s="7">
        <v>106</v>
      </c>
      <c r="F42" s="7" t="s">
        <v>100</v>
      </c>
      <c r="G42" s="7">
        <v>8.5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1:25" ht="16.8" x14ac:dyDescent="0.45">
      <c r="A43" s="7">
        <v>42</v>
      </c>
      <c r="B43" s="7" t="s">
        <v>101</v>
      </c>
      <c r="C43" s="7">
        <v>1994</v>
      </c>
      <c r="D43" s="7" t="s">
        <v>30</v>
      </c>
      <c r="E43" s="7">
        <v>110</v>
      </c>
      <c r="F43" s="7" t="s">
        <v>36</v>
      </c>
      <c r="G43" s="7">
        <v>8.5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1:25" ht="16.8" x14ac:dyDescent="0.45">
      <c r="A44" s="7">
        <v>43</v>
      </c>
      <c r="B44" s="7" t="s">
        <v>102</v>
      </c>
      <c r="C44" s="7">
        <v>1994</v>
      </c>
      <c r="D44" s="7" t="s">
        <v>103</v>
      </c>
      <c r="E44" s="7">
        <v>88</v>
      </c>
      <c r="F44" s="7" t="s">
        <v>104</v>
      </c>
      <c r="G44" s="7">
        <v>8.5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:25" ht="16.8" x14ac:dyDescent="0.45">
      <c r="A45" s="7">
        <v>44</v>
      </c>
      <c r="B45" s="7" t="s">
        <v>105</v>
      </c>
      <c r="C45" s="7">
        <v>1991</v>
      </c>
      <c r="D45" s="7" t="s">
        <v>30</v>
      </c>
      <c r="E45" s="7">
        <v>137</v>
      </c>
      <c r="F45" s="7" t="s">
        <v>56</v>
      </c>
      <c r="G45" s="7">
        <v>8.5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1:25" ht="16.8" x14ac:dyDescent="0.45">
      <c r="A46" s="7">
        <v>45</v>
      </c>
      <c r="B46" s="7" t="s">
        <v>106</v>
      </c>
      <c r="C46" s="7">
        <v>1988</v>
      </c>
      <c r="D46" s="7" t="s">
        <v>30</v>
      </c>
      <c r="E46" s="7">
        <v>155</v>
      </c>
      <c r="F46" s="7" t="s">
        <v>31</v>
      </c>
      <c r="G46" s="7">
        <v>8.5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5" ht="16.8" x14ac:dyDescent="0.45">
      <c r="A47" s="7">
        <v>46</v>
      </c>
      <c r="B47" s="7" t="s">
        <v>107</v>
      </c>
      <c r="C47" s="7">
        <v>1988</v>
      </c>
      <c r="D47" s="7" t="s">
        <v>82</v>
      </c>
      <c r="E47" s="7">
        <v>89</v>
      </c>
      <c r="F47" s="7" t="s">
        <v>108</v>
      </c>
      <c r="G47" s="7">
        <v>8.5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25" ht="16.8" x14ac:dyDescent="0.45">
      <c r="A48" s="7">
        <v>47</v>
      </c>
      <c r="B48" s="7" t="s">
        <v>109</v>
      </c>
      <c r="C48" s="7">
        <v>1985</v>
      </c>
      <c r="D48" s="7" t="s">
        <v>60</v>
      </c>
      <c r="E48" s="7">
        <v>116</v>
      </c>
      <c r="F48" s="7" t="s">
        <v>110</v>
      </c>
      <c r="G48" s="7">
        <v>8.5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6.8" x14ac:dyDescent="0.45">
      <c r="A49" s="7">
        <v>48</v>
      </c>
      <c r="B49" s="7" t="s">
        <v>111</v>
      </c>
      <c r="C49" s="7">
        <v>1971</v>
      </c>
      <c r="D49" s="7" t="s">
        <v>82</v>
      </c>
      <c r="E49" s="7">
        <v>122</v>
      </c>
      <c r="F49" s="7" t="s">
        <v>112</v>
      </c>
      <c r="G49" s="7">
        <v>8.5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6.8" x14ac:dyDescent="0.45">
      <c r="A50" s="7">
        <v>49</v>
      </c>
      <c r="B50" s="7" t="s">
        <v>113</v>
      </c>
      <c r="C50" s="7">
        <v>1968</v>
      </c>
      <c r="D50" s="7" t="s">
        <v>35</v>
      </c>
      <c r="E50" s="7">
        <v>165</v>
      </c>
      <c r="F50" s="7" t="s">
        <v>52</v>
      </c>
      <c r="G50" s="7">
        <v>8.5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6.8" x14ac:dyDescent="0.45">
      <c r="A51" s="7">
        <v>50</v>
      </c>
      <c r="B51" s="7" t="s">
        <v>114</v>
      </c>
      <c r="C51" s="7">
        <v>1960</v>
      </c>
      <c r="D51" s="7" t="s">
        <v>30</v>
      </c>
      <c r="E51" s="7">
        <v>109</v>
      </c>
      <c r="F51" s="7" t="s">
        <v>115</v>
      </c>
      <c r="G51" s="7">
        <v>8.5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6.8" x14ac:dyDescent="0.45">
      <c r="A52" s="7">
        <v>51</v>
      </c>
      <c r="B52" s="7" t="s">
        <v>116</v>
      </c>
      <c r="C52" s="7">
        <v>1942</v>
      </c>
      <c r="D52" s="7" t="s">
        <v>60</v>
      </c>
      <c r="E52" s="7">
        <v>102</v>
      </c>
      <c r="F52" s="7" t="s">
        <v>117</v>
      </c>
      <c r="G52" s="7">
        <v>8.5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6.8" x14ac:dyDescent="0.45">
      <c r="A53" s="7">
        <v>52</v>
      </c>
      <c r="B53" s="7" t="s">
        <v>118</v>
      </c>
      <c r="C53" s="7">
        <v>1936</v>
      </c>
      <c r="D53" s="7" t="s">
        <v>103</v>
      </c>
      <c r="E53" s="7">
        <v>87</v>
      </c>
      <c r="F53" s="7" t="s">
        <v>119</v>
      </c>
      <c r="G53" s="7">
        <v>8.5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6.8" x14ac:dyDescent="0.45">
      <c r="A54" s="7">
        <v>53</v>
      </c>
      <c r="B54" s="7" t="s">
        <v>120</v>
      </c>
      <c r="C54" s="7">
        <v>1931</v>
      </c>
      <c r="D54" s="7" t="s">
        <v>103</v>
      </c>
      <c r="E54" s="7">
        <v>87</v>
      </c>
      <c r="F54" s="7" t="s">
        <v>75</v>
      </c>
      <c r="G54" s="7">
        <v>8.5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6.8" x14ac:dyDescent="0.45">
      <c r="A55" s="7">
        <v>54</v>
      </c>
      <c r="B55" s="7" t="s">
        <v>121</v>
      </c>
      <c r="C55" s="7">
        <v>2018</v>
      </c>
      <c r="D55" s="7" t="s">
        <v>30</v>
      </c>
      <c r="E55" s="7">
        <v>126</v>
      </c>
      <c r="F55" s="7" t="s">
        <v>31</v>
      </c>
      <c r="G55" s="7">
        <v>8.4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6.8" x14ac:dyDescent="0.45">
      <c r="A56" s="7">
        <v>55</v>
      </c>
      <c r="B56" s="7" t="s">
        <v>122</v>
      </c>
      <c r="C56" s="7">
        <v>2017</v>
      </c>
      <c r="D56" s="7"/>
      <c r="E56" s="7">
        <v>125</v>
      </c>
      <c r="F56" s="7" t="s">
        <v>42</v>
      </c>
      <c r="G56" s="7">
        <v>8.4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6.8" x14ac:dyDescent="0.45">
      <c r="A57" s="7">
        <v>56</v>
      </c>
      <c r="B57" s="7" t="s">
        <v>123</v>
      </c>
      <c r="C57" s="7">
        <v>2016</v>
      </c>
      <c r="D57" s="7" t="s">
        <v>60</v>
      </c>
      <c r="E57" s="7">
        <v>106</v>
      </c>
      <c r="F57" s="7" t="s">
        <v>124</v>
      </c>
      <c r="G57" s="7">
        <v>8.4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6.8" x14ac:dyDescent="0.45">
      <c r="A58" s="7">
        <v>57</v>
      </c>
      <c r="B58" s="7" t="s">
        <v>125</v>
      </c>
      <c r="C58" s="7">
        <v>2016</v>
      </c>
      <c r="D58" s="7" t="s">
        <v>82</v>
      </c>
      <c r="E58" s="7">
        <v>161</v>
      </c>
      <c r="F58" s="7" t="s">
        <v>126</v>
      </c>
      <c r="G58" s="7">
        <v>8.4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6.8" x14ac:dyDescent="0.45">
      <c r="A59" s="7">
        <v>58</v>
      </c>
      <c r="B59" s="7" t="s">
        <v>127</v>
      </c>
      <c r="C59" s="7">
        <v>2018</v>
      </c>
      <c r="D59" s="7" t="s">
        <v>60</v>
      </c>
      <c r="E59" s="7">
        <v>117</v>
      </c>
      <c r="F59" s="7" t="s">
        <v>128</v>
      </c>
      <c r="G59" s="7">
        <v>8.4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6.8" x14ac:dyDescent="0.45">
      <c r="A60" s="7">
        <v>59</v>
      </c>
      <c r="B60" s="7" t="s">
        <v>129</v>
      </c>
      <c r="C60" s="7">
        <v>2019</v>
      </c>
      <c r="D60" s="7" t="s">
        <v>35</v>
      </c>
      <c r="E60" s="7">
        <v>181</v>
      </c>
      <c r="F60" s="7" t="s">
        <v>39</v>
      </c>
      <c r="G60" s="7">
        <v>8.4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6.8" x14ac:dyDescent="0.45">
      <c r="A61" s="7">
        <v>60</v>
      </c>
      <c r="B61" s="7" t="s">
        <v>130</v>
      </c>
      <c r="C61" s="7">
        <v>2018</v>
      </c>
      <c r="D61" s="7" t="s">
        <v>35</v>
      </c>
      <c r="E61" s="7">
        <v>149</v>
      </c>
      <c r="F61" s="7" t="s">
        <v>46</v>
      </c>
      <c r="G61" s="7">
        <v>8.4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6.8" x14ac:dyDescent="0.45">
      <c r="A62" s="7">
        <v>61</v>
      </c>
      <c r="B62" s="7" t="s">
        <v>131</v>
      </c>
      <c r="C62" s="7">
        <v>2017</v>
      </c>
      <c r="D62" s="7" t="s">
        <v>60</v>
      </c>
      <c r="E62" s="7">
        <v>105</v>
      </c>
      <c r="F62" s="7" t="s">
        <v>69</v>
      </c>
      <c r="G62" s="7">
        <v>8.4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6.8" x14ac:dyDescent="0.45">
      <c r="A63" s="7">
        <v>62</v>
      </c>
      <c r="B63" s="7" t="s">
        <v>132</v>
      </c>
      <c r="C63" s="7">
        <v>2012</v>
      </c>
      <c r="D63" s="7" t="s">
        <v>30</v>
      </c>
      <c r="E63" s="7">
        <v>165</v>
      </c>
      <c r="F63" s="7" t="s">
        <v>133</v>
      </c>
      <c r="G63" s="7">
        <v>8.4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6.8" x14ac:dyDescent="0.45">
      <c r="A64" s="7">
        <v>63</v>
      </c>
      <c r="B64" s="7" t="s">
        <v>134</v>
      </c>
      <c r="C64" s="7">
        <v>2012</v>
      </c>
      <c r="D64" s="7" t="s">
        <v>35</v>
      </c>
      <c r="E64" s="7">
        <v>164</v>
      </c>
      <c r="F64" s="7" t="s">
        <v>135</v>
      </c>
      <c r="G64" s="7">
        <v>8.4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6.8" x14ac:dyDescent="0.45">
      <c r="A65" s="7">
        <v>64</v>
      </c>
      <c r="B65" s="7" t="s">
        <v>136</v>
      </c>
      <c r="C65" s="7">
        <v>2009</v>
      </c>
      <c r="D65" s="7" t="s">
        <v>35</v>
      </c>
      <c r="E65" s="7">
        <v>170</v>
      </c>
      <c r="F65" s="7" t="s">
        <v>137</v>
      </c>
      <c r="G65" s="7">
        <v>8.4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6.8" x14ac:dyDescent="0.45">
      <c r="A66" s="7">
        <v>65</v>
      </c>
      <c r="B66" s="7" t="s">
        <v>138</v>
      </c>
      <c r="C66" s="7">
        <v>2007</v>
      </c>
      <c r="D66" s="7" t="s">
        <v>60</v>
      </c>
      <c r="E66" s="7">
        <v>165</v>
      </c>
      <c r="F66" s="7" t="s">
        <v>139</v>
      </c>
      <c r="G66" s="7">
        <v>8.4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6.8" x14ac:dyDescent="0.45">
      <c r="A67" s="7">
        <v>66</v>
      </c>
      <c r="B67" s="7" t="s">
        <v>140</v>
      </c>
      <c r="C67" s="7">
        <v>2008</v>
      </c>
      <c r="D67" s="7" t="s">
        <v>103</v>
      </c>
      <c r="E67" s="7">
        <v>98</v>
      </c>
      <c r="F67" s="7" t="s">
        <v>69</v>
      </c>
      <c r="G67" s="7">
        <v>8.4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6.8" x14ac:dyDescent="0.45">
      <c r="A68" s="7">
        <v>67</v>
      </c>
      <c r="B68" s="7" t="s">
        <v>141</v>
      </c>
      <c r="C68" s="7">
        <v>2006</v>
      </c>
      <c r="D68" s="7" t="s">
        <v>30</v>
      </c>
      <c r="E68" s="7">
        <v>137</v>
      </c>
      <c r="F68" s="7" t="s">
        <v>142</v>
      </c>
      <c r="G68" s="7">
        <v>8.4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6.8" x14ac:dyDescent="0.45">
      <c r="A69" s="7">
        <v>68</v>
      </c>
      <c r="B69" s="7" t="s">
        <v>143</v>
      </c>
      <c r="C69" s="7">
        <v>2003</v>
      </c>
      <c r="D69" s="7" t="s">
        <v>30</v>
      </c>
      <c r="E69" s="7">
        <v>120</v>
      </c>
      <c r="F69" s="7" t="s">
        <v>83</v>
      </c>
      <c r="G69" s="7">
        <v>8.4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6.8" x14ac:dyDescent="0.45">
      <c r="A70" s="7">
        <v>69</v>
      </c>
      <c r="B70" s="7" t="s">
        <v>144</v>
      </c>
      <c r="C70" s="7">
        <v>2000</v>
      </c>
      <c r="D70" s="7" t="s">
        <v>30</v>
      </c>
      <c r="E70" s="7">
        <v>113</v>
      </c>
      <c r="F70" s="7" t="s">
        <v>145</v>
      </c>
      <c r="G70" s="7">
        <v>8.4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6.8" x14ac:dyDescent="0.45">
      <c r="A71" s="7">
        <v>70</v>
      </c>
      <c r="B71" s="7" t="s">
        <v>146</v>
      </c>
      <c r="C71" s="7">
        <v>1997</v>
      </c>
      <c r="D71" s="7" t="s">
        <v>35</v>
      </c>
      <c r="E71" s="7">
        <v>134</v>
      </c>
      <c r="F71" s="7" t="s">
        <v>147</v>
      </c>
      <c r="G71" s="7">
        <v>8.4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6.8" x14ac:dyDescent="0.45">
      <c r="A72" s="7">
        <v>71</v>
      </c>
      <c r="B72" s="7" t="s">
        <v>148</v>
      </c>
      <c r="C72" s="7">
        <v>1984</v>
      </c>
      <c r="D72" s="7" t="s">
        <v>30</v>
      </c>
      <c r="E72" s="7">
        <v>229</v>
      </c>
      <c r="F72" s="7" t="s">
        <v>33</v>
      </c>
      <c r="G72" s="7">
        <v>8.4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6.8" x14ac:dyDescent="0.45">
      <c r="A73" s="7">
        <v>72</v>
      </c>
      <c r="B73" s="7" t="s">
        <v>149</v>
      </c>
      <c r="C73" s="7">
        <v>1981</v>
      </c>
      <c r="D73" s="7" t="s">
        <v>60</v>
      </c>
      <c r="E73" s="7">
        <v>115</v>
      </c>
      <c r="F73" s="7" t="s">
        <v>135</v>
      </c>
      <c r="G73" s="7">
        <v>8.4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6.8" x14ac:dyDescent="0.45">
      <c r="A74" s="7">
        <v>73</v>
      </c>
      <c r="B74" s="7" t="s">
        <v>150</v>
      </c>
      <c r="C74" s="7">
        <v>1980</v>
      </c>
      <c r="D74" s="7" t="s">
        <v>30</v>
      </c>
      <c r="E74" s="7">
        <v>146</v>
      </c>
      <c r="F74" s="7" t="s">
        <v>151</v>
      </c>
      <c r="G74" s="7">
        <v>8.4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6.8" x14ac:dyDescent="0.45">
      <c r="A75" s="7">
        <v>74</v>
      </c>
      <c r="B75" s="7" t="s">
        <v>152</v>
      </c>
      <c r="C75" s="7">
        <v>1979</v>
      </c>
      <c r="D75" s="7" t="s">
        <v>30</v>
      </c>
      <c r="E75" s="7">
        <v>147</v>
      </c>
      <c r="F75" s="7" t="s">
        <v>153</v>
      </c>
      <c r="G75" s="7">
        <v>8.4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6.8" x14ac:dyDescent="0.45">
      <c r="A76" s="7">
        <v>75</v>
      </c>
      <c r="B76" s="7" t="s">
        <v>154</v>
      </c>
      <c r="C76" s="7">
        <v>1979</v>
      </c>
      <c r="D76" s="7" t="s">
        <v>30</v>
      </c>
      <c r="E76" s="7">
        <v>117</v>
      </c>
      <c r="F76" s="7" t="s">
        <v>155</v>
      </c>
      <c r="G76" s="7">
        <v>8.4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6.8" x14ac:dyDescent="0.45">
      <c r="A77" s="7">
        <v>76</v>
      </c>
      <c r="B77" s="7" t="s">
        <v>156</v>
      </c>
      <c r="C77" s="7">
        <v>1963</v>
      </c>
      <c r="D77" s="7" t="s">
        <v>82</v>
      </c>
      <c r="E77" s="7">
        <v>143</v>
      </c>
      <c r="F77" s="7" t="s">
        <v>77</v>
      </c>
      <c r="G77" s="7">
        <v>8.4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6.8" x14ac:dyDescent="0.45">
      <c r="A78" s="7">
        <v>77</v>
      </c>
      <c r="B78" s="7" t="s">
        <v>157</v>
      </c>
      <c r="C78" s="7">
        <v>1964</v>
      </c>
      <c r="D78" s="7" t="s">
        <v>60</v>
      </c>
      <c r="E78" s="7">
        <v>95</v>
      </c>
      <c r="F78" s="7" t="s">
        <v>158</v>
      </c>
      <c r="G78" s="7">
        <v>8.4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spans="1:25" ht="16.8" x14ac:dyDescent="0.45">
      <c r="A79" s="7">
        <v>78</v>
      </c>
      <c r="B79" s="7" t="s">
        <v>159</v>
      </c>
      <c r="C79" s="7">
        <v>1957</v>
      </c>
      <c r="D79" s="7" t="s">
        <v>44</v>
      </c>
      <c r="E79" s="7">
        <v>116</v>
      </c>
      <c r="F79" s="7" t="s">
        <v>77</v>
      </c>
      <c r="G79" s="7">
        <v>8.4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spans="1:25" ht="16.8" x14ac:dyDescent="0.45">
      <c r="A80" s="7">
        <v>79</v>
      </c>
      <c r="B80" s="7" t="s">
        <v>160</v>
      </c>
      <c r="C80" s="7">
        <v>1957</v>
      </c>
      <c r="D80" s="7" t="s">
        <v>44</v>
      </c>
      <c r="E80" s="7">
        <v>88</v>
      </c>
      <c r="F80" s="7" t="s">
        <v>71</v>
      </c>
      <c r="G80" s="7">
        <v>8.4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spans="1:25" ht="16.8" x14ac:dyDescent="0.45">
      <c r="A81" s="7">
        <v>80</v>
      </c>
      <c r="B81" s="7" t="s">
        <v>161</v>
      </c>
      <c r="C81" s="7">
        <v>1954</v>
      </c>
      <c r="D81" s="7" t="s">
        <v>60</v>
      </c>
      <c r="E81" s="7">
        <v>112</v>
      </c>
      <c r="F81" s="7" t="s">
        <v>145</v>
      </c>
      <c r="G81" s="7">
        <v>8.4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spans="1:25" ht="16.8" x14ac:dyDescent="0.45">
      <c r="A82" s="7">
        <v>81</v>
      </c>
      <c r="B82" s="7" t="s">
        <v>162</v>
      </c>
      <c r="C82" s="7">
        <v>1950</v>
      </c>
      <c r="D82" s="7" t="s">
        <v>163</v>
      </c>
      <c r="E82" s="7">
        <v>110</v>
      </c>
      <c r="F82" s="7" t="s">
        <v>164</v>
      </c>
      <c r="G82" s="7">
        <v>8.4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spans="1:25" ht="16.8" x14ac:dyDescent="0.45">
      <c r="A83" s="7">
        <v>82</v>
      </c>
      <c r="B83" s="7" t="s">
        <v>165</v>
      </c>
      <c r="C83" s="7">
        <v>1940</v>
      </c>
      <c r="D83" s="7" t="s">
        <v>163</v>
      </c>
      <c r="E83" s="7">
        <v>125</v>
      </c>
      <c r="F83" s="7" t="s">
        <v>166</v>
      </c>
      <c r="G83" s="7">
        <v>8.4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spans="1:25" ht="16.8" x14ac:dyDescent="0.45">
      <c r="A84" s="7">
        <v>83</v>
      </c>
      <c r="B84" s="7">
        <v>1917</v>
      </c>
      <c r="C84" s="7">
        <v>2019</v>
      </c>
      <c r="D84" s="7" t="s">
        <v>30</v>
      </c>
      <c r="E84" s="7">
        <v>119</v>
      </c>
      <c r="F84" s="7" t="s">
        <v>71</v>
      </c>
      <c r="G84" s="7">
        <v>8.3000000000000007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spans="1:25" ht="16.8" x14ac:dyDescent="0.45">
      <c r="A85" s="7">
        <v>84</v>
      </c>
      <c r="B85" s="7" t="s">
        <v>167</v>
      </c>
      <c r="C85" s="7">
        <v>2019</v>
      </c>
      <c r="D85" s="7" t="s">
        <v>82</v>
      </c>
      <c r="E85" s="7">
        <v>138</v>
      </c>
      <c r="F85" s="7" t="s">
        <v>168</v>
      </c>
      <c r="G85" s="7">
        <v>8.3000000000000007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spans="1:25" ht="16.8" x14ac:dyDescent="0.45">
      <c r="A86" s="7">
        <v>85</v>
      </c>
      <c r="B86" s="7" t="s">
        <v>169</v>
      </c>
      <c r="C86" s="7">
        <v>2018</v>
      </c>
      <c r="D86" s="7" t="s">
        <v>82</v>
      </c>
      <c r="E86" s="7">
        <v>104</v>
      </c>
      <c r="F86" s="7" t="s">
        <v>170</v>
      </c>
      <c r="G86" s="7">
        <v>8.3000000000000007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spans="1:25" ht="16.8" x14ac:dyDescent="0.45">
      <c r="A87" s="7">
        <v>86</v>
      </c>
      <c r="B87" s="7" t="s">
        <v>171</v>
      </c>
      <c r="C87" s="7">
        <v>2018</v>
      </c>
      <c r="D87" s="7" t="s">
        <v>82</v>
      </c>
      <c r="E87" s="7">
        <v>139</v>
      </c>
      <c r="F87" s="7" t="s">
        <v>172</v>
      </c>
      <c r="G87" s="7">
        <v>8.3000000000000007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spans="1:25" ht="16.8" x14ac:dyDescent="0.45">
      <c r="A88" s="7">
        <v>87</v>
      </c>
      <c r="B88" s="7" t="s">
        <v>173</v>
      </c>
      <c r="C88" s="7">
        <v>2013</v>
      </c>
      <c r="D88" s="7" t="s">
        <v>82</v>
      </c>
      <c r="E88" s="7">
        <v>160</v>
      </c>
      <c r="F88" s="7" t="s">
        <v>79</v>
      </c>
      <c r="G88" s="7">
        <v>8.3000000000000007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spans="1:25" ht="16.8" x14ac:dyDescent="0.45">
      <c r="A89" s="7">
        <v>88</v>
      </c>
      <c r="B89" s="7" t="s">
        <v>174</v>
      </c>
      <c r="C89" s="7">
        <v>2012</v>
      </c>
      <c r="D89" s="7" t="s">
        <v>30</v>
      </c>
      <c r="E89" s="7">
        <v>115</v>
      </c>
      <c r="F89" s="7" t="s">
        <v>31</v>
      </c>
      <c r="G89" s="7">
        <v>8.3000000000000007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spans="1:25" ht="16.8" x14ac:dyDescent="0.45">
      <c r="A90" s="7">
        <v>89</v>
      </c>
      <c r="B90" s="7" t="s">
        <v>175</v>
      </c>
      <c r="C90" s="7">
        <v>2011</v>
      </c>
      <c r="D90" s="7" t="s">
        <v>35</v>
      </c>
      <c r="E90" s="7">
        <v>123</v>
      </c>
      <c r="F90" s="7" t="s">
        <v>176</v>
      </c>
      <c r="G90" s="7">
        <v>8.3000000000000007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spans="1:25" ht="16.8" x14ac:dyDescent="0.45">
      <c r="A91" s="7">
        <v>90</v>
      </c>
      <c r="B91" s="7" t="s">
        <v>177</v>
      </c>
      <c r="C91" s="7">
        <v>2010</v>
      </c>
      <c r="D91" s="7" t="s">
        <v>30</v>
      </c>
      <c r="E91" s="7">
        <v>131</v>
      </c>
      <c r="F91" s="7" t="s">
        <v>153</v>
      </c>
      <c r="G91" s="7">
        <v>8.3000000000000007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spans="1:25" ht="16.8" x14ac:dyDescent="0.45">
      <c r="A92" s="7">
        <v>91</v>
      </c>
      <c r="B92" s="7" t="s">
        <v>178</v>
      </c>
      <c r="C92" s="7">
        <v>2019</v>
      </c>
      <c r="D92" s="7"/>
      <c r="E92" s="7">
        <v>132</v>
      </c>
      <c r="F92" s="7" t="s">
        <v>31</v>
      </c>
      <c r="G92" s="7">
        <v>8.3000000000000007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spans="1:25" ht="16.8" x14ac:dyDescent="0.45">
      <c r="A93" s="7">
        <v>92</v>
      </c>
      <c r="B93" s="7" t="s">
        <v>179</v>
      </c>
      <c r="C93" s="7">
        <v>2005</v>
      </c>
      <c r="D93" s="7"/>
      <c r="E93" s="7">
        <v>112</v>
      </c>
      <c r="F93" s="7" t="s">
        <v>139</v>
      </c>
      <c r="G93" s="7">
        <v>8.3000000000000007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spans="1:25" ht="16.8" x14ac:dyDescent="0.45">
      <c r="A94" s="7">
        <v>93</v>
      </c>
      <c r="B94" s="7" t="s">
        <v>180</v>
      </c>
      <c r="C94" s="7">
        <v>2010</v>
      </c>
      <c r="D94" s="7" t="s">
        <v>103</v>
      </c>
      <c r="E94" s="7">
        <v>103</v>
      </c>
      <c r="F94" s="7" t="s">
        <v>181</v>
      </c>
      <c r="G94" s="7">
        <v>8.3000000000000007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spans="1:25" ht="16.8" x14ac:dyDescent="0.45">
      <c r="A95" s="7">
        <v>94</v>
      </c>
      <c r="B95" s="7" t="s">
        <v>182</v>
      </c>
      <c r="C95" s="7">
        <v>2009</v>
      </c>
      <c r="D95" s="7" t="s">
        <v>30</v>
      </c>
      <c r="E95" s="7">
        <v>153</v>
      </c>
      <c r="F95" s="7" t="s">
        <v>183</v>
      </c>
      <c r="G95" s="7">
        <v>8.3000000000000007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spans="1:25" ht="16.8" x14ac:dyDescent="0.45">
      <c r="A96" s="7">
        <v>95</v>
      </c>
      <c r="B96" s="7" t="s">
        <v>184</v>
      </c>
      <c r="C96" s="7">
        <v>2004</v>
      </c>
      <c r="D96" s="7" t="s">
        <v>30</v>
      </c>
      <c r="E96" s="7">
        <v>108</v>
      </c>
      <c r="F96" s="7" t="s">
        <v>185</v>
      </c>
      <c r="G96" s="7">
        <v>8.3000000000000007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spans="1:25" ht="16.8" x14ac:dyDescent="0.45">
      <c r="A97" s="7">
        <v>96</v>
      </c>
      <c r="B97" s="7" t="s">
        <v>186</v>
      </c>
      <c r="C97" s="7">
        <v>2001</v>
      </c>
      <c r="D97" s="7" t="s">
        <v>30</v>
      </c>
      <c r="E97" s="7">
        <v>122</v>
      </c>
      <c r="F97" s="7" t="s">
        <v>187</v>
      </c>
      <c r="G97" s="7">
        <v>8.3000000000000007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spans="1:25" ht="16.8" x14ac:dyDescent="0.45">
      <c r="A98" s="7">
        <v>97</v>
      </c>
      <c r="B98" s="7" t="s">
        <v>188</v>
      </c>
      <c r="C98" s="7">
        <v>2000</v>
      </c>
      <c r="D98" s="7" t="s">
        <v>30</v>
      </c>
      <c r="E98" s="7">
        <v>102</v>
      </c>
      <c r="F98" s="7" t="s">
        <v>189</v>
      </c>
      <c r="G98" s="7">
        <v>8.3000000000000007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spans="1:25" ht="16.8" x14ac:dyDescent="0.45">
      <c r="A99" s="7">
        <v>98</v>
      </c>
      <c r="B99" s="7" t="s">
        <v>190</v>
      </c>
      <c r="C99" s="7">
        <v>2000</v>
      </c>
      <c r="D99" s="7" t="s">
        <v>30</v>
      </c>
      <c r="E99" s="7">
        <v>102</v>
      </c>
      <c r="F99" s="7" t="s">
        <v>31</v>
      </c>
      <c r="G99" s="7">
        <v>8.3000000000000007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spans="1:25" ht="16.8" x14ac:dyDescent="0.45">
      <c r="A100" s="7">
        <v>99</v>
      </c>
      <c r="B100" s="7" t="s">
        <v>191</v>
      </c>
      <c r="C100" s="7">
        <v>1999</v>
      </c>
      <c r="D100" s="7" t="s">
        <v>30</v>
      </c>
      <c r="E100" s="7">
        <v>122</v>
      </c>
      <c r="F100" s="7" t="s">
        <v>31</v>
      </c>
      <c r="G100" s="7">
        <v>8.3000000000000007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spans="1:25" ht="16.8" x14ac:dyDescent="0.45">
      <c r="A101" s="7">
        <v>100</v>
      </c>
      <c r="B101" s="7" t="s">
        <v>192</v>
      </c>
      <c r="C101" s="7">
        <v>1997</v>
      </c>
      <c r="D101" s="7" t="s">
        <v>30</v>
      </c>
      <c r="E101" s="7">
        <v>126</v>
      </c>
      <c r="F101" s="7" t="s">
        <v>50</v>
      </c>
      <c r="G101" s="7">
        <v>8.3000000000000007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spans="1:25" ht="16.8" x14ac:dyDescent="0.45">
      <c r="A102" s="7"/>
      <c r="B102" s="7"/>
      <c r="C102" s="7"/>
      <c r="D102" s="7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spans="1:25" ht="16.8" x14ac:dyDescent="0.45">
      <c r="A103" s="7"/>
      <c r="B103" s="7"/>
      <c r="C103" s="7"/>
      <c r="D103" s="7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spans="1:25" ht="16.8" x14ac:dyDescent="0.45">
      <c r="A104" s="7"/>
      <c r="B104" s="7"/>
      <c r="C104" s="7"/>
      <c r="D104" s="7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spans="1:25" ht="16.8" x14ac:dyDescent="0.45">
      <c r="A105" s="7"/>
      <c r="B105" s="7"/>
      <c r="C105" s="7"/>
      <c r="D105" s="7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spans="1:25" ht="16.8" x14ac:dyDescent="0.45">
      <c r="A106" s="7"/>
      <c r="B106" s="7"/>
      <c r="C106" s="7"/>
      <c r="D106" s="7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spans="1:25" ht="16.8" x14ac:dyDescent="0.45">
      <c r="A107" s="7"/>
      <c r="B107" s="7"/>
      <c r="C107" s="7"/>
      <c r="D107" s="7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spans="1:25" ht="16.8" x14ac:dyDescent="0.45">
      <c r="A108" s="7"/>
      <c r="B108" s="7"/>
      <c r="C108" s="7"/>
      <c r="D108" s="7"/>
      <c r="E108" s="7"/>
      <c r="F108" s="7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spans="1:25" ht="16.8" x14ac:dyDescent="0.45">
      <c r="A109" s="7"/>
      <c r="B109" s="7"/>
      <c r="C109" s="7"/>
      <c r="D109" s="7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spans="1:25" ht="16.8" x14ac:dyDescent="0.45">
      <c r="A110" s="7"/>
      <c r="B110" s="7"/>
      <c r="C110" s="7"/>
      <c r="D110" s="7"/>
      <c r="E110" s="7"/>
      <c r="F110" s="7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spans="1:25" ht="16.8" x14ac:dyDescent="0.45">
      <c r="A111" s="7"/>
      <c r="B111" s="7"/>
      <c r="C111" s="7"/>
      <c r="D111" s="7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spans="1:25" ht="16.8" x14ac:dyDescent="0.45">
      <c r="A112" s="7"/>
      <c r="B112" s="7"/>
      <c r="C112" s="7"/>
      <c r="D112" s="7"/>
      <c r="E112" s="7"/>
      <c r="F112" s="7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spans="1:25" ht="16.8" x14ac:dyDescent="0.45">
      <c r="A113" s="7"/>
      <c r="B113" s="7"/>
      <c r="C113" s="7"/>
      <c r="D113" s="7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spans="1:25" ht="16.8" x14ac:dyDescent="0.45">
      <c r="A114" s="7"/>
      <c r="B114" s="7"/>
      <c r="C114" s="7"/>
      <c r="D114" s="7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spans="1:25" ht="16.8" x14ac:dyDescent="0.45">
      <c r="A115" s="7"/>
      <c r="B115" s="7"/>
      <c r="C115" s="7"/>
      <c r="D115" s="7"/>
      <c r="E115" s="7"/>
      <c r="F115" s="7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spans="1:25" ht="16.8" x14ac:dyDescent="0.45">
      <c r="A116" s="7"/>
      <c r="B116" s="7"/>
      <c r="C116" s="7"/>
      <c r="D116" s="7"/>
      <c r="E116" s="7"/>
      <c r="F116" s="7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spans="1:25" ht="16.8" x14ac:dyDescent="0.45">
      <c r="A117" s="7"/>
      <c r="B117" s="7"/>
      <c r="C117" s="7"/>
      <c r="D117" s="7"/>
      <c r="E117" s="7"/>
      <c r="F117" s="7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spans="1:25" ht="16.8" x14ac:dyDescent="0.45">
      <c r="A118" s="7"/>
      <c r="B118" s="7"/>
      <c r="C118" s="7"/>
      <c r="D118" s="7"/>
      <c r="E118" s="7"/>
      <c r="F118" s="7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spans="1:25" ht="16.8" x14ac:dyDescent="0.45">
      <c r="A119" s="7"/>
      <c r="B119" s="7"/>
      <c r="C119" s="7"/>
      <c r="D119" s="7"/>
      <c r="E119" s="7"/>
      <c r="F119" s="7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spans="1:25" ht="16.8" x14ac:dyDescent="0.45">
      <c r="A120" s="7"/>
      <c r="B120" s="7"/>
      <c r="C120" s="7"/>
      <c r="D120" s="7"/>
      <c r="E120" s="7"/>
      <c r="F120" s="7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spans="1:25" ht="16.8" x14ac:dyDescent="0.45">
      <c r="A121" s="7"/>
      <c r="B121" s="7"/>
      <c r="C121" s="7"/>
      <c r="D121" s="7"/>
      <c r="E121" s="7"/>
      <c r="F121" s="7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spans="1:25" ht="16.8" x14ac:dyDescent="0.45">
      <c r="A122" s="7"/>
      <c r="B122" s="7"/>
      <c r="C122" s="7"/>
      <c r="D122" s="7"/>
      <c r="E122" s="7"/>
      <c r="F122" s="7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spans="1:25" ht="16.8" x14ac:dyDescent="0.45">
      <c r="A123" s="7"/>
      <c r="B123" s="7"/>
      <c r="C123" s="7"/>
      <c r="D123" s="7"/>
      <c r="E123" s="7"/>
      <c r="F123" s="7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spans="1:25" ht="16.8" x14ac:dyDescent="0.45">
      <c r="A124" s="7"/>
      <c r="B124" s="7"/>
      <c r="C124" s="7"/>
      <c r="D124" s="7"/>
      <c r="E124" s="7"/>
      <c r="F124" s="7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spans="1:25" ht="16.8" x14ac:dyDescent="0.45">
      <c r="A125" s="7"/>
      <c r="B125" s="7"/>
      <c r="C125" s="7"/>
      <c r="D125" s="7"/>
      <c r="E125" s="7"/>
      <c r="F125" s="7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spans="1:25" ht="16.8" x14ac:dyDescent="0.45">
      <c r="A126" s="7"/>
      <c r="B126" s="7"/>
      <c r="C126" s="7"/>
      <c r="D126" s="7"/>
      <c r="E126" s="7"/>
      <c r="F126" s="7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spans="1:25" ht="16.8" x14ac:dyDescent="0.45">
      <c r="A127" s="7"/>
      <c r="B127" s="7"/>
      <c r="C127" s="7"/>
      <c r="D127" s="7"/>
      <c r="E127" s="7"/>
      <c r="F127" s="7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spans="1:25" ht="16.8" x14ac:dyDescent="0.45">
      <c r="A128" s="7"/>
      <c r="B128" s="7"/>
      <c r="C128" s="7"/>
      <c r="D128" s="7"/>
      <c r="E128" s="7"/>
      <c r="F128" s="7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spans="1:25" ht="16.8" x14ac:dyDescent="0.45">
      <c r="A129" s="7"/>
      <c r="B129" s="7"/>
      <c r="C129" s="7"/>
      <c r="D129" s="7"/>
      <c r="E129" s="7"/>
      <c r="F129" s="7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spans="1:25" ht="16.8" x14ac:dyDescent="0.45">
      <c r="A130" s="7"/>
      <c r="B130" s="7"/>
      <c r="C130" s="7"/>
      <c r="D130" s="7"/>
      <c r="E130" s="7"/>
      <c r="F130" s="7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spans="1:25" ht="16.8" x14ac:dyDescent="0.45">
      <c r="A131" s="7"/>
      <c r="B131" s="7"/>
      <c r="C131" s="7"/>
      <c r="D131" s="7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spans="1:25" ht="16.8" x14ac:dyDescent="0.45">
      <c r="A132" s="7"/>
      <c r="B132" s="7"/>
      <c r="C132" s="7"/>
      <c r="D132" s="7"/>
      <c r="E132" s="7"/>
      <c r="F132" s="7"/>
      <c r="G132" s="7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spans="1:25" ht="16.8" x14ac:dyDescent="0.45">
      <c r="A133" s="7"/>
      <c r="B133" s="7"/>
      <c r="C133" s="7"/>
      <c r="D133" s="7"/>
      <c r="E133" s="7"/>
      <c r="F133" s="7"/>
      <c r="G133" s="7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spans="1:25" ht="16.8" x14ac:dyDescent="0.45">
      <c r="A134" s="7"/>
      <c r="B134" s="7"/>
      <c r="C134" s="7"/>
      <c r="D134" s="7"/>
      <c r="E134" s="7"/>
      <c r="F134" s="7"/>
      <c r="G134" s="7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spans="1:25" ht="16.8" x14ac:dyDescent="0.45">
      <c r="A135" s="7"/>
      <c r="B135" s="7"/>
      <c r="C135" s="7"/>
      <c r="D135" s="7"/>
      <c r="E135" s="7"/>
      <c r="F135" s="7"/>
      <c r="G135" s="7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spans="1:25" ht="16.8" x14ac:dyDescent="0.45">
      <c r="A136" s="7"/>
      <c r="B136" s="7"/>
      <c r="C136" s="7"/>
      <c r="D136" s="7"/>
      <c r="E136" s="7"/>
      <c r="F136" s="7"/>
      <c r="G136" s="7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spans="1:25" ht="16.8" x14ac:dyDescent="0.45">
      <c r="A137" s="7"/>
      <c r="B137" s="7"/>
      <c r="C137" s="7"/>
      <c r="D137" s="7"/>
      <c r="E137" s="7"/>
      <c r="F137" s="7"/>
      <c r="G137" s="7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spans="1:25" ht="16.8" x14ac:dyDescent="0.45">
      <c r="A138" s="7"/>
      <c r="B138" s="7"/>
      <c r="C138" s="7"/>
      <c r="D138" s="7"/>
      <c r="E138" s="7"/>
      <c r="F138" s="7"/>
      <c r="G138" s="7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spans="1:25" ht="16.8" x14ac:dyDescent="0.45">
      <c r="A139" s="7"/>
      <c r="B139" s="7"/>
      <c r="C139" s="7"/>
      <c r="D139" s="7"/>
      <c r="E139" s="7"/>
      <c r="F139" s="7"/>
      <c r="G139" s="7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spans="1:25" ht="16.8" x14ac:dyDescent="0.45">
      <c r="A140" s="7"/>
      <c r="B140" s="7"/>
      <c r="C140" s="7"/>
      <c r="D140" s="7"/>
      <c r="E140" s="7"/>
      <c r="F140" s="7"/>
      <c r="G140" s="7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spans="1:25" ht="16.8" x14ac:dyDescent="0.45">
      <c r="A141" s="7"/>
      <c r="B141" s="7"/>
      <c r="C141" s="7"/>
      <c r="D141" s="7"/>
      <c r="E141" s="7"/>
      <c r="F141" s="7"/>
      <c r="G141" s="7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spans="1:25" ht="16.8" x14ac:dyDescent="0.45">
      <c r="A142" s="7"/>
      <c r="B142" s="7"/>
      <c r="C142" s="7"/>
      <c r="D142" s="7"/>
      <c r="E142" s="7"/>
      <c r="F142" s="7"/>
      <c r="G142" s="7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spans="1:25" ht="16.8" x14ac:dyDescent="0.45">
      <c r="A143" s="7"/>
      <c r="B143" s="7"/>
      <c r="C143" s="7"/>
      <c r="D143" s="7"/>
      <c r="E143" s="7"/>
      <c r="F143" s="7"/>
      <c r="G143" s="7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spans="1:25" ht="16.8" x14ac:dyDescent="0.45">
      <c r="A144" s="7"/>
      <c r="B144" s="7"/>
      <c r="C144" s="7"/>
      <c r="D144" s="7"/>
      <c r="E144" s="7"/>
      <c r="F144" s="7"/>
      <c r="G144" s="7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spans="1:25" ht="16.8" x14ac:dyDescent="0.45">
      <c r="A145" s="7"/>
      <c r="B145" s="7"/>
      <c r="C145" s="7"/>
      <c r="D145" s="7"/>
      <c r="E145" s="7"/>
      <c r="F145" s="7"/>
      <c r="G145" s="7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spans="1:25" ht="16.8" x14ac:dyDescent="0.45">
      <c r="A146" s="7"/>
      <c r="B146" s="7"/>
      <c r="C146" s="7"/>
      <c r="D146" s="7"/>
      <c r="E146" s="7"/>
      <c r="F146" s="7"/>
      <c r="G146" s="7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spans="1:25" ht="16.8" x14ac:dyDescent="0.45">
      <c r="A147" s="7"/>
      <c r="B147" s="7"/>
      <c r="C147" s="7"/>
      <c r="D147" s="7"/>
      <c r="E147" s="7"/>
      <c r="F147" s="7"/>
      <c r="G147" s="7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spans="1:25" ht="16.8" x14ac:dyDescent="0.45">
      <c r="A148" s="7"/>
      <c r="B148" s="7"/>
      <c r="C148" s="7"/>
      <c r="D148" s="7"/>
      <c r="E148" s="7"/>
      <c r="F148" s="7"/>
      <c r="G148" s="7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spans="1:25" ht="16.8" x14ac:dyDescent="0.45">
      <c r="A149" s="7"/>
      <c r="B149" s="7"/>
      <c r="C149" s="7"/>
      <c r="D149" s="7"/>
      <c r="E149" s="7"/>
      <c r="F149" s="7"/>
      <c r="G149" s="7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spans="1:25" ht="16.8" x14ac:dyDescent="0.45">
      <c r="A150" s="7"/>
      <c r="B150" s="7"/>
      <c r="C150" s="7"/>
      <c r="D150" s="7"/>
      <c r="E150" s="7"/>
      <c r="F150" s="7"/>
      <c r="G150" s="7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spans="1:25" ht="16.8" x14ac:dyDescent="0.45">
      <c r="A151" s="7"/>
      <c r="B151" s="7"/>
      <c r="C151" s="7"/>
      <c r="D151" s="7"/>
      <c r="E151" s="7"/>
      <c r="F151" s="7"/>
      <c r="G151" s="7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spans="1:25" ht="16.8" x14ac:dyDescent="0.45">
      <c r="A152" s="7"/>
      <c r="B152" s="7"/>
      <c r="C152" s="7"/>
      <c r="D152" s="7"/>
      <c r="E152" s="7"/>
      <c r="F152" s="7"/>
      <c r="G152" s="7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spans="1:25" ht="16.8" x14ac:dyDescent="0.45">
      <c r="A153" s="7"/>
      <c r="B153" s="7"/>
      <c r="C153" s="7"/>
      <c r="D153" s="7"/>
      <c r="E153" s="7"/>
      <c r="F153" s="7"/>
      <c r="G153" s="7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spans="1:25" ht="16.8" x14ac:dyDescent="0.45">
      <c r="A154" s="7"/>
      <c r="B154" s="7"/>
      <c r="C154" s="7"/>
      <c r="D154" s="7"/>
      <c r="E154" s="7"/>
      <c r="F154" s="7"/>
      <c r="G154" s="7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spans="1:25" ht="16.8" x14ac:dyDescent="0.45">
      <c r="A155" s="7"/>
      <c r="B155" s="7"/>
      <c r="C155" s="7"/>
      <c r="D155" s="7"/>
      <c r="E155" s="7"/>
      <c r="F155" s="7"/>
      <c r="G155" s="7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spans="1:25" ht="16.8" x14ac:dyDescent="0.45">
      <c r="A156" s="7"/>
      <c r="B156" s="7"/>
      <c r="C156" s="7"/>
      <c r="D156" s="7"/>
      <c r="E156" s="7"/>
      <c r="F156" s="7"/>
      <c r="G156" s="7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spans="1:25" ht="16.8" x14ac:dyDescent="0.45">
      <c r="A157" s="7"/>
      <c r="B157" s="7"/>
      <c r="C157" s="7"/>
      <c r="D157" s="7"/>
      <c r="E157" s="7"/>
      <c r="F157" s="7"/>
      <c r="G157" s="7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spans="1:25" ht="16.8" x14ac:dyDescent="0.45">
      <c r="A158" s="7"/>
      <c r="B158" s="7"/>
      <c r="C158" s="7"/>
      <c r="D158" s="7"/>
      <c r="E158" s="7"/>
      <c r="F158" s="7"/>
      <c r="G158" s="7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spans="1:25" ht="16.8" x14ac:dyDescent="0.45">
      <c r="A159" s="7"/>
      <c r="B159" s="7"/>
      <c r="C159" s="7"/>
      <c r="D159" s="7"/>
      <c r="E159" s="7"/>
      <c r="F159" s="7"/>
      <c r="G159" s="7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spans="1:25" ht="16.8" x14ac:dyDescent="0.45">
      <c r="A160" s="7"/>
      <c r="B160" s="7"/>
      <c r="C160" s="7"/>
      <c r="D160" s="7"/>
      <c r="E160" s="7"/>
      <c r="F160" s="7"/>
      <c r="G160" s="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spans="1:25" ht="16.8" x14ac:dyDescent="0.45">
      <c r="A161" s="7"/>
      <c r="B161" s="7"/>
      <c r="C161" s="7"/>
      <c r="D161" s="7"/>
      <c r="E161" s="7"/>
      <c r="F161" s="7"/>
      <c r="G161" s="7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spans="1:25" ht="16.8" x14ac:dyDescent="0.45">
      <c r="A162" s="7"/>
      <c r="B162" s="7"/>
      <c r="C162" s="7"/>
      <c r="D162" s="7"/>
      <c r="E162" s="7"/>
      <c r="F162" s="7"/>
      <c r="G162" s="7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spans="1:25" ht="16.8" x14ac:dyDescent="0.45">
      <c r="A163" s="7"/>
      <c r="B163" s="7"/>
      <c r="C163" s="7"/>
      <c r="D163" s="7"/>
      <c r="E163" s="7"/>
      <c r="F163" s="7"/>
      <c r="G163" s="7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spans="1:25" ht="16.8" x14ac:dyDescent="0.45">
      <c r="A164" s="7"/>
      <c r="B164" s="7"/>
      <c r="C164" s="7"/>
      <c r="D164" s="7"/>
      <c r="E164" s="7"/>
      <c r="F164" s="7"/>
      <c r="G164" s="7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spans="1:25" ht="16.8" x14ac:dyDescent="0.45">
      <c r="A165" s="7"/>
      <c r="B165" s="7"/>
      <c r="C165" s="7"/>
      <c r="D165" s="7"/>
      <c r="E165" s="7"/>
      <c r="F165" s="7"/>
      <c r="G165" s="7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spans="1:25" ht="16.8" x14ac:dyDescent="0.45">
      <c r="A166" s="7"/>
      <c r="B166" s="7"/>
      <c r="C166" s="7"/>
      <c r="D166" s="7"/>
      <c r="E166" s="7"/>
      <c r="F166" s="7"/>
      <c r="G166" s="7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spans="1:25" ht="16.8" x14ac:dyDescent="0.45">
      <c r="A167" s="7"/>
      <c r="B167" s="7"/>
      <c r="C167" s="7"/>
      <c r="D167" s="7"/>
      <c r="E167" s="7"/>
      <c r="F167" s="7"/>
      <c r="G167" s="7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spans="1:25" ht="16.8" x14ac:dyDescent="0.45">
      <c r="A168" s="7"/>
      <c r="B168" s="7"/>
      <c r="C168" s="7"/>
      <c r="D168" s="7"/>
      <c r="E168" s="7"/>
      <c r="F168" s="7"/>
      <c r="G168" s="7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spans="1:25" ht="16.8" x14ac:dyDescent="0.45">
      <c r="A169" s="7"/>
      <c r="B169" s="7"/>
      <c r="C169" s="7"/>
      <c r="D169" s="7"/>
      <c r="E169" s="7"/>
      <c r="F169" s="7"/>
      <c r="G169" s="7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spans="1:25" ht="16.8" x14ac:dyDescent="0.45">
      <c r="A170" s="7"/>
      <c r="B170" s="7"/>
      <c r="C170" s="7"/>
      <c r="D170" s="7"/>
      <c r="E170" s="7"/>
      <c r="F170" s="7"/>
      <c r="G170" s="7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spans="1:25" ht="16.8" x14ac:dyDescent="0.45">
      <c r="A171" s="7"/>
      <c r="B171" s="7"/>
      <c r="C171" s="7"/>
      <c r="D171" s="7"/>
      <c r="E171" s="7"/>
      <c r="F171" s="7"/>
      <c r="G171" s="7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spans="1:25" ht="16.8" x14ac:dyDescent="0.45">
      <c r="A172" s="7"/>
      <c r="B172" s="7"/>
      <c r="C172" s="7"/>
      <c r="D172" s="7"/>
      <c r="E172" s="7"/>
      <c r="F172" s="7"/>
      <c r="G172" s="7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spans="1:25" ht="16.8" x14ac:dyDescent="0.45">
      <c r="A173" s="7"/>
      <c r="B173" s="7"/>
      <c r="C173" s="7"/>
      <c r="D173" s="7"/>
      <c r="E173" s="7"/>
      <c r="F173" s="7"/>
      <c r="G173" s="7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spans="1:25" ht="16.8" x14ac:dyDescent="0.45">
      <c r="A174" s="7"/>
      <c r="B174" s="7"/>
      <c r="C174" s="7"/>
      <c r="D174" s="7"/>
      <c r="E174" s="7"/>
      <c r="F174" s="7"/>
      <c r="G174" s="7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spans="1:25" ht="16.8" x14ac:dyDescent="0.45">
      <c r="A175" s="7"/>
      <c r="B175" s="7"/>
      <c r="C175" s="7"/>
      <c r="D175" s="7"/>
      <c r="E175" s="7"/>
      <c r="F175" s="7"/>
      <c r="G175" s="7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spans="1:25" ht="16.8" x14ac:dyDescent="0.45">
      <c r="A176" s="7"/>
      <c r="B176" s="7"/>
      <c r="C176" s="7"/>
      <c r="D176" s="7"/>
      <c r="E176" s="7"/>
      <c r="F176" s="7"/>
      <c r="G176" s="7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spans="1:25" ht="16.8" x14ac:dyDescent="0.45">
      <c r="A177" s="7"/>
      <c r="B177" s="7"/>
      <c r="C177" s="7"/>
      <c r="D177" s="7"/>
      <c r="E177" s="7"/>
      <c r="F177" s="7"/>
      <c r="G177" s="7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spans="1:25" ht="16.8" x14ac:dyDescent="0.45">
      <c r="A178" s="7"/>
      <c r="B178" s="7"/>
      <c r="C178" s="7"/>
      <c r="D178" s="7"/>
      <c r="E178" s="7"/>
      <c r="F178" s="7"/>
      <c r="G178" s="7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spans="1:25" ht="16.8" x14ac:dyDescent="0.45">
      <c r="A179" s="7"/>
      <c r="B179" s="7"/>
      <c r="C179" s="7"/>
      <c r="D179" s="7"/>
      <c r="E179" s="7"/>
      <c r="F179" s="7"/>
      <c r="G179" s="7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spans="1:25" ht="16.8" x14ac:dyDescent="0.45">
      <c r="A180" s="7"/>
      <c r="B180" s="7"/>
      <c r="C180" s="7"/>
      <c r="D180" s="7"/>
      <c r="E180" s="7"/>
      <c r="F180" s="7"/>
      <c r="G180" s="7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spans="1:25" ht="16.8" x14ac:dyDescent="0.45">
      <c r="A181" s="7"/>
      <c r="B181" s="7"/>
      <c r="C181" s="7"/>
      <c r="D181" s="7"/>
      <c r="E181" s="7"/>
      <c r="F181" s="7"/>
      <c r="G181" s="7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spans="1:25" ht="16.8" x14ac:dyDescent="0.45">
      <c r="A182" s="7"/>
      <c r="B182" s="7"/>
      <c r="C182" s="7"/>
      <c r="D182" s="7"/>
      <c r="E182" s="7"/>
      <c r="F182" s="7"/>
      <c r="G182" s="7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spans="1:25" ht="16.8" x14ac:dyDescent="0.45">
      <c r="A183" s="7"/>
      <c r="B183" s="7"/>
      <c r="C183" s="7"/>
      <c r="D183" s="7"/>
      <c r="E183" s="7"/>
      <c r="F183" s="7"/>
      <c r="G183" s="7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spans="1:25" ht="16.8" x14ac:dyDescent="0.45">
      <c r="A184" s="7"/>
      <c r="B184" s="7"/>
      <c r="C184" s="7"/>
      <c r="D184" s="7"/>
      <c r="E184" s="7"/>
      <c r="F184" s="7"/>
      <c r="G184" s="7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spans="1:25" ht="16.8" x14ac:dyDescent="0.45">
      <c r="A185" s="7"/>
      <c r="B185" s="7"/>
      <c r="C185" s="7"/>
      <c r="D185" s="7"/>
      <c r="E185" s="7"/>
      <c r="F185" s="7"/>
      <c r="G185" s="7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spans="1:25" ht="16.8" x14ac:dyDescent="0.45">
      <c r="A186" s="7"/>
      <c r="B186" s="7"/>
      <c r="C186" s="7"/>
      <c r="D186" s="7"/>
      <c r="E186" s="7"/>
      <c r="F186" s="7"/>
      <c r="G186" s="7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spans="1:25" ht="16.8" x14ac:dyDescent="0.45">
      <c r="A187" s="7"/>
      <c r="B187" s="7"/>
      <c r="C187" s="7"/>
      <c r="D187" s="7"/>
      <c r="E187" s="7"/>
      <c r="F187" s="7"/>
      <c r="G187" s="7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spans="1:25" ht="16.8" x14ac:dyDescent="0.45">
      <c r="A188" s="7"/>
      <c r="B188" s="7"/>
      <c r="C188" s="7"/>
      <c r="D188" s="7"/>
      <c r="E188" s="7"/>
      <c r="F188" s="7"/>
      <c r="G188" s="7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spans="1:25" ht="16.8" x14ac:dyDescent="0.45">
      <c r="A189" s="7"/>
      <c r="B189" s="7"/>
      <c r="C189" s="7"/>
      <c r="D189" s="7"/>
      <c r="E189" s="7"/>
      <c r="F189" s="7"/>
      <c r="G189" s="7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spans="1:25" ht="16.8" x14ac:dyDescent="0.45">
      <c r="A190" s="7"/>
      <c r="B190" s="7"/>
      <c r="C190" s="7"/>
      <c r="D190" s="7"/>
      <c r="E190" s="7"/>
      <c r="F190" s="7"/>
      <c r="G190" s="7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spans="1:25" ht="16.8" x14ac:dyDescent="0.45">
      <c r="A191" s="7"/>
      <c r="B191" s="7"/>
      <c r="C191" s="7"/>
      <c r="D191" s="7"/>
      <c r="E191" s="7"/>
      <c r="F191" s="7"/>
      <c r="G191" s="7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spans="1:25" ht="16.8" x14ac:dyDescent="0.45">
      <c r="A192" s="7"/>
      <c r="B192" s="7"/>
      <c r="C192" s="7"/>
      <c r="D192" s="7"/>
      <c r="E192" s="7"/>
      <c r="F192" s="7"/>
      <c r="G192" s="7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spans="1:25" ht="16.8" x14ac:dyDescent="0.45">
      <c r="A193" s="7"/>
      <c r="B193" s="7"/>
      <c r="C193" s="7"/>
      <c r="D193" s="7"/>
      <c r="E193" s="7"/>
      <c r="F193" s="7"/>
      <c r="G193" s="7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spans="1:25" ht="16.8" x14ac:dyDescent="0.45">
      <c r="A194" s="7"/>
      <c r="B194" s="7"/>
      <c r="C194" s="7"/>
      <c r="D194" s="7"/>
      <c r="E194" s="7"/>
      <c r="F194" s="7"/>
      <c r="G194" s="7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spans="1:25" ht="16.8" x14ac:dyDescent="0.45">
      <c r="A195" s="7"/>
      <c r="B195" s="7"/>
      <c r="C195" s="7"/>
      <c r="D195" s="7"/>
      <c r="E195" s="7"/>
      <c r="F195" s="7"/>
      <c r="G195" s="7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spans="1:25" ht="16.8" x14ac:dyDescent="0.45">
      <c r="A196" s="7"/>
      <c r="B196" s="7"/>
      <c r="C196" s="7"/>
      <c r="D196" s="7"/>
      <c r="E196" s="7"/>
      <c r="F196" s="7"/>
      <c r="G196" s="7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spans="1:25" ht="16.8" x14ac:dyDescent="0.45">
      <c r="A197" s="7"/>
      <c r="B197" s="7"/>
      <c r="C197" s="7"/>
      <c r="D197" s="7"/>
      <c r="E197" s="7"/>
      <c r="F197" s="7"/>
      <c r="G197" s="7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spans="1:25" ht="16.8" x14ac:dyDescent="0.45">
      <c r="A198" s="7"/>
      <c r="B198" s="7"/>
      <c r="C198" s="7"/>
      <c r="D198" s="7"/>
      <c r="E198" s="7"/>
      <c r="F198" s="7"/>
      <c r="G198" s="7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spans="1:25" ht="16.8" x14ac:dyDescent="0.45">
      <c r="A199" s="7"/>
      <c r="B199" s="7"/>
      <c r="C199" s="7"/>
      <c r="D199" s="7"/>
      <c r="E199" s="7"/>
      <c r="F199" s="7"/>
      <c r="G199" s="7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spans="1:25" ht="16.8" x14ac:dyDescent="0.45">
      <c r="A200" s="7"/>
      <c r="B200" s="7"/>
      <c r="C200" s="7"/>
      <c r="D200" s="7"/>
      <c r="E200" s="7"/>
      <c r="F200" s="7"/>
      <c r="G200" s="7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spans="1:25" ht="16.8" x14ac:dyDescent="0.45">
      <c r="A201" s="7"/>
      <c r="B201" s="7"/>
      <c r="C201" s="7"/>
      <c r="D201" s="7"/>
      <c r="E201" s="7"/>
      <c r="F201" s="7"/>
      <c r="G201" s="7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spans="1:25" ht="16.8" x14ac:dyDescent="0.45">
      <c r="A202" s="7"/>
      <c r="B202" s="7"/>
      <c r="C202" s="7"/>
      <c r="D202" s="7"/>
      <c r="E202" s="7"/>
      <c r="F202" s="7"/>
      <c r="G202" s="7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spans="1:25" ht="16.8" x14ac:dyDescent="0.45">
      <c r="A203" s="7"/>
      <c r="B203" s="7"/>
      <c r="C203" s="7"/>
      <c r="D203" s="7"/>
      <c r="E203" s="7"/>
      <c r="F203" s="7"/>
      <c r="G203" s="7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spans="1:25" ht="16.8" x14ac:dyDescent="0.45">
      <c r="A204" s="7"/>
      <c r="B204" s="7"/>
      <c r="C204" s="7"/>
      <c r="D204" s="7"/>
      <c r="E204" s="7"/>
      <c r="F204" s="7"/>
      <c r="G204" s="7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spans="1:25" ht="16.8" x14ac:dyDescent="0.45">
      <c r="A205" s="7"/>
      <c r="B205" s="7"/>
      <c r="C205" s="7"/>
      <c r="D205" s="7"/>
      <c r="E205" s="7"/>
      <c r="F205" s="7"/>
      <c r="G205" s="7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spans="1:25" ht="16.8" x14ac:dyDescent="0.45">
      <c r="A206" s="7"/>
      <c r="B206" s="7"/>
      <c r="C206" s="7"/>
      <c r="D206" s="7"/>
      <c r="E206" s="7"/>
      <c r="F206" s="7"/>
      <c r="G206" s="7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spans="1:25" ht="16.8" x14ac:dyDescent="0.45">
      <c r="A207" s="7"/>
      <c r="B207" s="7"/>
      <c r="C207" s="7"/>
      <c r="D207" s="7"/>
      <c r="E207" s="7"/>
      <c r="F207" s="7"/>
      <c r="G207" s="7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spans="1:25" ht="16.8" x14ac:dyDescent="0.45">
      <c r="A208" s="7"/>
      <c r="B208" s="7"/>
      <c r="C208" s="7"/>
      <c r="D208" s="7"/>
      <c r="E208" s="7"/>
      <c r="F208" s="7"/>
      <c r="G208" s="7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spans="1:25" ht="16.8" x14ac:dyDescent="0.45">
      <c r="A209" s="7"/>
      <c r="B209" s="7"/>
      <c r="C209" s="7"/>
      <c r="D209" s="7"/>
      <c r="E209" s="7"/>
      <c r="F209" s="7"/>
      <c r="G209" s="7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spans="1:25" ht="16.8" x14ac:dyDescent="0.45">
      <c r="A210" s="7"/>
      <c r="B210" s="7"/>
      <c r="C210" s="7"/>
      <c r="D210" s="7"/>
      <c r="E210" s="7"/>
      <c r="F210" s="7"/>
      <c r="G210" s="7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spans="1:25" ht="16.8" x14ac:dyDescent="0.45">
      <c r="A211" s="7"/>
      <c r="B211" s="7"/>
      <c r="C211" s="7"/>
      <c r="D211" s="7"/>
      <c r="E211" s="7"/>
      <c r="F211" s="7"/>
      <c r="G211" s="7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spans="1:25" ht="16.8" x14ac:dyDescent="0.45">
      <c r="A212" s="7"/>
      <c r="B212" s="7"/>
      <c r="C212" s="7"/>
      <c r="D212" s="7"/>
      <c r="E212" s="7"/>
      <c r="F212" s="7"/>
      <c r="G212" s="7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spans="1:25" ht="16.8" x14ac:dyDescent="0.45">
      <c r="A213" s="7"/>
      <c r="B213" s="7"/>
      <c r="C213" s="7"/>
      <c r="D213" s="7"/>
      <c r="E213" s="7"/>
      <c r="F213" s="7"/>
      <c r="G213" s="7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spans="1:25" ht="16.8" x14ac:dyDescent="0.45">
      <c r="A214" s="7"/>
      <c r="B214" s="7"/>
      <c r="C214" s="7"/>
      <c r="D214" s="7"/>
      <c r="E214" s="7"/>
      <c r="F214" s="7"/>
      <c r="G214" s="7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spans="1:25" ht="16.8" x14ac:dyDescent="0.45">
      <c r="A215" s="7"/>
      <c r="B215" s="7"/>
      <c r="C215" s="7"/>
      <c r="D215" s="7"/>
      <c r="E215" s="7"/>
      <c r="F215" s="7"/>
      <c r="G215" s="7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spans="1:25" ht="16.8" x14ac:dyDescent="0.45">
      <c r="A216" s="7"/>
      <c r="B216" s="7"/>
      <c r="C216" s="7"/>
      <c r="D216" s="7"/>
      <c r="E216" s="7"/>
      <c r="F216" s="7"/>
      <c r="G216" s="7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spans="1:25" ht="16.8" x14ac:dyDescent="0.45">
      <c r="A217" s="7"/>
      <c r="B217" s="7"/>
      <c r="C217" s="7"/>
      <c r="D217" s="7"/>
      <c r="E217" s="7"/>
      <c r="F217" s="7"/>
      <c r="G217" s="7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spans="1:25" ht="16.8" x14ac:dyDescent="0.45">
      <c r="A218" s="7"/>
      <c r="B218" s="7"/>
      <c r="C218" s="7"/>
      <c r="D218" s="7"/>
      <c r="E218" s="7"/>
      <c r="F218" s="7"/>
      <c r="G218" s="7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spans="1:25" ht="16.8" x14ac:dyDescent="0.45">
      <c r="A219" s="7"/>
      <c r="B219" s="7"/>
      <c r="C219" s="7"/>
      <c r="D219" s="7"/>
      <c r="E219" s="7"/>
      <c r="F219" s="7"/>
      <c r="G219" s="7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spans="1:25" ht="16.8" x14ac:dyDescent="0.45">
      <c r="A220" s="7"/>
      <c r="B220" s="7"/>
      <c r="C220" s="7"/>
      <c r="D220" s="7"/>
      <c r="E220" s="7"/>
      <c r="F220" s="7"/>
      <c r="G220" s="7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spans="1:25" ht="16.8" x14ac:dyDescent="0.45">
      <c r="A221" s="7"/>
      <c r="B221" s="7"/>
      <c r="C221" s="7"/>
      <c r="D221" s="7"/>
      <c r="E221" s="7"/>
      <c r="F221" s="7"/>
      <c r="G221" s="7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spans="1:25" ht="16.8" x14ac:dyDescent="0.45">
      <c r="A222" s="7"/>
      <c r="B222" s="7"/>
      <c r="C222" s="7"/>
      <c r="D222" s="7"/>
      <c r="E222" s="7"/>
      <c r="F222" s="7"/>
      <c r="G222" s="7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spans="1:25" ht="16.8" x14ac:dyDescent="0.45">
      <c r="A223" s="7"/>
      <c r="B223" s="7"/>
      <c r="C223" s="7"/>
      <c r="D223" s="7"/>
      <c r="E223" s="7"/>
      <c r="F223" s="7"/>
      <c r="G223" s="7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spans="1:25" ht="16.8" x14ac:dyDescent="0.45">
      <c r="A224" s="7"/>
      <c r="B224" s="7"/>
      <c r="C224" s="7"/>
      <c r="D224" s="7"/>
      <c r="E224" s="7"/>
      <c r="F224" s="7"/>
      <c r="G224" s="7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spans="1:25" ht="16.8" x14ac:dyDescent="0.45">
      <c r="A225" s="7"/>
      <c r="B225" s="7"/>
      <c r="C225" s="7"/>
      <c r="D225" s="7"/>
      <c r="E225" s="7"/>
      <c r="F225" s="7"/>
      <c r="G225" s="7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spans="1:25" ht="16.8" x14ac:dyDescent="0.45">
      <c r="A226" s="7"/>
      <c r="B226" s="7"/>
      <c r="C226" s="7"/>
      <c r="D226" s="7"/>
      <c r="E226" s="7"/>
      <c r="F226" s="7"/>
      <c r="G226" s="7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spans="1:25" ht="16.8" x14ac:dyDescent="0.45">
      <c r="A227" s="7"/>
      <c r="B227" s="7"/>
      <c r="C227" s="7"/>
      <c r="D227" s="7"/>
      <c r="E227" s="7"/>
      <c r="F227" s="7"/>
      <c r="G227" s="7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spans="1:25" ht="16.8" x14ac:dyDescent="0.45">
      <c r="A228" s="7"/>
      <c r="B228" s="7"/>
      <c r="C228" s="7"/>
      <c r="D228" s="7"/>
      <c r="E228" s="7"/>
      <c r="F228" s="7"/>
      <c r="G228" s="7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spans="1:25" ht="16.8" x14ac:dyDescent="0.45">
      <c r="A229" s="7"/>
      <c r="B229" s="7"/>
      <c r="C229" s="7"/>
      <c r="D229" s="7"/>
      <c r="E229" s="7"/>
      <c r="F229" s="7"/>
      <c r="G229" s="7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spans="1:25" ht="16.8" x14ac:dyDescent="0.45">
      <c r="A230" s="7"/>
      <c r="B230" s="7"/>
      <c r="C230" s="7"/>
      <c r="D230" s="7"/>
      <c r="E230" s="7"/>
      <c r="F230" s="7"/>
      <c r="G230" s="7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spans="1:25" ht="16.8" x14ac:dyDescent="0.45">
      <c r="A231" s="7"/>
      <c r="B231" s="7"/>
      <c r="C231" s="7"/>
      <c r="D231" s="7"/>
      <c r="E231" s="7"/>
      <c r="F231" s="7"/>
      <c r="G231" s="7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spans="1:25" ht="16.8" x14ac:dyDescent="0.45">
      <c r="A232" s="7"/>
      <c r="B232" s="7"/>
      <c r="C232" s="7"/>
      <c r="D232" s="7"/>
      <c r="E232" s="7"/>
      <c r="F232" s="7"/>
      <c r="G232" s="7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spans="1:25" ht="16.8" x14ac:dyDescent="0.45">
      <c r="A233" s="7"/>
      <c r="B233" s="7"/>
      <c r="C233" s="7"/>
      <c r="D233" s="7"/>
      <c r="E233" s="7"/>
      <c r="F233" s="7"/>
      <c r="G233" s="7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spans="1:25" ht="16.8" x14ac:dyDescent="0.45">
      <c r="A234" s="7"/>
      <c r="B234" s="7"/>
      <c r="C234" s="7"/>
      <c r="D234" s="7"/>
      <c r="E234" s="7"/>
      <c r="F234" s="7"/>
      <c r="G234" s="7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spans="1:25" ht="16.8" x14ac:dyDescent="0.45">
      <c r="A235" s="7"/>
      <c r="B235" s="7"/>
      <c r="C235" s="7"/>
      <c r="D235" s="7"/>
      <c r="E235" s="7"/>
      <c r="F235" s="7"/>
      <c r="G235" s="7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spans="1:25" ht="16.8" x14ac:dyDescent="0.45">
      <c r="A236" s="7"/>
      <c r="B236" s="7"/>
      <c r="C236" s="7"/>
      <c r="D236" s="7"/>
      <c r="E236" s="7"/>
      <c r="F236" s="7"/>
      <c r="G236" s="7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spans="1:25" ht="16.8" x14ac:dyDescent="0.45">
      <c r="A237" s="7"/>
      <c r="B237" s="7"/>
      <c r="C237" s="7"/>
      <c r="D237" s="7"/>
      <c r="E237" s="7"/>
      <c r="F237" s="7"/>
      <c r="G237" s="7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spans="1:25" ht="16.8" x14ac:dyDescent="0.45">
      <c r="A238" s="7"/>
      <c r="B238" s="7"/>
      <c r="C238" s="7"/>
      <c r="D238" s="7"/>
      <c r="E238" s="7"/>
      <c r="F238" s="7"/>
      <c r="G238" s="7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spans="1:25" ht="16.8" x14ac:dyDescent="0.45">
      <c r="A239" s="7"/>
      <c r="B239" s="7"/>
      <c r="C239" s="7"/>
      <c r="D239" s="7"/>
      <c r="E239" s="7"/>
      <c r="F239" s="7"/>
      <c r="G239" s="7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spans="1:25" ht="16.8" x14ac:dyDescent="0.45">
      <c r="A240" s="7"/>
      <c r="B240" s="7"/>
      <c r="C240" s="7"/>
      <c r="D240" s="7"/>
      <c r="E240" s="7"/>
      <c r="F240" s="7"/>
      <c r="G240" s="7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spans="1:25" ht="16.8" x14ac:dyDescent="0.45">
      <c r="A241" s="7"/>
      <c r="B241" s="7"/>
      <c r="C241" s="7"/>
      <c r="D241" s="7"/>
      <c r="E241" s="7"/>
      <c r="F241" s="7"/>
      <c r="G241" s="7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spans="1:25" ht="16.8" x14ac:dyDescent="0.45">
      <c r="A242" s="7"/>
      <c r="B242" s="7"/>
      <c r="C242" s="7"/>
      <c r="D242" s="7"/>
      <c r="E242" s="7"/>
      <c r="F242" s="7"/>
      <c r="G242" s="7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spans="1:25" ht="16.8" x14ac:dyDescent="0.45">
      <c r="A243" s="7"/>
      <c r="B243" s="7"/>
      <c r="C243" s="7"/>
      <c r="D243" s="7"/>
      <c r="E243" s="7"/>
      <c r="F243" s="7"/>
      <c r="G243" s="7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spans="1:25" ht="16.8" x14ac:dyDescent="0.45">
      <c r="A244" s="7"/>
      <c r="B244" s="7"/>
      <c r="C244" s="7"/>
      <c r="D244" s="7"/>
      <c r="E244" s="7"/>
      <c r="F244" s="7"/>
      <c r="G244" s="7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spans="1:25" ht="16.8" x14ac:dyDescent="0.45">
      <c r="A245" s="7"/>
      <c r="B245" s="7"/>
      <c r="C245" s="7"/>
      <c r="D245" s="7"/>
      <c r="E245" s="7"/>
      <c r="F245" s="7"/>
      <c r="G245" s="7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spans="1:25" ht="16.8" x14ac:dyDescent="0.45">
      <c r="A246" s="7"/>
      <c r="B246" s="7"/>
      <c r="C246" s="7"/>
      <c r="D246" s="7"/>
      <c r="E246" s="7"/>
      <c r="F246" s="7"/>
      <c r="G246" s="7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spans="1:25" ht="16.8" x14ac:dyDescent="0.45">
      <c r="A247" s="7"/>
      <c r="B247" s="7"/>
      <c r="C247" s="7"/>
      <c r="D247" s="7"/>
      <c r="E247" s="7"/>
      <c r="F247" s="7"/>
      <c r="G247" s="7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spans="1:25" ht="16.8" x14ac:dyDescent="0.45">
      <c r="A248" s="7"/>
      <c r="B248" s="7"/>
      <c r="C248" s="7"/>
      <c r="D248" s="7"/>
      <c r="E248" s="7"/>
      <c r="F248" s="7"/>
      <c r="G248" s="7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spans="1:25" ht="16.8" x14ac:dyDescent="0.45">
      <c r="A249" s="7"/>
      <c r="B249" s="7"/>
      <c r="C249" s="7"/>
      <c r="D249" s="7"/>
      <c r="E249" s="7"/>
      <c r="F249" s="7"/>
      <c r="G249" s="7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spans="1:25" ht="16.8" x14ac:dyDescent="0.45">
      <c r="A250" s="7"/>
      <c r="B250" s="7"/>
      <c r="C250" s="7"/>
      <c r="D250" s="7"/>
      <c r="E250" s="7"/>
      <c r="F250" s="7"/>
      <c r="G250" s="7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spans="1:25" ht="16.8" x14ac:dyDescent="0.45">
      <c r="A251" s="7"/>
      <c r="B251" s="7"/>
      <c r="C251" s="7"/>
      <c r="D251" s="7"/>
      <c r="E251" s="7"/>
      <c r="F251" s="7"/>
      <c r="G251" s="7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spans="1:25" ht="16.8" x14ac:dyDescent="0.45">
      <c r="A252" s="7"/>
      <c r="B252" s="7"/>
      <c r="C252" s="7"/>
      <c r="D252" s="7"/>
      <c r="E252" s="7"/>
      <c r="F252" s="7"/>
      <c r="G252" s="7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spans="1:25" ht="16.8" x14ac:dyDescent="0.45">
      <c r="A253" s="7"/>
      <c r="B253" s="7"/>
      <c r="C253" s="7"/>
      <c r="D253" s="7"/>
      <c r="E253" s="7"/>
      <c r="F253" s="7"/>
      <c r="G253" s="7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spans="1:25" ht="16.8" x14ac:dyDescent="0.45">
      <c r="A254" s="7"/>
      <c r="B254" s="7"/>
      <c r="C254" s="7"/>
      <c r="D254" s="7"/>
      <c r="E254" s="7"/>
      <c r="F254" s="7"/>
      <c r="G254" s="7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spans="1:25" ht="16.8" x14ac:dyDescent="0.45">
      <c r="A255" s="7"/>
      <c r="B255" s="7"/>
      <c r="C255" s="7"/>
      <c r="D255" s="7"/>
      <c r="E255" s="7"/>
      <c r="F255" s="7"/>
      <c r="G255" s="7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spans="1:25" ht="16.8" x14ac:dyDescent="0.45">
      <c r="A256" s="7"/>
      <c r="B256" s="7"/>
      <c r="C256" s="7"/>
      <c r="D256" s="7"/>
      <c r="E256" s="7"/>
      <c r="F256" s="7"/>
      <c r="G256" s="7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spans="1:25" ht="16.8" x14ac:dyDescent="0.45">
      <c r="A257" s="7"/>
      <c r="B257" s="7"/>
      <c r="C257" s="7"/>
      <c r="D257" s="7"/>
      <c r="E257" s="7"/>
      <c r="F257" s="7"/>
      <c r="G257" s="7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spans="1:25" ht="16.8" x14ac:dyDescent="0.45">
      <c r="A258" s="7"/>
      <c r="B258" s="7"/>
      <c r="C258" s="7"/>
      <c r="D258" s="7"/>
      <c r="E258" s="7"/>
      <c r="F258" s="7"/>
      <c r="G258" s="7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spans="1:25" ht="16.8" x14ac:dyDescent="0.45">
      <c r="A259" s="7"/>
      <c r="B259" s="7"/>
      <c r="C259" s="7"/>
      <c r="D259" s="7"/>
      <c r="E259" s="7"/>
      <c r="F259" s="7"/>
      <c r="G259" s="7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spans="1:25" ht="16.8" x14ac:dyDescent="0.45">
      <c r="A260" s="7"/>
      <c r="B260" s="7"/>
      <c r="C260" s="7"/>
      <c r="D260" s="7"/>
      <c r="E260" s="7"/>
      <c r="F260" s="7"/>
      <c r="G260" s="7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spans="1:25" ht="16.8" x14ac:dyDescent="0.45">
      <c r="A261" s="7"/>
      <c r="B261" s="7"/>
      <c r="C261" s="7"/>
      <c r="D261" s="7"/>
      <c r="E261" s="7"/>
      <c r="F261" s="7"/>
      <c r="G261" s="7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spans="1:25" ht="16.8" x14ac:dyDescent="0.45">
      <c r="A262" s="7"/>
      <c r="B262" s="7"/>
      <c r="C262" s="7"/>
      <c r="D262" s="7"/>
      <c r="E262" s="7"/>
      <c r="F262" s="7"/>
      <c r="G262" s="7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spans="1:25" ht="16.8" x14ac:dyDescent="0.45">
      <c r="A263" s="7"/>
      <c r="B263" s="7"/>
      <c r="C263" s="7"/>
      <c r="D263" s="7"/>
      <c r="E263" s="7"/>
      <c r="F263" s="7"/>
      <c r="G263" s="7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spans="1:25" ht="16.8" x14ac:dyDescent="0.45">
      <c r="A264" s="7"/>
      <c r="B264" s="7"/>
      <c r="C264" s="7"/>
      <c r="D264" s="7"/>
      <c r="E264" s="7"/>
      <c r="F264" s="7"/>
      <c r="G264" s="7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spans="1:25" ht="16.8" x14ac:dyDescent="0.45">
      <c r="A265" s="7"/>
      <c r="B265" s="7"/>
      <c r="C265" s="7"/>
      <c r="D265" s="7"/>
      <c r="E265" s="7"/>
      <c r="F265" s="7"/>
      <c r="G265" s="7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spans="1:25" ht="16.8" x14ac:dyDescent="0.45">
      <c r="A266" s="7"/>
      <c r="B266" s="7"/>
      <c r="C266" s="7"/>
      <c r="D266" s="7"/>
      <c r="E266" s="7"/>
      <c r="F266" s="7"/>
      <c r="G266" s="7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spans="1:25" ht="16.8" x14ac:dyDescent="0.45">
      <c r="A267" s="7"/>
      <c r="B267" s="7"/>
      <c r="C267" s="7"/>
      <c r="D267" s="7"/>
      <c r="E267" s="7"/>
      <c r="F267" s="7"/>
      <c r="G267" s="7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spans="1:25" ht="16.8" x14ac:dyDescent="0.45">
      <c r="A268" s="7"/>
      <c r="B268" s="7"/>
      <c r="C268" s="7"/>
      <c r="D268" s="7"/>
      <c r="E268" s="7"/>
      <c r="F268" s="7"/>
      <c r="G268" s="7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spans="1:25" ht="16.8" x14ac:dyDescent="0.45">
      <c r="A269" s="7"/>
      <c r="B269" s="7"/>
      <c r="C269" s="7"/>
      <c r="D269" s="7"/>
      <c r="E269" s="7"/>
      <c r="F269" s="7"/>
      <c r="G269" s="7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spans="1:25" ht="16.8" x14ac:dyDescent="0.45">
      <c r="A270" s="7"/>
      <c r="B270" s="7"/>
      <c r="C270" s="7"/>
      <c r="D270" s="7"/>
      <c r="E270" s="7"/>
      <c r="F270" s="7"/>
      <c r="G270" s="7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spans="1:25" ht="16.8" x14ac:dyDescent="0.45">
      <c r="A271" s="7"/>
      <c r="B271" s="7"/>
      <c r="C271" s="7"/>
      <c r="D271" s="7"/>
      <c r="E271" s="7"/>
      <c r="F271" s="7"/>
      <c r="G271" s="7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spans="1:25" ht="16.8" x14ac:dyDescent="0.45">
      <c r="A272" s="7"/>
      <c r="B272" s="7"/>
      <c r="C272" s="7"/>
      <c r="D272" s="7"/>
      <c r="E272" s="7"/>
      <c r="F272" s="7"/>
      <c r="G272" s="7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spans="1:25" ht="16.8" x14ac:dyDescent="0.45">
      <c r="A273" s="7"/>
      <c r="B273" s="7"/>
      <c r="C273" s="7"/>
      <c r="D273" s="7"/>
      <c r="E273" s="7"/>
      <c r="F273" s="7"/>
      <c r="G273" s="7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spans="1:25" ht="16.8" x14ac:dyDescent="0.45">
      <c r="A274" s="7"/>
      <c r="B274" s="7"/>
      <c r="C274" s="7"/>
      <c r="D274" s="7"/>
      <c r="E274" s="7"/>
      <c r="F274" s="7"/>
      <c r="G274" s="7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spans="1:25" ht="16.8" x14ac:dyDescent="0.45">
      <c r="A275" s="7"/>
      <c r="B275" s="7"/>
      <c r="C275" s="7"/>
      <c r="D275" s="7"/>
      <c r="E275" s="7"/>
      <c r="F275" s="7"/>
      <c r="G275" s="7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spans="1:25" ht="16.8" x14ac:dyDescent="0.45">
      <c r="A276" s="7"/>
      <c r="B276" s="7"/>
      <c r="C276" s="7"/>
      <c r="D276" s="7"/>
      <c r="E276" s="7"/>
      <c r="F276" s="7"/>
      <c r="G276" s="7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spans="1:25" ht="16.8" x14ac:dyDescent="0.45">
      <c r="A277" s="7"/>
      <c r="B277" s="7"/>
      <c r="C277" s="7"/>
      <c r="D277" s="7"/>
      <c r="E277" s="7"/>
      <c r="F277" s="7"/>
      <c r="G277" s="7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spans="1:25" ht="16.8" x14ac:dyDescent="0.45">
      <c r="A278" s="7"/>
      <c r="B278" s="7"/>
      <c r="C278" s="7"/>
      <c r="D278" s="7"/>
      <c r="E278" s="7"/>
      <c r="F278" s="7"/>
      <c r="G278" s="7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spans="1:25" ht="16.8" x14ac:dyDescent="0.45">
      <c r="A279" s="7"/>
      <c r="B279" s="7"/>
      <c r="C279" s="7"/>
      <c r="D279" s="7"/>
      <c r="E279" s="7"/>
      <c r="F279" s="7"/>
      <c r="G279" s="7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spans="1:25" ht="16.8" x14ac:dyDescent="0.45">
      <c r="A280" s="7"/>
      <c r="B280" s="7"/>
      <c r="C280" s="7"/>
      <c r="D280" s="7"/>
      <c r="E280" s="7"/>
      <c r="F280" s="7"/>
      <c r="G280" s="7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spans="1:25" ht="16.8" x14ac:dyDescent="0.45">
      <c r="A281" s="7"/>
      <c r="B281" s="7"/>
      <c r="C281" s="7"/>
      <c r="D281" s="7"/>
      <c r="E281" s="7"/>
      <c r="F281" s="7"/>
      <c r="G281" s="7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spans="1:25" ht="16.8" x14ac:dyDescent="0.45">
      <c r="A282" s="7"/>
      <c r="B282" s="7"/>
      <c r="C282" s="7"/>
      <c r="D282" s="7"/>
      <c r="E282" s="7"/>
      <c r="F282" s="7"/>
      <c r="G282" s="7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spans="1:25" ht="16.8" x14ac:dyDescent="0.45">
      <c r="A283" s="7"/>
      <c r="B283" s="7"/>
      <c r="C283" s="7"/>
      <c r="D283" s="7"/>
      <c r="E283" s="7"/>
      <c r="F283" s="7"/>
      <c r="G283" s="7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spans="1:25" ht="16.8" x14ac:dyDescent="0.45">
      <c r="A284" s="7"/>
      <c r="B284" s="7"/>
      <c r="C284" s="7"/>
      <c r="D284" s="7"/>
      <c r="E284" s="7"/>
      <c r="F284" s="7"/>
      <c r="G284" s="7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spans="1:25" ht="16.8" x14ac:dyDescent="0.45">
      <c r="A285" s="7"/>
      <c r="B285" s="7"/>
      <c r="C285" s="7"/>
      <c r="D285" s="7"/>
      <c r="E285" s="7"/>
      <c r="F285" s="7"/>
      <c r="G285" s="7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spans="1:25" ht="16.8" x14ac:dyDescent="0.45">
      <c r="A286" s="7"/>
      <c r="B286" s="7"/>
      <c r="C286" s="7"/>
      <c r="D286" s="7"/>
      <c r="E286" s="7"/>
      <c r="F286" s="7"/>
      <c r="G286" s="7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spans="1:25" ht="16.8" x14ac:dyDescent="0.45">
      <c r="A287" s="7"/>
      <c r="B287" s="7"/>
      <c r="C287" s="7"/>
      <c r="D287" s="7"/>
      <c r="E287" s="7"/>
      <c r="F287" s="7"/>
      <c r="G287" s="7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spans="1:25" ht="16.8" x14ac:dyDescent="0.45">
      <c r="A288" s="7"/>
      <c r="B288" s="7"/>
      <c r="C288" s="7"/>
      <c r="D288" s="7"/>
      <c r="E288" s="7"/>
      <c r="F288" s="7"/>
      <c r="G288" s="7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spans="1:25" ht="16.8" x14ac:dyDescent="0.45">
      <c r="A289" s="7"/>
      <c r="B289" s="7"/>
      <c r="C289" s="7"/>
      <c r="D289" s="7"/>
      <c r="E289" s="7"/>
      <c r="F289" s="7"/>
      <c r="G289" s="7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spans="1:25" ht="16.8" x14ac:dyDescent="0.45">
      <c r="A290" s="7"/>
      <c r="B290" s="7"/>
      <c r="C290" s="7"/>
      <c r="D290" s="7"/>
      <c r="E290" s="7"/>
      <c r="F290" s="7"/>
      <c r="G290" s="7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spans="1:25" ht="16.8" x14ac:dyDescent="0.45">
      <c r="A291" s="7"/>
      <c r="B291" s="7"/>
      <c r="C291" s="7"/>
      <c r="D291" s="7"/>
      <c r="E291" s="7"/>
      <c r="F291" s="7"/>
      <c r="G291" s="7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spans="1:25" ht="16.8" x14ac:dyDescent="0.45">
      <c r="A292" s="7"/>
      <c r="B292" s="7"/>
      <c r="C292" s="7"/>
      <c r="D292" s="7"/>
      <c r="E292" s="7"/>
      <c r="F292" s="7"/>
      <c r="G292" s="7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spans="1:25" ht="16.8" x14ac:dyDescent="0.45">
      <c r="A293" s="7"/>
      <c r="B293" s="7"/>
      <c r="C293" s="7"/>
      <c r="D293" s="7"/>
      <c r="E293" s="7"/>
      <c r="F293" s="7"/>
      <c r="G293" s="7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spans="1:25" ht="16.8" x14ac:dyDescent="0.45">
      <c r="A294" s="7"/>
      <c r="B294" s="7"/>
      <c r="C294" s="7"/>
      <c r="D294" s="7"/>
      <c r="E294" s="7"/>
      <c r="F294" s="7"/>
      <c r="G294" s="7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spans="1:25" ht="16.8" x14ac:dyDescent="0.45">
      <c r="A295" s="7"/>
      <c r="B295" s="7"/>
      <c r="C295" s="7"/>
      <c r="D295" s="7"/>
      <c r="E295" s="7"/>
      <c r="F295" s="7"/>
      <c r="G295" s="7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spans="1:25" ht="16.8" x14ac:dyDescent="0.45">
      <c r="A296" s="7"/>
      <c r="B296" s="7"/>
      <c r="C296" s="7"/>
      <c r="D296" s="7"/>
      <c r="E296" s="7"/>
      <c r="F296" s="7"/>
      <c r="G296" s="7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spans="1:25" ht="16.8" x14ac:dyDescent="0.45">
      <c r="A297" s="7"/>
      <c r="B297" s="7"/>
      <c r="C297" s="7"/>
      <c r="D297" s="7"/>
      <c r="E297" s="7"/>
      <c r="F297" s="7"/>
      <c r="G297" s="7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spans="1:25" ht="16.8" x14ac:dyDescent="0.45">
      <c r="A298" s="7"/>
      <c r="B298" s="7"/>
      <c r="C298" s="7"/>
      <c r="D298" s="7"/>
      <c r="E298" s="7"/>
      <c r="F298" s="7"/>
      <c r="G298" s="7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spans="1:25" ht="16.8" x14ac:dyDescent="0.45">
      <c r="A299" s="7"/>
      <c r="B299" s="7"/>
      <c r="C299" s="7"/>
      <c r="D299" s="7"/>
      <c r="E299" s="7"/>
      <c r="F299" s="7"/>
      <c r="G299" s="7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spans="1:25" ht="16.8" x14ac:dyDescent="0.45">
      <c r="A300" s="7"/>
      <c r="B300" s="7"/>
      <c r="C300" s="7"/>
      <c r="D300" s="7"/>
      <c r="E300" s="7"/>
      <c r="F300" s="7"/>
      <c r="G300" s="7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spans="1:25" ht="16.8" x14ac:dyDescent="0.45">
      <c r="A301" s="7"/>
      <c r="B301" s="7"/>
      <c r="C301" s="7"/>
      <c r="D301" s="7"/>
      <c r="E301" s="7"/>
      <c r="F301" s="7"/>
      <c r="G301" s="7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spans="1:25" ht="16.8" x14ac:dyDescent="0.45">
      <c r="A302" s="7"/>
      <c r="B302" s="7"/>
      <c r="C302" s="7"/>
      <c r="D302" s="7"/>
      <c r="E302" s="7"/>
      <c r="F302" s="7"/>
      <c r="G302" s="7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spans="1:25" ht="16.8" x14ac:dyDescent="0.45">
      <c r="A303" s="7"/>
      <c r="B303" s="7"/>
      <c r="C303" s="7"/>
      <c r="D303" s="7"/>
      <c r="E303" s="7"/>
      <c r="F303" s="7"/>
      <c r="G303" s="7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spans="1:25" ht="16.8" x14ac:dyDescent="0.45">
      <c r="A304" s="7"/>
      <c r="B304" s="7"/>
      <c r="C304" s="7"/>
      <c r="D304" s="7"/>
      <c r="E304" s="7"/>
      <c r="F304" s="7"/>
      <c r="G304" s="7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spans="1:25" ht="16.8" x14ac:dyDescent="0.45">
      <c r="A305" s="7"/>
      <c r="B305" s="7"/>
      <c r="C305" s="7"/>
      <c r="D305" s="7"/>
      <c r="E305" s="7"/>
      <c r="F305" s="7"/>
      <c r="G305" s="7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spans="1:25" ht="16.8" x14ac:dyDescent="0.45">
      <c r="A306" s="7"/>
      <c r="B306" s="7"/>
      <c r="C306" s="7"/>
      <c r="D306" s="7"/>
      <c r="E306" s="7"/>
      <c r="F306" s="7"/>
      <c r="G306" s="7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spans="1:25" ht="16.8" x14ac:dyDescent="0.45">
      <c r="A307" s="7"/>
      <c r="B307" s="7"/>
      <c r="C307" s="7"/>
      <c r="D307" s="7"/>
      <c r="E307" s="7"/>
      <c r="F307" s="7"/>
      <c r="G307" s="7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spans="1:25" ht="16.8" x14ac:dyDescent="0.45">
      <c r="A308" s="7"/>
      <c r="B308" s="7"/>
      <c r="C308" s="7"/>
      <c r="D308" s="7"/>
      <c r="E308" s="7"/>
      <c r="F308" s="7"/>
      <c r="G308" s="7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spans="1:25" ht="16.8" x14ac:dyDescent="0.45">
      <c r="A309" s="7"/>
      <c r="B309" s="7"/>
      <c r="C309" s="7"/>
      <c r="D309" s="7"/>
      <c r="E309" s="7"/>
      <c r="F309" s="7"/>
      <c r="G309" s="7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spans="1:25" ht="16.8" x14ac:dyDescent="0.45">
      <c r="A310" s="7"/>
      <c r="B310" s="7"/>
      <c r="C310" s="7"/>
      <c r="D310" s="7"/>
      <c r="E310" s="7"/>
      <c r="F310" s="7"/>
      <c r="G310" s="7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spans="1:25" ht="16.8" x14ac:dyDescent="0.45">
      <c r="A311" s="7"/>
      <c r="B311" s="7"/>
      <c r="C311" s="7"/>
      <c r="D311" s="7"/>
      <c r="E311" s="7"/>
      <c r="F311" s="7"/>
      <c r="G311" s="7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spans="1:25" ht="16.8" x14ac:dyDescent="0.45">
      <c r="A312" s="7"/>
      <c r="B312" s="7"/>
      <c r="C312" s="7"/>
      <c r="D312" s="7"/>
      <c r="E312" s="7"/>
      <c r="F312" s="7"/>
      <c r="G312" s="7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spans="1:25" ht="16.8" x14ac:dyDescent="0.45">
      <c r="A313" s="7"/>
      <c r="B313" s="7"/>
      <c r="C313" s="7"/>
      <c r="D313" s="7"/>
      <c r="E313" s="7"/>
      <c r="F313" s="7"/>
      <c r="G313" s="7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spans="1:25" ht="16.8" x14ac:dyDescent="0.45">
      <c r="A314" s="7"/>
      <c r="B314" s="7"/>
      <c r="C314" s="7"/>
      <c r="D314" s="7"/>
      <c r="E314" s="7"/>
      <c r="F314" s="7"/>
      <c r="G314" s="7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spans="1:25" ht="16.8" x14ac:dyDescent="0.45">
      <c r="A315" s="7"/>
      <c r="B315" s="7"/>
      <c r="C315" s="7"/>
      <c r="D315" s="7"/>
      <c r="E315" s="7"/>
      <c r="F315" s="7"/>
      <c r="G315" s="7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spans="1:25" ht="16.8" x14ac:dyDescent="0.45">
      <c r="A316" s="7"/>
      <c r="B316" s="7"/>
      <c r="C316" s="7"/>
      <c r="D316" s="7"/>
      <c r="E316" s="7"/>
      <c r="F316" s="7"/>
      <c r="G316" s="7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spans="1:25" ht="16.8" x14ac:dyDescent="0.45">
      <c r="A317" s="7"/>
      <c r="B317" s="7"/>
      <c r="C317" s="7"/>
      <c r="D317" s="7"/>
      <c r="E317" s="7"/>
      <c r="F317" s="7"/>
      <c r="G317" s="7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spans="1:25" ht="16.8" x14ac:dyDescent="0.45">
      <c r="A318" s="7"/>
      <c r="B318" s="7"/>
      <c r="C318" s="7"/>
      <c r="D318" s="7"/>
      <c r="E318" s="7"/>
      <c r="F318" s="7"/>
      <c r="G318" s="7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spans="1:25" ht="16.8" x14ac:dyDescent="0.45">
      <c r="A319" s="7"/>
      <c r="B319" s="7"/>
      <c r="C319" s="7"/>
      <c r="D319" s="7"/>
      <c r="E319" s="7"/>
      <c r="F319" s="7"/>
      <c r="G319" s="7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spans="1:25" ht="16.8" x14ac:dyDescent="0.45">
      <c r="A320" s="7"/>
      <c r="B320" s="7"/>
      <c r="C320" s="7"/>
      <c r="D320" s="7"/>
      <c r="E320" s="7"/>
      <c r="F320" s="7"/>
      <c r="G320" s="7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spans="1:25" ht="16.8" x14ac:dyDescent="0.45">
      <c r="A321" s="7"/>
      <c r="B321" s="7"/>
      <c r="C321" s="7"/>
      <c r="D321" s="7"/>
      <c r="E321" s="7"/>
      <c r="F321" s="7"/>
      <c r="G321" s="7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spans="1:25" ht="16.8" x14ac:dyDescent="0.45">
      <c r="A322" s="7"/>
      <c r="B322" s="7"/>
      <c r="C322" s="7"/>
      <c r="D322" s="7"/>
      <c r="E322" s="7"/>
      <c r="F322" s="7"/>
      <c r="G322" s="7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spans="1:25" ht="16.8" x14ac:dyDescent="0.45">
      <c r="A323" s="7"/>
      <c r="B323" s="7"/>
      <c r="C323" s="7"/>
      <c r="D323" s="7"/>
      <c r="E323" s="7"/>
      <c r="F323" s="7"/>
      <c r="G323" s="7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spans="1:25" ht="16.8" x14ac:dyDescent="0.45">
      <c r="A324" s="7"/>
      <c r="B324" s="7"/>
      <c r="C324" s="7"/>
      <c r="D324" s="7"/>
      <c r="E324" s="7"/>
      <c r="F324" s="7"/>
      <c r="G324" s="7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spans="1:25" ht="16.8" x14ac:dyDescent="0.45">
      <c r="A325" s="7"/>
      <c r="B325" s="7"/>
      <c r="C325" s="7"/>
      <c r="D325" s="7"/>
      <c r="E325" s="7"/>
      <c r="F325" s="7"/>
      <c r="G325" s="7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spans="1:25" ht="16.8" x14ac:dyDescent="0.45">
      <c r="A326" s="7"/>
      <c r="B326" s="7"/>
      <c r="C326" s="7"/>
      <c r="D326" s="7"/>
      <c r="E326" s="7"/>
      <c r="F326" s="7"/>
      <c r="G326" s="7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spans="1:25" ht="16.8" x14ac:dyDescent="0.45">
      <c r="A327" s="7"/>
      <c r="B327" s="7"/>
      <c r="C327" s="7"/>
      <c r="D327" s="7"/>
      <c r="E327" s="7"/>
      <c r="F327" s="7"/>
      <c r="G327" s="7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spans="1:25" ht="16.8" x14ac:dyDescent="0.45">
      <c r="A328" s="7"/>
      <c r="B328" s="7"/>
      <c r="C328" s="7"/>
      <c r="D328" s="7"/>
      <c r="E328" s="7"/>
      <c r="F328" s="7"/>
      <c r="G328" s="7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spans="1:25" ht="16.8" x14ac:dyDescent="0.45">
      <c r="A329" s="7"/>
      <c r="B329" s="7"/>
      <c r="C329" s="7"/>
      <c r="D329" s="7"/>
      <c r="E329" s="7"/>
      <c r="F329" s="7"/>
      <c r="G329" s="7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spans="1:25" ht="16.8" x14ac:dyDescent="0.45">
      <c r="A330" s="7"/>
      <c r="B330" s="7"/>
      <c r="C330" s="7"/>
      <c r="D330" s="7"/>
      <c r="E330" s="7"/>
      <c r="F330" s="7"/>
      <c r="G330" s="7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spans="1:25" ht="16.8" x14ac:dyDescent="0.45">
      <c r="A331" s="7"/>
      <c r="B331" s="7"/>
      <c r="C331" s="7"/>
      <c r="D331" s="7"/>
      <c r="E331" s="7"/>
      <c r="F331" s="7"/>
      <c r="G331" s="7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spans="1:25" ht="16.8" x14ac:dyDescent="0.45">
      <c r="A332" s="7"/>
      <c r="B332" s="7"/>
      <c r="C332" s="7"/>
      <c r="D332" s="7"/>
      <c r="E332" s="7"/>
      <c r="F332" s="7"/>
      <c r="G332" s="7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spans="1:25" ht="16.8" x14ac:dyDescent="0.45">
      <c r="A333" s="7"/>
      <c r="B333" s="7"/>
      <c r="C333" s="7"/>
      <c r="D333" s="7"/>
      <c r="E333" s="7"/>
      <c r="F333" s="7"/>
      <c r="G333" s="7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spans="1:25" ht="16.8" x14ac:dyDescent="0.45">
      <c r="A334" s="7"/>
      <c r="B334" s="7"/>
      <c r="C334" s="7"/>
      <c r="D334" s="7"/>
      <c r="E334" s="7"/>
      <c r="F334" s="7"/>
      <c r="G334" s="7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spans="1:25" ht="16.8" x14ac:dyDescent="0.45">
      <c r="A335" s="7"/>
      <c r="B335" s="7"/>
      <c r="C335" s="7"/>
      <c r="D335" s="7"/>
      <c r="E335" s="7"/>
      <c r="F335" s="7"/>
      <c r="G335" s="7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spans="1:25" ht="16.8" x14ac:dyDescent="0.45">
      <c r="A336" s="7"/>
      <c r="B336" s="7"/>
      <c r="C336" s="7"/>
      <c r="D336" s="7"/>
      <c r="E336" s="7"/>
      <c r="F336" s="7"/>
      <c r="G336" s="7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spans="1:25" ht="16.8" x14ac:dyDescent="0.45">
      <c r="A337" s="7"/>
      <c r="B337" s="7"/>
      <c r="C337" s="7"/>
      <c r="D337" s="7"/>
      <c r="E337" s="7"/>
      <c r="F337" s="7"/>
      <c r="G337" s="7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spans="1:25" ht="16.8" x14ac:dyDescent="0.45">
      <c r="A338" s="7"/>
      <c r="B338" s="7"/>
      <c r="C338" s="7"/>
      <c r="D338" s="7"/>
      <c r="E338" s="7"/>
      <c r="F338" s="7"/>
      <c r="G338" s="7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spans="1:25" ht="16.8" x14ac:dyDescent="0.45">
      <c r="A339" s="7"/>
      <c r="B339" s="7"/>
      <c r="C339" s="7"/>
      <c r="D339" s="7"/>
      <c r="E339" s="7"/>
      <c r="F339" s="7"/>
      <c r="G339" s="7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spans="1:25" ht="16.8" x14ac:dyDescent="0.45">
      <c r="A340" s="7"/>
      <c r="B340" s="7"/>
      <c r="C340" s="7"/>
      <c r="D340" s="7"/>
      <c r="E340" s="7"/>
      <c r="F340" s="7"/>
      <c r="G340" s="7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spans="1:25" ht="16.8" x14ac:dyDescent="0.45">
      <c r="A341" s="7"/>
      <c r="B341" s="7"/>
      <c r="C341" s="7"/>
      <c r="D341" s="7"/>
      <c r="E341" s="7"/>
      <c r="F341" s="7"/>
      <c r="G341" s="7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spans="1:25" ht="16.8" x14ac:dyDescent="0.45">
      <c r="A342" s="7"/>
      <c r="B342" s="7"/>
      <c r="C342" s="7"/>
      <c r="D342" s="7"/>
      <c r="E342" s="7"/>
      <c r="F342" s="7"/>
      <c r="G342" s="7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spans="1:25" ht="16.8" x14ac:dyDescent="0.45">
      <c r="A343" s="7"/>
      <c r="B343" s="7"/>
      <c r="C343" s="7"/>
      <c r="D343" s="7"/>
      <c r="E343" s="7"/>
      <c r="F343" s="7"/>
      <c r="G343" s="7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spans="1:25" ht="16.8" x14ac:dyDescent="0.45">
      <c r="A344" s="7"/>
      <c r="B344" s="7"/>
      <c r="C344" s="7"/>
      <c r="D344" s="7"/>
      <c r="E344" s="7"/>
      <c r="F344" s="7"/>
      <c r="G344" s="7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spans="1:25" ht="16.8" x14ac:dyDescent="0.45">
      <c r="A345" s="7"/>
      <c r="B345" s="7"/>
      <c r="C345" s="7"/>
      <c r="D345" s="7"/>
      <c r="E345" s="7"/>
      <c r="F345" s="7"/>
      <c r="G345" s="7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spans="1:25" ht="16.8" x14ac:dyDescent="0.45">
      <c r="A346" s="7"/>
      <c r="B346" s="7"/>
      <c r="C346" s="7"/>
      <c r="D346" s="7"/>
      <c r="E346" s="7"/>
      <c r="F346" s="7"/>
      <c r="G346" s="7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spans="1:25" ht="16.8" x14ac:dyDescent="0.45">
      <c r="A347" s="7"/>
      <c r="B347" s="7"/>
      <c r="C347" s="7"/>
      <c r="D347" s="7"/>
      <c r="E347" s="7"/>
      <c r="F347" s="7"/>
      <c r="G347" s="7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spans="1:25" ht="16.8" x14ac:dyDescent="0.45">
      <c r="A348" s="7"/>
      <c r="B348" s="7"/>
      <c r="C348" s="7"/>
      <c r="D348" s="7"/>
      <c r="E348" s="7"/>
      <c r="F348" s="7"/>
      <c r="G348" s="7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spans="1:25" ht="16.8" x14ac:dyDescent="0.45">
      <c r="A349" s="7"/>
      <c r="B349" s="7"/>
      <c r="C349" s="7"/>
      <c r="D349" s="7"/>
      <c r="E349" s="7"/>
      <c r="F349" s="7"/>
      <c r="G349" s="7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spans="1:25" ht="16.8" x14ac:dyDescent="0.45">
      <c r="A350" s="7"/>
      <c r="B350" s="7"/>
      <c r="C350" s="7"/>
      <c r="D350" s="7"/>
      <c r="E350" s="7"/>
      <c r="F350" s="7"/>
      <c r="G350" s="7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spans="1:25" ht="16.8" x14ac:dyDescent="0.45">
      <c r="A351" s="7"/>
      <c r="B351" s="7"/>
      <c r="C351" s="7"/>
      <c r="D351" s="7"/>
      <c r="E351" s="7"/>
      <c r="F351" s="7"/>
      <c r="G351" s="7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spans="1:25" ht="16.8" x14ac:dyDescent="0.45">
      <c r="A352" s="7"/>
      <c r="B352" s="7"/>
      <c r="C352" s="7"/>
      <c r="D352" s="7"/>
      <c r="E352" s="7"/>
      <c r="F352" s="7"/>
      <c r="G352" s="7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spans="1:25" ht="16.8" x14ac:dyDescent="0.45">
      <c r="A353" s="7"/>
      <c r="B353" s="7"/>
      <c r="C353" s="7"/>
      <c r="D353" s="7"/>
      <c r="E353" s="7"/>
      <c r="F353" s="7"/>
      <c r="G353" s="7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spans="1:25" ht="16.8" x14ac:dyDescent="0.45">
      <c r="A354" s="7"/>
      <c r="B354" s="7"/>
      <c r="C354" s="7"/>
      <c r="D354" s="7"/>
      <c r="E354" s="7"/>
      <c r="F354" s="7"/>
      <c r="G354" s="7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spans="1:25" ht="16.8" x14ac:dyDescent="0.45">
      <c r="A355" s="7"/>
      <c r="B355" s="7"/>
      <c r="C355" s="7"/>
      <c r="D355" s="7"/>
      <c r="E355" s="7"/>
      <c r="F355" s="7"/>
      <c r="G355" s="7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spans="1:25" ht="16.8" x14ac:dyDescent="0.45">
      <c r="A356" s="7"/>
      <c r="B356" s="7"/>
      <c r="C356" s="7"/>
      <c r="D356" s="7"/>
      <c r="E356" s="7"/>
      <c r="F356" s="7"/>
      <c r="G356" s="7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spans="1:25" ht="16.8" x14ac:dyDescent="0.45">
      <c r="A357" s="7"/>
      <c r="B357" s="7"/>
      <c r="C357" s="7"/>
      <c r="D357" s="7"/>
      <c r="E357" s="7"/>
      <c r="F357" s="7"/>
      <c r="G357" s="7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spans="1:25" ht="16.8" x14ac:dyDescent="0.45">
      <c r="A358" s="7"/>
      <c r="B358" s="7"/>
      <c r="C358" s="7"/>
      <c r="D358" s="7"/>
      <c r="E358" s="7"/>
      <c r="F358" s="7"/>
      <c r="G358" s="7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spans="1:25" ht="16.8" x14ac:dyDescent="0.45">
      <c r="A359" s="7"/>
      <c r="B359" s="7"/>
      <c r="C359" s="7"/>
      <c r="D359" s="7"/>
      <c r="E359" s="7"/>
      <c r="F359" s="7"/>
      <c r="G359" s="7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spans="1:25" ht="16.8" x14ac:dyDescent="0.45">
      <c r="A360" s="7"/>
      <c r="B360" s="7"/>
      <c r="C360" s="7"/>
      <c r="D360" s="7"/>
      <c r="E360" s="7"/>
      <c r="F360" s="7"/>
      <c r="G360" s="7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spans="1:25" ht="16.8" x14ac:dyDescent="0.45">
      <c r="A361" s="7"/>
      <c r="B361" s="7"/>
      <c r="C361" s="7"/>
      <c r="D361" s="7"/>
      <c r="E361" s="7"/>
      <c r="F361" s="7"/>
      <c r="G361" s="7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spans="1:25" ht="16.8" x14ac:dyDescent="0.45">
      <c r="A362" s="7"/>
      <c r="B362" s="7"/>
      <c r="C362" s="7"/>
      <c r="D362" s="7"/>
      <c r="E362" s="7"/>
      <c r="F362" s="7"/>
      <c r="G362" s="7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spans="1:25" ht="16.8" x14ac:dyDescent="0.45">
      <c r="A363" s="7"/>
      <c r="B363" s="7"/>
      <c r="C363" s="7"/>
      <c r="D363" s="7"/>
      <c r="E363" s="7"/>
      <c r="F363" s="7"/>
      <c r="G363" s="7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spans="1:25" ht="16.8" x14ac:dyDescent="0.45">
      <c r="A364" s="7"/>
      <c r="B364" s="7"/>
      <c r="C364" s="7"/>
      <c r="D364" s="7"/>
      <c r="E364" s="7"/>
      <c r="F364" s="7"/>
      <c r="G364" s="7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spans="1:25" ht="16.8" x14ac:dyDescent="0.45">
      <c r="A365" s="7"/>
      <c r="B365" s="7"/>
      <c r="C365" s="7"/>
      <c r="D365" s="7"/>
      <c r="E365" s="7"/>
      <c r="F365" s="7"/>
      <c r="G365" s="7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spans="1:25" ht="16.8" x14ac:dyDescent="0.45">
      <c r="A366" s="7"/>
      <c r="B366" s="7"/>
      <c r="C366" s="7"/>
      <c r="D366" s="7"/>
      <c r="E366" s="7"/>
      <c r="F366" s="7"/>
      <c r="G366" s="7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spans="1:25" ht="16.8" x14ac:dyDescent="0.45">
      <c r="A367" s="7"/>
      <c r="B367" s="7"/>
      <c r="C367" s="7"/>
      <c r="D367" s="7"/>
      <c r="E367" s="7"/>
      <c r="F367" s="7"/>
      <c r="G367" s="7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spans="1:25" ht="16.8" x14ac:dyDescent="0.45">
      <c r="A368" s="7"/>
      <c r="B368" s="7"/>
      <c r="C368" s="7"/>
      <c r="D368" s="7"/>
      <c r="E368" s="7"/>
      <c r="F368" s="7"/>
      <c r="G368" s="7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spans="1:25" ht="16.8" x14ac:dyDescent="0.45">
      <c r="A369" s="7"/>
      <c r="B369" s="7"/>
      <c r="C369" s="7"/>
      <c r="D369" s="7"/>
      <c r="E369" s="7"/>
      <c r="F369" s="7"/>
      <c r="G369" s="7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spans="1:25" ht="16.8" x14ac:dyDescent="0.45">
      <c r="A370" s="7"/>
      <c r="B370" s="7"/>
      <c r="C370" s="7"/>
      <c r="D370" s="7"/>
      <c r="E370" s="7"/>
      <c r="F370" s="7"/>
      <c r="G370" s="7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spans="1:25" ht="16.8" x14ac:dyDescent="0.45">
      <c r="A371" s="7"/>
      <c r="B371" s="7"/>
      <c r="C371" s="7"/>
      <c r="D371" s="7"/>
      <c r="E371" s="7"/>
      <c r="F371" s="7"/>
      <c r="G371" s="7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spans="1:25" ht="16.8" x14ac:dyDescent="0.45">
      <c r="A372" s="7"/>
      <c r="B372" s="7"/>
      <c r="C372" s="7"/>
      <c r="D372" s="7"/>
      <c r="E372" s="7"/>
      <c r="F372" s="7"/>
      <c r="G372" s="7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spans="1:25" ht="16.8" x14ac:dyDescent="0.45">
      <c r="A373" s="7"/>
      <c r="B373" s="7"/>
      <c r="C373" s="7"/>
      <c r="D373" s="7"/>
      <c r="E373" s="7"/>
      <c r="F373" s="7"/>
      <c r="G373" s="7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spans="1:25" ht="16.8" x14ac:dyDescent="0.45">
      <c r="A374" s="7"/>
      <c r="B374" s="7"/>
      <c r="C374" s="7"/>
      <c r="D374" s="7"/>
      <c r="E374" s="7"/>
      <c r="F374" s="7"/>
      <c r="G374" s="7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spans="1:25" ht="16.8" x14ac:dyDescent="0.45">
      <c r="A375" s="7"/>
      <c r="B375" s="7"/>
      <c r="C375" s="7"/>
      <c r="D375" s="7"/>
      <c r="E375" s="7"/>
      <c r="F375" s="7"/>
      <c r="G375" s="7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spans="1:25" ht="16.8" x14ac:dyDescent="0.45">
      <c r="A376" s="7"/>
      <c r="B376" s="7"/>
      <c r="C376" s="7"/>
      <c r="D376" s="7"/>
      <c r="E376" s="7"/>
      <c r="F376" s="7"/>
      <c r="G376" s="7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spans="1:25" ht="16.8" x14ac:dyDescent="0.45">
      <c r="A377" s="7"/>
      <c r="B377" s="7"/>
      <c r="C377" s="7"/>
      <c r="D377" s="7"/>
      <c r="E377" s="7"/>
      <c r="F377" s="7"/>
      <c r="G377" s="7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spans="1:25" ht="16.8" x14ac:dyDescent="0.45">
      <c r="A378" s="7"/>
      <c r="B378" s="7"/>
      <c r="C378" s="7"/>
      <c r="D378" s="7"/>
      <c r="E378" s="7"/>
      <c r="F378" s="7"/>
      <c r="G378" s="7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spans="1:25" ht="16.8" x14ac:dyDescent="0.45">
      <c r="A379" s="7"/>
      <c r="B379" s="7"/>
      <c r="C379" s="7"/>
      <c r="D379" s="7"/>
      <c r="E379" s="7"/>
      <c r="F379" s="7"/>
      <c r="G379" s="7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spans="1:25" ht="16.8" x14ac:dyDescent="0.45">
      <c r="A380" s="7"/>
      <c r="B380" s="7"/>
      <c r="C380" s="7"/>
      <c r="D380" s="7"/>
      <c r="E380" s="7"/>
      <c r="F380" s="7"/>
      <c r="G380" s="7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spans="1:25" ht="16.8" x14ac:dyDescent="0.45">
      <c r="A381" s="7"/>
      <c r="B381" s="7"/>
      <c r="C381" s="7"/>
      <c r="D381" s="7"/>
      <c r="E381" s="7"/>
      <c r="F381" s="7"/>
      <c r="G381" s="7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spans="1:25" ht="16.8" x14ac:dyDescent="0.45">
      <c r="A382" s="7"/>
      <c r="B382" s="7"/>
      <c r="C382" s="7"/>
      <c r="D382" s="7"/>
      <c r="E382" s="7"/>
      <c r="F382" s="7"/>
      <c r="G382" s="7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spans="1:25" ht="16.8" x14ac:dyDescent="0.45">
      <c r="A383" s="7"/>
      <c r="B383" s="7"/>
      <c r="C383" s="7"/>
      <c r="D383" s="7"/>
      <c r="E383" s="7"/>
      <c r="F383" s="7"/>
      <c r="G383" s="7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spans="1:25" ht="16.8" x14ac:dyDescent="0.45">
      <c r="A384" s="7"/>
      <c r="B384" s="7"/>
      <c r="C384" s="7"/>
      <c r="D384" s="7"/>
      <c r="E384" s="7"/>
      <c r="F384" s="7"/>
      <c r="G384" s="7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spans="1:25" ht="16.8" x14ac:dyDescent="0.45">
      <c r="A385" s="7"/>
      <c r="B385" s="7"/>
      <c r="C385" s="7"/>
      <c r="D385" s="7"/>
      <c r="E385" s="7"/>
      <c r="F385" s="7"/>
      <c r="G385" s="7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spans="1:25" ht="16.8" x14ac:dyDescent="0.45">
      <c r="A386" s="7"/>
      <c r="B386" s="7"/>
      <c r="C386" s="7"/>
      <c r="D386" s="7"/>
      <c r="E386" s="7"/>
      <c r="F386" s="7"/>
      <c r="G386" s="7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spans="1:25" ht="16.8" x14ac:dyDescent="0.45">
      <c r="A387" s="7"/>
      <c r="B387" s="7"/>
      <c r="C387" s="7"/>
      <c r="D387" s="7"/>
      <c r="E387" s="7"/>
      <c r="F387" s="7"/>
      <c r="G387" s="7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spans="1:25" ht="16.8" x14ac:dyDescent="0.45">
      <c r="A388" s="7"/>
      <c r="B388" s="7"/>
      <c r="C388" s="7"/>
      <c r="D388" s="7"/>
      <c r="E388" s="7"/>
      <c r="F388" s="7"/>
      <c r="G388" s="7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spans="1:25" ht="16.8" x14ac:dyDescent="0.45">
      <c r="A389" s="7"/>
      <c r="B389" s="7"/>
      <c r="C389" s="7"/>
      <c r="D389" s="7"/>
      <c r="E389" s="7"/>
      <c r="F389" s="7"/>
      <c r="G389" s="7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spans="1:25" ht="16.8" x14ac:dyDescent="0.45">
      <c r="A390" s="7"/>
      <c r="B390" s="7"/>
      <c r="C390" s="7"/>
      <c r="D390" s="7"/>
      <c r="E390" s="7"/>
      <c r="F390" s="7"/>
      <c r="G390" s="7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spans="1:25" ht="16.8" x14ac:dyDescent="0.45">
      <c r="A391" s="7"/>
      <c r="B391" s="7"/>
      <c r="C391" s="7"/>
      <c r="D391" s="7"/>
      <c r="E391" s="7"/>
      <c r="F391" s="7"/>
      <c r="G391" s="7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spans="1:25" ht="16.8" x14ac:dyDescent="0.45">
      <c r="A392" s="7"/>
      <c r="B392" s="7"/>
      <c r="C392" s="7"/>
      <c r="D392" s="7"/>
      <c r="E392" s="7"/>
      <c r="F392" s="7"/>
      <c r="G392" s="7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spans="1:25" ht="16.8" x14ac:dyDescent="0.45">
      <c r="A393" s="7"/>
      <c r="B393" s="7"/>
      <c r="C393" s="7"/>
      <c r="D393" s="7"/>
      <c r="E393" s="7"/>
      <c r="F393" s="7"/>
      <c r="G393" s="7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spans="1:25" ht="16.8" x14ac:dyDescent="0.45">
      <c r="A394" s="7"/>
      <c r="B394" s="7"/>
      <c r="C394" s="7"/>
      <c r="D394" s="7"/>
      <c r="E394" s="7"/>
      <c r="F394" s="7"/>
      <c r="G394" s="7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spans="1:25" ht="16.8" x14ac:dyDescent="0.45">
      <c r="A395" s="7"/>
      <c r="B395" s="7"/>
      <c r="C395" s="7"/>
      <c r="D395" s="7"/>
      <c r="E395" s="7"/>
      <c r="F395" s="7"/>
      <c r="G395" s="7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spans="1:25" ht="16.8" x14ac:dyDescent="0.45">
      <c r="A396" s="7"/>
      <c r="B396" s="7"/>
      <c r="C396" s="7"/>
      <c r="D396" s="7"/>
      <c r="E396" s="7"/>
      <c r="F396" s="7"/>
      <c r="G396" s="7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spans="1:25" ht="16.8" x14ac:dyDescent="0.45">
      <c r="A397" s="7"/>
      <c r="B397" s="7"/>
      <c r="C397" s="7"/>
      <c r="D397" s="7"/>
      <c r="E397" s="7"/>
      <c r="F397" s="7"/>
      <c r="G397" s="7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spans="1:25" ht="16.8" x14ac:dyDescent="0.45">
      <c r="A398" s="7"/>
      <c r="B398" s="7"/>
      <c r="C398" s="7"/>
      <c r="D398" s="7"/>
      <c r="E398" s="7"/>
      <c r="F398" s="7"/>
      <c r="G398" s="7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spans="1:25" ht="16.8" x14ac:dyDescent="0.45">
      <c r="A399" s="7"/>
      <c r="B399" s="7"/>
      <c r="C399" s="7"/>
      <c r="D399" s="7"/>
      <c r="E399" s="7"/>
      <c r="F399" s="7"/>
      <c r="G399" s="7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spans="1:25" ht="16.8" x14ac:dyDescent="0.45">
      <c r="A400" s="7"/>
      <c r="B400" s="7"/>
      <c r="C400" s="7"/>
      <c r="D400" s="7"/>
      <c r="E400" s="7"/>
      <c r="F400" s="7"/>
      <c r="G400" s="7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spans="1:25" ht="16.8" x14ac:dyDescent="0.45">
      <c r="A401" s="7"/>
      <c r="B401" s="7"/>
      <c r="C401" s="7"/>
      <c r="D401" s="7"/>
      <c r="E401" s="7"/>
      <c r="F401" s="7"/>
      <c r="G401" s="7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spans="1:25" ht="16.8" x14ac:dyDescent="0.45">
      <c r="A402" s="7"/>
      <c r="B402" s="7"/>
      <c r="C402" s="7"/>
      <c r="D402" s="7"/>
      <c r="E402" s="7"/>
      <c r="F402" s="7"/>
      <c r="G402" s="7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spans="1:25" ht="16.8" x14ac:dyDescent="0.45">
      <c r="A403" s="7"/>
      <c r="B403" s="7"/>
      <c r="C403" s="7"/>
      <c r="D403" s="7"/>
      <c r="E403" s="7"/>
      <c r="F403" s="7"/>
      <c r="G403" s="7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1:25" ht="16.8" x14ac:dyDescent="0.45">
      <c r="A404" s="7"/>
      <c r="B404" s="7"/>
      <c r="C404" s="7"/>
      <c r="D404" s="7"/>
      <c r="E404" s="7"/>
      <c r="F404" s="7"/>
      <c r="G404" s="7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1:25" ht="16.8" x14ac:dyDescent="0.45">
      <c r="A405" s="7"/>
      <c r="B405" s="7"/>
      <c r="C405" s="7"/>
      <c r="D405" s="7"/>
      <c r="E405" s="7"/>
      <c r="F405" s="7"/>
      <c r="G405" s="7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1:25" ht="16.8" x14ac:dyDescent="0.45">
      <c r="A406" s="7"/>
      <c r="B406" s="7"/>
      <c r="C406" s="7"/>
      <c r="D406" s="7"/>
      <c r="E406" s="7"/>
      <c r="F406" s="7"/>
      <c r="G406" s="7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spans="1:25" ht="16.8" x14ac:dyDescent="0.45">
      <c r="A407" s="7"/>
      <c r="B407" s="7"/>
      <c r="C407" s="7"/>
      <c r="D407" s="7"/>
      <c r="E407" s="7"/>
      <c r="F407" s="7"/>
      <c r="G407" s="7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1:25" ht="16.8" x14ac:dyDescent="0.45">
      <c r="A408" s="7"/>
      <c r="B408" s="7"/>
      <c r="C408" s="7"/>
      <c r="D408" s="7"/>
      <c r="E408" s="7"/>
      <c r="F408" s="7"/>
      <c r="G408" s="7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1:25" ht="16.8" x14ac:dyDescent="0.45">
      <c r="A409" s="7"/>
      <c r="B409" s="7"/>
      <c r="C409" s="7"/>
      <c r="D409" s="7"/>
      <c r="E409" s="7"/>
      <c r="F409" s="7"/>
      <c r="G409" s="7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1:25" ht="16.8" x14ac:dyDescent="0.45">
      <c r="A410" s="7"/>
      <c r="B410" s="7"/>
      <c r="C410" s="7"/>
      <c r="D410" s="7"/>
      <c r="E410" s="7"/>
      <c r="F410" s="7"/>
      <c r="G410" s="7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25" ht="16.8" x14ac:dyDescent="0.45">
      <c r="A411" s="7"/>
      <c r="B411" s="7"/>
      <c r="C411" s="7"/>
      <c r="D411" s="7"/>
      <c r="E411" s="7"/>
      <c r="F411" s="7"/>
      <c r="G411" s="7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1:25" ht="16.8" x14ac:dyDescent="0.45">
      <c r="A412" s="7"/>
      <c r="B412" s="7"/>
      <c r="C412" s="7"/>
      <c r="D412" s="7"/>
      <c r="E412" s="7"/>
      <c r="F412" s="7"/>
      <c r="G412" s="7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1:25" ht="16.8" x14ac:dyDescent="0.45">
      <c r="A413" s="7"/>
      <c r="B413" s="7"/>
      <c r="C413" s="7"/>
      <c r="D413" s="7"/>
      <c r="E413" s="7"/>
      <c r="F413" s="7"/>
      <c r="G413" s="7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25" ht="16.8" x14ac:dyDescent="0.45">
      <c r="A414" s="7"/>
      <c r="B414" s="7"/>
      <c r="C414" s="7"/>
      <c r="D414" s="7"/>
      <c r="E414" s="7"/>
      <c r="F414" s="7"/>
      <c r="G414" s="7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1:25" ht="16.8" x14ac:dyDescent="0.45">
      <c r="A415" s="7"/>
      <c r="B415" s="7"/>
      <c r="C415" s="7"/>
      <c r="D415" s="7"/>
      <c r="E415" s="7"/>
      <c r="F415" s="7"/>
      <c r="G415" s="7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spans="1:25" ht="16.8" x14ac:dyDescent="0.45">
      <c r="A416" s="7"/>
      <c r="B416" s="7"/>
      <c r="C416" s="7"/>
      <c r="D416" s="7"/>
      <c r="E416" s="7"/>
      <c r="F416" s="7"/>
      <c r="G416" s="7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spans="1:25" ht="16.8" x14ac:dyDescent="0.45">
      <c r="A417" s="7"/>
      <c r="B417" s="7"/>
      <c r="C417" s="7"/>
      <c r="D417" s="7"/>
      <c r="E417" s="7"/>
      <c r="F417" s="7"/>
      <c r="G417" s="7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5" ht="16.8" x14ac:dyDescent="0.45">
      <c r="A418" s="7"/>
      <c r="B418" s="7"/>
      <c r="C418" s="7"/>
      <c r="D418" s="7"/>
      <c r="E418" s="7"/>
      <c r="F418" s="7"/>
      <c r="G418" s="7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1:25" ht="16.8" x14ac:dyDescent="0.45">
      <c r="A419" s="7"/>
      <c r="B419" s="7"/>
      <c r="C419" s="7"/>
      <c r="D419" s="7"/>
      <c r="E419" s="7"/>
      <c r="F419" s="7"/>
      <c r="G419" s="7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1:25" ht="16.8" x14ac:dyDescent="0.45">
      <c r="A420" s="7"/>
      <c r="B420" s="7"/>
      <c r="C420" s="7"/>
      <c r="D420" s="7"/>
      <c r="E420" s="7"/>
      <c r="F420" s="7"/>
      <c r="G420" s="7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ht="16.8" x14ac:dyDescent="0.45">
      <c r="A421" s="7"/>
      <c r="B421" s="7"/>
      <c r="C421" s="7"/>
      <c r="D421" s="7"/>
      <c r="E421" s="7"/>
      <c r="F421" s="7"/>
      <c r="G421" s="7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1:25" ht="16.8" x14ac:dyDescent="0.45">
      <c r="A422" s="7"/>
      <c r="B422" s="7"/>
      <c r="C422" s="7"/>
      <c r="D422" s="7"/>
      <c r="E422" s="7"/>
      <c r="F422" s="7"/>
      <c r="G422" s="7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1:25" ht="16.8" x14ac:dyDescent="0.45">
      <c r="A423" s="7"/>
      <c r="B423" s="7"/>
      <c r="C423" s="7"/>
      <c r="D423" s="7"/>
      <c r="E423" s="7"/>
      <c r="F423" s="7"/>
      <c r="G423" s="7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1:25" ht="16.8" x14ac:dyDescent="0.45">
      <c r="A424" s="7"/>
      <c r="B424" s="7"/>
      <c r="C424" s="7"/>
      <c r="D424" s="7"/>
      <c r="E424" s="7"/>
      <c r="F424" s="7"/>
      <c r="G424" s="7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1:25" ht="16.8" x14ac:dyDescent="0.45">
      <c r="A425" s="7"/>
      <c r="B425" s="7"/>
      <c r="C425" s="7"/>
      <c r="D425" s="7"/>
      <c r="E425" s="7"/>
      <c r="F425" s="7"/>
      <c r="G425" s="7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1:25" ht="16.8" x14ac:dyDescent="0.45">
      <c r="A426" s="7"/>
      <c r="B426" s="7"/>
      <c r="C426" s="7"/>
      <c r="D426" s="7"/>
      <c r="E426" s="7"/>
      <c r="F426" s="7"/>
      <c r="G426" s="7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ht="16.8" x14ac:dyDescent="0.45">
      <c r="A427" s="7"/>
      <c r="B427" s="7"/>
      <c r="C427" s="7"/>
      <c r="D427" s="7"/>
      <c r="E427" s="7"/>
      <c r="F427" s="7"/>
      <c r="G427" s="7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25" ht="16.8" x14ac:dyDescent="0.45">
      <c r="A428" s="7"/>
      <c r="B428" s="7"/>
      <c r="C428" s="7"/>
      <c r="D428" s="7"/>
      <c r="E428" s="7"/>
      <c r="F428" s="7"/>
      <c r="G428" s="7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5" ht="16.8" x14ac:dyDescent="0.45">
      <c r="A429" s="7"/>
      <c r="B429" s="7"/>
      <c r="C429" s="7"/>
      <c r="D429" s="7"/>
      <c r="E429" s="7"/>
      <c r="F429" s="7"/>
      <c r="G429" s="7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ht="16.8" x14ac:dyDescent="0.45">
      <c r="A430" s="7"/>
      <c r="B430" s="7"/>
      <c r="C430" s="7"/>
      <c r="D430" s="7"/>
      <c r="E430" s="7"/>
      <c r="F430" s="7"/>
      <c r="G430" s="7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ht="16.8" x14ac:dyDescent="0.45">
      <c r="A431" s="7"/>
      <c r="B431" s="7"/>
      <c r="C431" s="7"/>
      <c r="D431" s="7"/>
      <c r="E431" s="7"/>
      <c r="F431" s="7"/>
      <c r="G431" s="7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25" ht="16.8" x14ac:dyDescent="0.45">
      <c r="A432" s="7"/>
      <c r="B432" s="7"/>
      <c r="C432" s="7"/>
      <c r="D432" s="7"/>
      <c r="E432" s="7"/>
      <c r="F432" s="7"/>
      <c r="G432" s="7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ht="16.8" x14ac:dyDescent="0.45">
      <c r="A433" s="7"/>
      <c r="B433" s="7"/>
      <c r="C433" s="7"/>
      <c r="D433" s="7"/>
      <c r="E433" s="7"/>
      <c r="F433" s="7"/>
      <c r="G433" s="7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1:25" ht="16.8" x14ac:dyDescent="0.45">
      <c r="A434" s="7"/>
      <c r="B434" s="7"/>
      <c r="C434" s="7"/>
      <c r="D434" s="7"/>
      <c r="E434" s="7"/>
      <c r="F434" s="7"/>
      <c r="G434" s="7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ht="16.8" x14ac:dyDescent="0.45">
      <c r="A435" s="7"/>
      <c r="B435" s="7"/>
      <c r="C435" s="7"/>
      <c r="D435" s="7"/>
      <c r="E435" s="7"/>
      <c r="F435" s="7"/>
      <c r="G435" s="7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ht="16.8" x14ac:dyDescent="0.45">
      <c r="A436" s="7"/>
      <c r="B436" s="7"/>
      <c r="C436" s="7"/>
      <c r="D436" s="7"/>
      <c r="E436" s="7"/>
      <c r="F436" s="7"/>
      <c r="G436" s="7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ht="16.8" x14ac:dyDescent="0.45">
      <c r="A437" s="7"/>
      <c r="B437" s="7"/>
      <c r="C437" s="7"/>
      <c r="D437" s="7"/>
      <c r="E437" s="7"/>
      <c r="F437" s="7"/>
      <c r="G437" s="7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ht="16.8" x14ac:dyDescent="0.45">
      <c r="A438" s="7"/>
      <c r="B438" s="7"/>
      <c r="C438" s="7"/>
      <c r="D438" s="7"/>
      <c r="E438" s="7"/>
      <c r="F438" s="7"/>
      <c r="G438" s="7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1:25" ht="16.8" x14ac:dyDescent="0.45">
      <c r="A439" s="7"/>
      <c r="B439" s="7"/>
      <c r="C439" s="7"/>
      <c r="D439" s="7"/>
      <c r="E439" s="7"/>
      <c r="F439" s="7"/>
      <c r="G439" s="7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ht="16.8" x14ac:dyDescent="0.45">
      <c r="A440" s="7"/>
      <c r="B440" s="7"/>
      <c r="C440" s="7"/>
      <c r="D440" s="7"/>
      <c r="E440" s="7"/>
      <c r="F440" s="7"/>
      <c r="G440" s="7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ht="16.8" x14ac:dyDescent="0.45">
      <c r="A441" s="7"/>
      <c r="B441" s="7"/>
      <c r="C441" s="7"/>
      <c r="D441" s="7"/>
      <c r="E441" s="7"/>
      <c r="F441" s="7"/>
      <c r="G441" s="7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1:25" ht="16.8" x14ac:dyDescent="0.45">
      <c r="A442" s="7"/>
      <c r="B442" s="7"/>
      <c r="C442" s="7"/>
      <c r="D442" s="7"/>
      <c r="E442" s="7"/>
      <c r="F442" s="7"/>
      <c r="G442" s="7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1:25" ht="16.8" x14ac:dyDescent="0.45">
      <c r="A443" s="7"/>
      <c r="B443" s="7"/>
      <c r="C443" s="7"/>
      <c r="D443" s="7"/>
      <c r="E443" s="7"/>
      <c r="F443" s="7"/>
      <c r="G443" s="7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ht="16.8" x14ac:dyDescent="0.45">
      <c r="A444" s="7"/>
      <c r="B444" s="7"/>
      <c r="C444" s="7"/>
      <c r="D444" s="7"/>
      <c r="E444" s="7"/>
      <c r="F444" s="7"/>
      <c r="G444" s="7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ht="16.8" x14ac:dyDescent="0.45">
      <c r="A445" s="7"/>
      <c r="B445" s="7"/>
      <c r="C445" s="7"/>
      <c r="D445" s="7"/>
      <c r="E445" s="7"/>
      <c r="F445" s="7"/>
      <c r="G445" s="7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1:25" ht="16.8" x14ac:dyDescent="0.45">
      <c r="A446" s="7"/>
      <c r="B446" s="7"/>
      <c r="C446" s="7"/>
      <c r="D446" s="7"/>
      <c r="E446" s="7"/>
      <c r="F446" s="7"/>
      <c r="G446" s="7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ht="16.8" x14ac:dyDescent="0.45">
      <c r="A447" s="7"/>
      <c r="B447" s="7"/>
      <c r="C447" s="7"/>
      <c r="D447" s="7"/>
      <c r="E447" s="7"/>
      <c r="F447" s="7"/>
      <c r="G447" s="7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5" ht="16.8" x14ac:dyDescent="0.45">
      <c r="A448" s="7"/>
      <c r="B448" s="7"/>
      <c r="C448" s="7"/>
      <c r="D448" s="7"/>
      <c r="E448" s="7"/>
      <c r="F448" s="7"/>
      <c r="G448" s="7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ht="16.8" x14ac:dyDescent="0.45">
      <c r="A449" s="7"/>
      <c r="B449" s="7"/>
      <c r="C449" s="7"/>
      <c r="D449" s="7"/>
      <c r="E449" s="7"/>
      <c r="F449" s="7"/>
      <c r="G449" s="7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ht="16.8" x14ac:dyDescent="0.45">
      <c r="A450" s="7"/>
      <c r="B450" s="7"/>
      <c r="C450" s="7"/>
      <c r="D450" s="7"/>
      <c r="E450" s="7"/>
      <c r="F450" s="7"/>
      <c r="G450" s="7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spans="1:25" ht="16.8" x14ac:dyDescent="0.45">
      <c r="A451" s="7"/>
      <c r="B451" s="7"/>
      <c r="C451" s="7"/>
      <c r="D451" s="7"/>
      <c r="E451" s="7"/>
      <c r="F451" s="7"/>
      <c r="G451" s="7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spans="1:25" ht="16.8" x14ac:dyDescent="0.45">
      <c r="A452" s="7"/>
      <c r="B452" s="7"/>
      <c r="C452" s="7"/>
      <c r="D452" s="7"/>
      <c r="E452" s="7"/>
      <c r="F452" s="7"/>
      <c r="G452" s="7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1:25" ht="16.8" x14ac:dyDescent="0.45">
      <c r="A453" s="7"/>
      <c r="B453" s="7"/>
      <c r="C453" s="7"/>
      <c r="D453" s="7"/>
      <c r="E453" s="7"/>
      <c r="F453" s="7"/>
      <c r="G453" s="7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1:25" ht="16.8" x14ac:dyDescent="0.45">
      <c r="A454" s="7"/>
      <c r="B454" s="7"/>
      <c r="C454" s="7"/>
      <c r="D454" s="7"/>
      <c r="E454" s="7"/>
      <c r="F454" s="7"/>
      <c r="G454" s="7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ht="16.8" x14ac:dyDescent="0.45">
      <c r="A455" s="7"/>
      <c r="B455" s="7"/>
      <c r="C455" s="7"/>
      <c r="D455" s="7"/>
      <c r="E455" s="7"/>
      <c r="F455" s="7"/>
      <c r="G455" s="7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ht="16.8" x14ac:dyDescent="0.45">
      <c r="A456" s="7"/>
      <c r="B456" s="7"/>
      <c r="C456" s="7"/>
      <c r="D456" s="7"/>
      <c r="E456" s="7"/>
      <c r="F456" s="7"/>
      <c r="G456" s="7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1:25" ht="16.8" x14ac:dyDescent="0.45">
      <c r="A457" s="7"/>
      <c r="B457" s="7"/>
      <c r="C457" s="7"/>
      <c r="D457" s="7"/>
      <c r="E457" s="7"/>
      <c r="F457" s="7"/>
      <c r="G457" s="7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spans="1:25" ht="16.8" x14ac:dyDescent="0.45">
      <c r="A458" s="7"/>
      <c r="B458" s="7"/>
      <c r="C458" s="7"/>
      <c r="D458" s="7"/>
      <c r="E458" s="7"/>
      <c r="F458" s="7"/>
      <c r="G458" s="7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spans="1:25" ht="16.8" x14ac:dyDescent="0.45">
      <c r="A459" s="7"/>
      <c r="B459" s="7"/>
      <c r="C459" s="7"/>
      <c r="D459" s="7"/>
      <c r="E459" s="7"/>
      <c r="F459" s="7"/>
      <c r="G459" s="7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spans="1:25" ht="16.8" x14ac:dyDescent="0.45">
      <c r="A460" s="7"/>
      <c r="B460" s="7"/>
      <c r="C460" s="7"/>
      <c r="D460" s="7"/>
      <c r="E460" s="7"/>
      <c r="F460" s="7"/>
      <c r="G460" s="7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ht="16.8" x14ac:dyDescent="0.45">
      <c r="A461" s="7"/>
      <c r="B461" s="7"/>
      <c r="C461" s="7"/>
      <c r="D461" s="7"/>
      <c r="E461" s="7"/>
      <c r="F461" s="7"/>
      <c r="G461" s="7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ht="16.8" x14ac:dyDescent="0.45">
      <c r="A462" s="7"/>
      <c r="B462" s="7"/>
      <c r="C462" s="7"/>
      <c r="D462" s="7"/>
      <c r="E462" s="7"/>
      <c r="F462" s="7"/>
      <c r="G462" s="7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ht="16.8" x14ac:dyDescent="0.45">
      <c r="A463" s="7"/>
      <c r="B463" s="7"/>
      <c r="C463" s="7"/>
      <c r="D463" s="7"/>
      <c r="E463" s="7"/>
      <c r="F463" s="7"/>
      <c r="G463" s="7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spans="1:25" ht="16.8" x14ac:dyDescent="0.45">
      <c r="A464" s="7"/>
      <c r="B464" s="7"/>
      <c r="C464" s="7"/>
      <c r="D464" s="7"/>
      <c r="E464" s="7"/>
      <c r="F464" s="7"/>
      <c r="G464" s="7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ht="16.8" x14ac:dyDescent="0.45">
      <c r="A465" s="7"/>
      <c r="B465" s="7"/>
      <c r="C465" s="7"/>
      <c r="D465" s="7"/>
      <c r="E465" s="7"/>
      <c r="F465" s="7"/>
      <c r="G465" s="7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spans="1:25" ht="16.8" x14ac:dyDescent="0.45">
      <c r="A466" s="7"/>
      <c r="B466" s="7"/>
      <c r="C466" s="7"/>
      <c r="D466" s="7"/>
      <c r="E466" s="7"/>
      <c r="F466" s="7"/>
      <c r="G466" s="7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spans="1:25" ht="16.8" x14ac:dyDescent="0.45">
      <c r="A467" s="7"/>
      <c r="B467" s="7"/>
      <c r="C467" s="7"/>
      <c r="D467" s="7"/>
      <c r="E467" s="7"/>
      <c r="F467" s="7"/>
      <c r="G467" s="7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ht="16.8" x14ac:dyDescent="0.45">
      <c r="A468" s="7"/>
      <c r="B468" s="7"/>
      <c r="C468" s="7"/>
      <c r="D468" s="7"/>
      <c r="E468" s="7"/>
      <c r="F468" s="7"/>
      <c r="G468" s="7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spans="1:25" ht="16.8" x14ac:dyDescent="0.45">
      <c r="A469" s="7"/>
      <c r="B469" s="7"/>
      <c r="C469" s="7"/>
      <c r="D469" s="7"/>
      <c r="E469" s="7"/>
      <c r="F469" s="7"/>
      <c r="G469" s="7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spans="1:25" ht="16.8" x14ac:dyDescent="0.45">
      <c r="A470" s="7"/>
      <c r="B470" s="7"/>
      <c r="C470" s="7"/>
      <c r="D470" s="7"/>
      <c r="E470" s="7"/>
      <c r="F470" s="7"/>
      <c r="G470" s="7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spans="1:25" ht="16.8" x14ac:dyDescent="0.45">
      <c r="A471" s="7"/>
      <c r="B471" s="7"/>
      <c r="C471" s="7"/>
      <c r="D471" s="7"/>
      <c r="E471" s="7"/>
      <c r="F471" s="7"/>
      <c r="G471" s="7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ht="16.8" x14ac:dyDescent="0.45">
      <c r="A472" s="7"/>
      <c r="B472" s="7"/>
      <c r="C472" s="7"/>
      <c r="D472" s="7"/>
      <c r="E472" s="7"/>
      <c r="F472" s="7"/>
      <c r="G472" s="7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ht="16.8" x14ac:dyDescent="0.45">
      <c r="A473" s="7"/>
      <c r="B473" s="7"/>
      <c r="C473" s="7"/>
      <c r="D473" s="7"/>
      <c r="E473" s="7"/>
      <c r="F473" s="7"/>
      <c r="G473" s="7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ht="16.8" x14ac:dyDescent="0.45">
      <c r="A474" s="7"/>
      <c r="B474" s="7"/>
      <c r="C474" s="7"/>
      <c r="D474" s="7"/>
      <c r="E474" s="7"/>
      <c r="F474" s="7"/>
      <c r="G474" s="7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spans="1:25" ht="16.8" x14ac:dyDescent="0.45">
      <c r="A475" s="7"/>
      <c r="B475" s="7"/>
      <c r="C475" s="7"/>
      <c r="D475" s="7"/>
      <c r="E475" s="7"/>
      <c r="F475" s="7"/>
      <c r="G475" s="7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spans="1:25" ht="16.8" x14ac:dyDescent="0.45">
      <c r="A476" s="7"/>
      <c r="B476" s="7"/>
      <c r="C476" s="7"/>
      <c r="D476" s="7"/>
      <c r="E476" s="7"/>
      <c r="F476" s="7"/>
      <c r="G476" s="7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spans="1:25" ht="16.8" x14ac:dyDescent="0.45">
      <c r="A477" s="7"/>
      <c r="B477" s="7"/>
      <c r="C477" s="7"/>
      <c r="D477" s="7"/>
      <c r="E477" s="7"/>
      <c r="F477" s="7"/>
      <c r="G477" s="7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5" ht="16.8" x14ac:dyDescent="0.45">
      <c r="A478" s="7"/>
      <c r="B478" s="7"/>
      <c r="C478" s="7"/>
      <c r="D478" s="7"/>
      <c r="E478" s="7"/>
      <c r="F478" s="7"/>
      <c r="G478" s="7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ht="16.8" x14ac:dyDescent="0.45">
      <c r="A479" s="7"/>
      <c r="B479" s="7"/>
      <c r="C479" s="7"/>
      <c r="D479" s="7"/>
      <c r="E479" s="7"/>
      <c r="F479" s="7"/>
      <c r="G479" s="7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spans="1:25" ht="16.8" x14ac:dyDescent="0.45">
      <c r="A480" s="7"/>
      <c r="B480" s="7"/>
      <c r="C480" s="7"/>
      <c r="D480" s="7"/>
      <c r="E480" s="7"/>
      <c r="F480" s="7"/>
      <c r="G480" s="7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spans="1:25" ht="16.8" x14ac:dyDescent="0.45">
      <c r="A481" s="7"/>
      <c r="B481" s="7"/>
      <c r="C481" s="7"/>
      <c r="D481" s="7"/>
      <c r="E481" s="7"/>
      <c r="F481" s="7"/>
      <c r="G481" s="7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ht="16.8" x14ac:dyDescent="0.45">
      <c r="A482" s="7"/>
      <c r="B482" s="7"/>
      <c r="C482" s="7"/>
      <c r="D482" s="7"/>
      <c r="E482" s="7"/>
      <c r="F482" s="7"/>
      <c r="G482" s="7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ht="16.8" x14ac:dyDescent="0.45">
      <c r="A483" s="7"/>
      <c r="B483" s="7"/>
      <c r="C483" s="7"/>
      <c r="D483" s="7"/>
      <c r="E483" s="7"/>
      <c r="F483" s="7"/>
      <c r="G483" s="7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spans="1:25" ht="16.8" x14ac:dyDescent="0.45">
      <c r="A484" s="7"/>
      <c r="B484" s="7"/>
      <c r="C484" s="7"/>
      <c r="D484" s="7"/>
      <c r="E484" s="7"/>
      <c r="F484" s="7"/>
      <c r="G484" s="7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spans="1:25" ht="16.8" x14ac:dyDescent="0.45">
      <c r="A485" s="7"/>
      <c r="B485" s="7"/>
      <c r="C485" s="7"/>
      <c r="D485" s="7"/>
      <c r="E485" s="7"/>
      <c r="F485" s="7"/>
      <c r="G485" s="7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spans="1:25" ht="16.8" x14ac:dyDescent="0.45">
      <c r="A486" s="7"/>
      <c r="B486" s="7"/>
      <c r="C486" s="7"/>
      <c r="D486" s="7"/>
      <c r="E486" s="7"/>
      <c r="F486" s="7"/>
      <c r="G486" s="7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spans="1:25" ht="16.8" x14ac:dyDescent="0.45">
      <c r="A487" s="7"/>
      <c r="B487" s="7"/>
      <c r="C487" s="7"/>
      <c r="D487" s="7"/>
      <c r="E487" s="7"/>
      <c r="F487" s="7"/>
      <c r="G487" s="7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spans="1:25" ht="16.8" x14ac:dyDescent="0.45">
      <c r="A488" s="7"/>
      <c r="B488" s="7"/>
      <c r="C488" s="7"/>
      <c r="D488" s="7"/>
      <c r="E488" s="7"/>
      <c r="F488" s="7"/>
      <c r="G488" s="7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5" ht="16.8" x14ac:dyDescent="0.45">
      <c r="A489" s="7"/>
      <c r="B489" s="7"/>
      <c r="C489" s="7"/>
      <c r="D489" s="7"/>
      <c r="E489" s="7"/>
      <c r="F489" s="7"/>
      <c r="G489" s="7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spans="1:25" ht="16.8" x14ac:dyDescent="0.45">
      <c r="A490" s="7"/>
      <c r="B490" s="7"/>
      <c r="C490" s="7"/>
      <c r="D490" s="7"/>
      <c r="E490" s="7"/>
      <c r="F490" s="7"/>
      <c r="G490" s="7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spans="1:25" ht="16.8" x14ac:dyDescent="0.45">
      <c r="A491" s="7"/>
      <c r="B491" s="7"/>
      <c r="C491" s="7"/>
      <c r="D491" s="7"/>
      <c r="E491" s="7"/>
      <c r="F491" s="7"/>
      <c r="G491" s="7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spans="1:25" ht="16.8" x14ac:dyDescent="0.45">
      <c r="A492" s="7"/>
      <c r="B492" s="7"/>
      <c r="C492" s="7"/>
      <c r="D492" s="7"/>
      <c r="E492" s="7"/>
      <c r="F492" s="7"/>
      <c r="G492" s="7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spans="1:25" ht="16.8" x14ac:dyDescent="0.45">
      <c r="A493" s="7"/>
      <c r="B493" s="7"/>
      <c r="C493" s="7"/>
      <c r="D493" s="7"/>
      <c r="E493" s="7"/>
      <c r="F493" s="7"/>
      <c r="G493" s="7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spans="1:25" ht="16.8" x14ac:dyDescent="0.45">
      <c r="A494" s="7"/>
      <c r="B494" s="7"/>
      <c r="C494" s="7"/>
      <c r="D494" s="7"/>
      <c r="E494" s="7"/>
      <c r="F494" s="7"/>
      <c r="G494" s="7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spans="1:25" ht="16.8" x14ac:dyDescent="0.45">
      <c r="A495" s="7"/>
      <c r="B495" s="7"/>
      <c r="C495" s="7"/>
      <c r="D495" s="7"/>
      <c r="E495" s="7"/>
      <c r="F495" s="7"/>
      <c r="G495" s="7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spans="1:25" ht="16.8" x14ac:dyDescent="0.45">
      <c r="A496" s="7"/>
      <c r="B496" s="7"/>
      <c r="C496" s="7"/>
      <c r="D496" s="7"/>
      <c r="E496" s="7"/>
      <c r="F496" s="7"/>
      <c r="G496" s="7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spans="1:25" ht="16.8" x14ac:dyDescent="0.45">
      <c r="A497" s="7"/>
      <c r="B497" s="7"/>
      <c r="C497" s="7"/>
      <c r="D497" s="7"/>
      <c r="E497" s="7"/>
      <c r="F497" s="7"/>
      <c r="G497" s="7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spans="1:25" ht="16.8" x14ac:dyDescent="0.45">
      <c r="A498" s="7"/>
      <c r="B498" s="7"/>
      <c r="C498" s="7"/>
      <c r="D498" s="7"/>
      <c r="E498" s="7"/>
      <c r="F498" s="7"/>
      <c r="G498" s="7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spans="1:25" ht="16.8" x14ac:dyDescent="0.45">
      <c r="A499" s="7"/>
      <c r="B499" s="7"/>
      <c r="C499" s="7"/>
      <c r="D499" s="7"/>
      <c r="E499" s="7"/>
      <c r="F499" s="7"/>
      <c r="G499" s="7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spans="1:25" ht="16.8" x14ac:dyDescent="0.45">
      <c r="A500" s="7"/>
      <c r="B500" s="7"/>
      <c r="C500" s="7"/>
      <c r="D500" s="7"/>
      <c r="E500" s="7"/>
      <c r="F500" s="7"/>
      <c r="G500" s="7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spans="1:25" ht="16.8" x14ac:dyDescent="0.45">
      <c r="A501" s="7"/>
      <c r="B501" s="7"/>
      <c r="C501" s="7"/>
      <c r="D501" s="7"/>
      <c r="E501" s="7"/>
      <c r="F501" s="7"/>
      <c r="G501" s="7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spans="1:25" ht="16.8" x14ac:dyDescent="0.45">
      <c r="A502" s="7"/>
      <c r="B502" s="7"/>
      <c r="C502" s="7"/>
      <c r="D502" s="7"/>
      <c r="E502" s="7"/>
      <c r="F502" s="7"/>
      <c r="G502" s="7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spans="1:25" ht="16.8" x14ac:dyDescent="0.45">
      <c r="A503" s="7"/>
      <c r="B503" s="7"/>
      <c r="C503" s="7"/>
      <c r="D503" s="7"/>
      <c r="E503" s="7"/>
      <c r="F503" s="7"/>
      <c r="G503" s="7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spans="1:25" ht="16.8" x14ac:dyDescent="0.45">
      <c r="A504" s="7"/>
      <c r="B504" s="7"/>
      <c r="C504" s="7"/>
      <c r="D504" s="7"/>
      <c r="E504" s="7"/>
      <c r="F504" s="7"/>
      <c r="G504" s="7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spans="1:25" ht="16.8" x14ac:dyDescent="0.45">
      <c r="A505" s="7"/>
      <c r="B505" s="7"/>
      <c r="C505" s="7"/>
      <c r="D505" s="7"/>
      <c r="E505" s="7"/>
      <c r="F505" s="7"/>
      <c r="G505" s="7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spans="1:25" ht="16.8" x14ac:dyDescent="0.45">
      <c r="A506" s="7"/>
      <c r="B506" s="7"/>
      <c r="C506" s="7"/>
      <c r="D506" s="7"/>
      <c r="E506" s="7"/>
      <c r="F506" s="7"/>
      <c r="G506" s="7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spans="1:25" ht="16.8" x14ac:dyDescent="0.45">
      <c r="A507" s="7"/>
      <c r="B507" s="7"/>
      <c r="C507" s="7"/>
      <c r="D507" s="7"/>
      <c r="E507" s="7"/>
      <c r="F507" s="7"/>
      <c r="G507" s="7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5" ht="16.8" x14ac:dyDescent="0.45">
      <c r="A508" s="7"/>
      <c r="B508" s="7"/>
      <c r="C508" s="7"/>
      <c r="D508" s="7"/>
      <c r="E508" s="7"/>
      <c r="F508" s="7"/>
      <c r="G508" s="7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5" ht="16.8" x14ac:dyDescent="0.45">
      <c r="A509" s="7"/>
      <c r="B509" s="7"/>
      <c r="C509" s="7"/>
      <c r="D509" s="7"/>
      <c r="E509" s="7"/>
      <c r="F509" s="7"/>
      <c r="G509" s="7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5" ht="16.8" x14ac:dyDescent="0.45">
      <c r="A510" s="7"/>
      <c r="B510" s="7"/>
      <c r="C510" s="7"/>
      <c r="D510" s="7"/>
      <c r="E510" s="7"/>
      <c r="F510" s="7"/>
      <c r="G510" s="7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5" ht="16.8" x14ac:dyDescent="0.45">
      <c r="A511" s="7"/>
      <c r="B511" s="7"/>
      <c r="C511" s="7"/>
      <c r="D511" s="7"/>
      <c r="E511" s="7"/>
      <c r="F511" s="7"/>
      <c r="G511" s="7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5" ht="16.8" x14ac:dyDescent="0.45">
      <c r="A512" s="7"/>
      <c r="B512" s="7"/>
      <c r="C512" s="7"/>
      <c r="D512" s="7"/>
      <c r="E512" s="7"/>
      <c r="F512" s="7"/>
      <c r="G512" s="7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ht="16.8" x14ac:dyDescent="0.45">
      <c r="A513" s="7"/>
      <c r="B513" s="7"/>
      <c r="C513" s="7"/>
      <c r="D513" s="7"/>
      <c r="E513" s="7"/>
      <c r="F513" s="7"/>
      <c r="G513" s="7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ht="16.8" x14ac:dyDescent="0.45">
      <c r="A514" s="7"/>
      <c r="B514" s="7"/>
      <c r="C514" s="7"/>
      <c r="D514" s="7"/>
      <c r="E514" s="7"/>
      <c r="F514" s="7"/>
      <c r="G514" s="7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ht="16.8" x14ac:dyDescent="0.45">
      <c r="A515" s="7"/>
      <c r="B515" s="7"/>
      <c r="C515" s="7"/>
      <c r="D515" s="7"/>
      <c r="E515" s="7"/>
      <c r="F515" s="7"/>
      <c r="G515" s="7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ht="16.8" x14ac:dyDescent="0.45">
      <c r="A516" s="7"/>
      <c r="B516" s="7"/>
      <c r="C516" s="7"/>
      <c r="D516" s="7"/>
      <c r="E516" s="7"/>
      <c r="F516" s="7"/>
      <c r="G516" s="7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ht="16.8" x14ac:dyDescent="0.45">
      <c r="A517" s="7"/>
      <c r="B517" s="7"/>
      <c r="C517" s="7"/>
      <c r="D517" s="7"/>
      <c r="E517" s="7"/>
      <c r="F517" s="7"/>
      <c r="G517" s="7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ht="16.8" x14ac:dyDescent="0.45">
      <c r="A518" s="7"/>
      <c r="B518" s="7"/>
      <c r="C518" s="7"/>
      <c r="D518" s="7"/>
      <c r="E518" s="7"/>
      <c r="F518" s="7"/>
      <c r="G518" s="7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ht="16.8" x14ac:dyDescent="0.45">
      <c r="A519" s="7"/>
      <c r="B519" s="7"/>
      <c r="C519" s="7"/>
      <c r="D519" s="7"/>
      <c r="E519" s="7"/>
      <c r="F519" s="7"/>
      <c r="G519" s="7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ht="16.8" x14ac:dyDescent="0.45">
      <c r="A520" s="7"/>
      <c r="B520" s="7"/>
      <c r="C520" s="7"/>
      <c r="D520" s="7"/>
      <c r="E520" s="7"/>
      <c r="F520" s="7"/>
      <c r="G520" s="7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ht="16.8" x14ac:dyDescent="0.45">
      <c r="A521" s="7"/>
      <c r="B521" s="7"/>
      <c r="C521" s="7"/>
      <c r="D521" s="7"/>
      <c r="E521" s="7"/>
      <c r="F521" s="7"/>
      <c r="G521" s="7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ht="16.8" x14ac:dyDescent="0.45">
      <c r="A522" s="7"/>
      <c r="B522" s="7"/>
      <c r="C522" s="7"/>
      <c r="D522" s="7"/>
      <c r="E522" s="7"/>
      <c r="F522" s="7"/>
      <c r="G522" s="7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ht="16.8" x14ac:dyDescent="0.45">
      <c r="A523" s="7"/>
      <c r="B523" s="7"/>
      <c r="C523" s="7"/>
      <c r="D523" s="7"/>
      <c r="E523" s="7"/>
      <c r="F523" s="7"/>
      <c r="G523" s="7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ht="16.8" x14ac:dyDescent="0.45">
      <c r="A524" s="7"/>
      <c r="B524" s="7"/>
      <c r="C524" s="7"/>
      <c r="D524" s="7"/>
      <c r="E524" s="7"/>
      <c r="F524" s="7"/>
      <c r="G524" s="7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ht="16.8" x14ac:dyDescent="0.45">
      <c r="A525" s="7"/>
      <c r="B525" s="7"/>
      <c r="C525" s="7"/>
      <c r="D525" s="7"/>
      <c r="E525" s="7"/>
      <c r="F525" s="7"/>
      <c r="G525" s="7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ht="16.8" x14ac:dyDescent="0.45">
      <c r="A526" s="7"/>
      <c r="B526" s="7"/>
      <c r="C526" s="7"/>
      <c r="D526" s="7"/>
      <c r="E526" s="7"/>
      <c r="F526" s="7"/>
      <c r="G526" s="7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ht="16.8" x14ac:dyDescent="0.45">
      <c r="A527" s="7"/>
      <c r="B527" s="7"/>
      <c r="C527" s="7"/>
      <c r="D527" s="7"/>
      <c r="E527" s="7"/>
      <c r="F527" s="7"/>
      <c r="G527" s="7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ht="16.8" x14ac:dyDescent="0.45">
      <c r="A528" s="7"/>
      <c r="B528" s="7"/>
      <c r="C528" s="7"/>
      <c r="D528" s="7"/>
      <c r="E528" s="7"/>
      <c r="F528" s="7"/>
      <c r="G528" s="7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ht="16.8" x14ac:dyDescent="0.45">
      <c r="A529" s="7"/>
      <c r="B529" s="7"/>
      <c r="C529" s="7"/>
      <c r="D529" s="7"/>
      <c r="E529" s="7"/>
      <c r="F529" s="7"/>
      <c r="G529" s="7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ht="16.8" x14ac:dyDescent="0.45">
      <c r="A530" s="7"/>
      <c r="B530" s="7"/>
      <c r="C530" s="7"/>
      <c r="D530" s="7"/>
      <c r="E530" s="7"/>
      <c r="F530" s="7"/>
      <c r="G530" s="7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ht="16.8" x14ac:dyDescent="0.45">
      <c r="A531" s="7"/>
      <c r="B531" s="7"/>
      <c r="C531" s="7"/>
      <c r="D531" s="7"/>
      <c r="E531" s="7"/>
      <c r="F531" s="7"/>
      <c r="G531" s="7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ht="16.8" x14ac:dyDescent="0.45">
      <c r="A532" s="7"/>
      <c r="B532" s="7"/>
      <c r="C532" s="7"/>
      <c r="D532" s="7"/>
      <c r="E532" s="7"/>
      <c r="F532" s="7"/>
      <c r="G532" s="7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ht="16.8" x14ac:dyDescent="0.45">
      <c r="A533" s="7"/>
      <c r="B533" s="7"/>
      <c r="C533" s="7"/>
      <c r="D533" s="7"/>
      <c r="E533" s="7"/>
      <c r="F533" s="7"/>
      <c r="G533" s="7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ht="16.8" x14ac:dyDescent="0.45">
      <c r="A534" s="7"/>
      <c r="B534" s="7"/>
      <c r="C534" s="7"/>
      <c r="D534" s="7"/>
      <c r="E534" s="7"/>
      <c r="F534" s="7"/>
      <c r="G534" s="7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ht="16.8" x14ac:dyDescent="0.45">
      <c r="A535" s="7"/>
      <c r="B535" s="7"/>
      <c r="C535" s="7"/>
      <c r="D535" s="7"/>
      <c r="E535" s="7"/>
      <c r="F535" s="7"/>
      <c r="G535" s="7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ht="16.8" x14ac:dyDescent="0.45">
      <c r="A536" s="7"/>
      <c r="B536" s="7"/>
      <c r="C536" s="7"/>
      <c r="D536" s="7"/>
      <c r="E536" s="7"/>
      <c r="F536" s="7"/>
      <c r="G536" s="7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ht="16.8" x14ac:dyDescent="0.45">
      <c r="A537" s="7"/>
      <c r="B537" s="7"/>
      <c r="C537" s="7"/>
      <c r="D537" s="7"/>
      <c r="E537" s="7"/>
      <c r="F537" s="7"/>
      <c r="G537" s="7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ht="16.8" x14ac:dyDescent="0.45">
      <c r="A538" s="7"/>
      <c r="B538" s="7"/>
      <c r="C538" s="7"/>
      <c r="D538" s="7"/>
      <c r="E538" s="7"/>
      <c r="F538" s="7"/>
      <c r="G538" s="7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ht="16.8" x14ac:dyDescent="0.45">
      <c r="A539" s="7"/>
      <c r="B539" s="7"/>
      <c r="C539" s="7"/>
      <c r="D539" s="7"/>
      <c r="E539" s="7"/>
      <c r="F539" s="7"/>
      <c r="G539" s="7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ht="16.8" x14ac:dyDescent="0.45">
      <c r="A540" s="7"/>
      <c r="B540" s="7"/>
      <c r="C540" s="7"/>
      <c r="D540" s="7"/>
      <c r="E540" s="7"/>
      <c r="F540" s="7"/>
      <c r="G540" s="7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spans="1:25" ht="16.8" x14ac:dyDescent="0.45">
      <c r="A541" s="7"/>
      <c r="B541" s="7"/>
      <c r="C541" s="7"/>
      <c r="D541" s="7"/>
      <c r="E541" s="7"/>
      <c r="F541" s="7"/>
      <c r="G541" s="7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spans="1:25" ht="16.8" x14ac:dyDescent="0.45">
      <c r="A542" s="7"/>
      <c r="B542" s="7"/>
      <c r="C542" s="7"/>
      <c r="D542" s="7"/>
      <c r="E542" s="7"/>
      <c r="F542" s="7"/>
      <c r="G542" s="7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spans="1:25" ht="16.8" x14ac:dyDescent="0.45">
      <c r="A543" s="7"/>
      <c r="B543" s="7"/>
      <c r="C543" s="7"/>
      <c r="D543" s="7"/>
      <c r="E543" s="7"/>
      <c r="F543" s="7"/>
      <c r="G543" s="7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spans="1:25" ht="16.8" x14ac:dyDescent="0.45">
      <c r="A544" s="7"/>
      <c r="B544" s="7"/>
      <c r="C544" s="7"/>
      <c r="D544" s="7"/>
      <c r="E544" s="7"/>
      <c r="F544" s="7"/>
      <c r="G544" s="7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spans="1:25" ht="16.8" x14ac:dyDescent="0.45">
      <c r="A545" s="7"/>
      <c r="B545" s="7"/>
      <c r="C545" s="7"/>
      <c r="D545" s="7"/>
      <c r="E545" s="7"/>
      <c r="F545" s="7"/>
      <c r="G545" s="7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spans="1:25" ht="16.8" x14ac:dyDescent="0.45">
      <c r="A546" s="7"/>
      <c r="B546" s="7"/>
      <c r="C546" s="7"/>
      <c r="D546" s="7"/>
      <c r="E546" s="7"/>
      <c r="F546" s="7"/>
      <c r="G546" s="7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spans="1:25" ht="16.8" x14ac:dyDescent="0.45">
      <c r="A547" s="7"/>
      <c r="B547" s="7"/>
      <c r="C547" s="7"/>
      <c r="D547" s="7"/>
      <c r="E547" s="7"/>
      <c r="F547" s="7"/>
      <c r="G547" s="7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spans="1:25" ht="16.8" x14ac:dyDescent="0.45">
      <c r="A548" s="7"/>
      <c r="B548" s="7"/>
      <c r="C548" s="7"/>
      <c r="D548" s="7"/>
      <c r="E548" s="7"/>
      <c r="F548" s="7"/>
      <c r="G548" s="7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5" ht="16.8" x14ac:dyDescent="0.45">
      <c r="A549" s="7"/>
      <c r="B549" s="7"/>
      <c r="C549" s="7"/>
      <c r="D549" s="7"/>
      <c r="E549" s="7"/>
      <c r="F549" s="7"/>
      <c r="G549" s="7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spans="1:25" ht="16.8" x14ac:dyDescent="0.45">
      <c r="A550" s="7"/>
      <c r="B550" s="7"/>
      <c r="C550" s="7"/>
      <c r="D550" s="7"/>
      <c r="E550" s="7"/>
      <c r="F550" s="7"/>
      <c r="G550" s="7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spans="1:25" ht="16.8" x14ac:dyDescent="0.45">
      <c r="A551" s="7"/>
      <c r="B551" s="7"/>
      <c r="C551" s="7"/>
      <c r="D551" s="7"/>
      <c r="E551" s="7"/>
      <c r="F551" s="7"/>
      <c r="G551" s="7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spans="1:25" ht="16.8" x14ac:dyDescent="0.45">
      <c r="A552" s="7"/>
      <c r="B552" s="7"/>
      <c r="C552" s="7"/>
      <c r="D552" s="7"/>
      <c r="E552" s="7"/>
      <c r="F552" s="7"/>
      <c r="G552" s="7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spans="1:25" ht="16.8" x14ac:dyDescent="0.45">
      <c r="A553" s="7"/>
      <c r="B553" s="7"/>
      <c r="C553" s="7"/>
      <c r="D553" s="7"/>
      <c r="E553" s="7"/>
      <c r="F553" s="7"/>
      <c r="G553" s="7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spans="1:25" ht="16.8" x14ac:dyDescent="0.45">
      <c r="A554" s="7"/>
      <c r="B554" s="7"/>
      <c r="C554" s="7"/>
      <c r="D554" s="7"/>
      <c r="E554" s="7"/>
      <c r="F554" s="7"/>
      <c r="G554" s="7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spans="1:25" ht="16.8" x14ac:dyDescent="0.45">
      <c r="A555" s="7"/>
      <c r="B555" s="7"/>
      <c r="C555" s="7"/>
      <c r="D555" s="7"/>
      <c r="E555" s="7"/>
      <c r="F555" s="7"/>
      <c r="G555" s="7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spans="1:25" ht="16.8" x14ac:dyDescent="0.45">
      <c r="A556" s="7"/>
      <c r="B556" s="7"/>
      <c r="C556" s="7"/>
      <c r="D556" s="7"/>
      <c r="E556" s="7"/>
      <c r="F556" s="7"/>
      <c r="G556" s="7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spans="1:25" ht="16.8" x14ac:dyDescent="0.45">
      <c r="A557" s="7"/>
      <c r="B557" s="7"/>
      <c r="C557" s="7"/>
      <c r="D557" s="7"/>
      <c r="E557" s="7"/>
      <c r="F557" s="7"/>
      <c r="G557" s="7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spans="1:25" ht="16.8" x14ac:dyDescent="0.45">
      <c r="A558" s="7"/>
      <c r="B558" s="7"/>
      <c r="C558" s="7"/>
      <c r="D558" s="7"/>
      <c r="E558" s="7"/>
      <c r="F558" s="7"/>
      <c r="G558" s="7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spans="1:25" ht="16.8" x14ac:dyDescent="0.45">
      <c r="A559" s="7"/>
      <c r="B559" s="7"/>
      <c r="C559" s="7"/>
      <c r="D559" s="7"/>
      <c r="E559" s="7"/>
      <c r="F559" s="7"/>
      <c r="G559" s="7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spans="1:25" ht="16.8" x14ac:dyDescent="0.45">
      <c r="A560" s="7"/>
      <c r="B560" s="7"/>
      <c r="C560" s="7"/>
      <c r="D560" s="7"/>
      <c r="E560" s="7"/>
      <c r="F560" s="7"/>
      <c r="G560" s="7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spans="1:25" ht="16.8" x14ac:dyDescent="0.45">
      <c r="A561" s="7"/>
      <c r="B561" s="7"/>
      <c r="C561" s="7"/>
      <c r="D561" s="7"/>
      <c r="E561" s="7"/>
      <c r="F561" s="7"/>
      <c r="G561" s="7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spans="1:25" ht="16.8" x14ac:dyDescent="0.45">
      <c r="A562" s="7"/>
      <c r="B562" s="7"/>
      <c r="C562" s="7"/>
      <c r="D562" s="7"/>
      <c r="E562" s="7"/>
      <c r="F562" s="7"/>
      <c r="G562" s="7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spans="1:25" ht="16.8" x14ac:dyDescent="0.45">
      <c r="A563" s="7"/>
      <c r="B563" s="7"/>
      <c r="C563" s="7"/>
      <c r="D563" s="7"/>
      <c r="E563" s="7"/>
      <c r="F563" s="7"/>
      <c r="G563" s="7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spans="1:25" ht="16.8" x14ac:dyDescent="0.45">
      <c r="A564" s="7"/>
      <c r="B564" s="7"/>
      <c r="C564" s="7"/>
      <c r="D564" s="7"/>
      <c r="E564" s="7"/>
      <c r="F564" s="7"/>
      <c r="G564" s="7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spans="1:25" ht="16.8" x14ac:dyDescent="0.45">
      <c r="A565" s="7"/>
      <c r="B565" s="7"/>
      <c r="C565" s="7"/>
      <c r="D565" s="7"/>
      <c r="E565" s="7"/>
      <c r="F565" s="7"/>
      <c r="G565" s="7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spans="1:25" ht="16.8" x14ac:dyDescent="0.45">
      <c r="A566" s="7"/>
      <c r="B566" s="7"/>
      <c r="C566" s="7"/>
      <c r="D566" s="7"/>
      <c r="E566" s="7"/>
      <c r="F566" s="7"/>
      <c r="G566" s="7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spans="1:25" ht="16.8" x14ac:dyDescent="0.45">
      <c r="A567" s="7"/>
      <c r="B567" s="7"/>
      <c r="C567" s="7"/>
      <c r="D567" s="7"/>
      <c r="E567" s="7"/>
      <c r="F567" s="7"/>
      <c r="G567" s="7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5" ht="16.8" x14ac:dyDescent="0.45">
      <c r="A568" s="7"/>
      <c r="B568" s="7"/>
      <c r="C568" s="7"/>
      <c r="D568" s="7"/>
      <c r="E568" s="7"/>
      <c r="F568" s="7"/>
      <c r="G568" s="7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spans="1:25" ht="16.8" x14ac:dyDescent="0.45">
      <c r="A569" s="7"/>
      <c r="B569" s="7"/>
      <c r="C569" s="7"/>
      <c r="D569" s="7"/>
      <c r="E569" s="7"/>
      <c r="F569" s="7"/>
      <c r="G569" s="7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spans="1:25" ht="16.8" x14ac:dyDescent="0.45">
      <c r="A570" s="7"/>
      <c r="B570" s="7"/>
      <c r="C570" s="7"/>
      <c r="D570" s="7"/>
      <c r="E570" s="7"/>
      <c r="F570" s="7"/>
      <c r="G570" s="7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spans="1:25" ht="16.8" x14ac:dyDescent="0.45">
      <c r="A571" s="7"/>
      <c r="B571" s="7"/>
      <c r="C571" s="7"/>
      <c r="D571" s="7"/>
      <c r="E571" s="7"/>
      <c r="F571" s="7"/>
      <c r="G571" s="7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spans="1:25" ht="16.8" x14ac:dyDescent="0.45">
      <c r="A572" s="7"/>
      <c r="B572" s="7"/>
      <c r="C572" s="7"/>
      <c r="D572" s="7"/>
      <c r="E572" s="7"/>
      <c r="F572" s="7"/>
      <c r="G572" s="7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spans="1:25" ht="16.8" x14ac:dyDescent="0.45">
      <c r="A573" s="7"/>
      <c r="B573" s="7"/>
      <c r="C573" s="7"/>
      <c r="D573" s="7"/>
      <c r="E573" s="7"/>
      <c r="F573" s="7"/>
      <c r="G573" s="7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spans="1:25" ht="16.8" x14ac:dyDescent="0.45">
      <c r="A574" s="7"/>
      <c r="B574" s="7"/>
      <c r="C574" s="7"/>
      <c r="D574" s="7"/>
      <c r="E574" s="7"/>
      <c r="F574" s="7"/>
      <c r="G574" s="7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spans="1:25" ht="16.8" x14ac:dyDescent="0.45">
      <c r="A575" s="7"/>
      <c r="B575" s="7"/>
      <c r="C575" s="7"/>
      <c r="D575" s="7"/>
      <c r="E575" s="7"/>
      <c r="F575" s="7"/>
      <c r="G575" s="7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spans="1:25" ht="16.8" x14ac:dyDescent="0.45">
      <c r="A576" s="7"/>
      <c r="B576" s="7"/>
      <c r="C576" s="7"/>
      <c r="D576" s="7"/>
      <c r="E576" s="7"/>
      <c r="F576" s="7"/>
      <c r="G576" s="7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spans="1:25" ht="16.8" x14ac:dyDescent="0.45">
      <c r="A577" s="7"/>
      <c r="B577" s="7"/>
      <c r="C577" s="7"/>
      <c r="D577" s="7"/>
      <c r="E577" s="7"/>
      <c r="F577" s="7"/>
      <c r="G577" s="7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spans="1:25" ht="16.8" x14ac:dyDescent="0.45">
      <c r="A578" s="7"/>
      <c r="B578" s="7"/>
      <c r="C578" s="7"/>
      <c r="D578" s="7"/>
      <c r="E578" s="7"/>
      <c r="F578" s="7"/>
      <c r="G578" s="7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spans="1:25" ht="16.8" x14ac:dyDescent="0.45">
      <c r="A579" s="7"/>
      <c r="B579" s="7"/>
      <c r="C579" s="7"/>
      <c r="D579" s="7"/>
      <c r="E579" s="7"/>
      <c r="F579" s="7"/>
      <c r="G579" s="7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spans="1:25" ht="16.8" x14ac:dyDescent="0.45">
      <c r="A580" s="7"/>
      <c r="B580" s="7"/>
      <c r="C580" s="7"/>
      <c r="D580" s="7"/>
      <c r="E580" s="7"/>
      <c r="F580" s="7"/>
      <c r="G580" s="7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spans="1:25" ht="16.8" x14ac:dyDescent="0.45">
      <c r="A581" s="7"/>
      <c r="B581" s="7"/>
      <c r="C581" s="7"/>
      <c r="D581" s="7"/>
      <c r="E581" s="7"/>
      <c r="F581" s="7"/>
      <c r="G581" s="7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spans="1:25" ht="16.8" x14ac:dyDescent="0.45">
      <c r="A582" s="7"/>
      <c r="B582" s="7"/>
      <c r="C582" s="7"/>
      <c r="D582" s="7"/>
      <c r="E582" s="7"/>
      <c r="F582" s="7"/>
      <c r="G582" s="7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spans="1:25" ht="16.8" x14ac:dyDescent="0.45">
      <c r="A583" s="7"/>
      <c r="B583" s="7"/>
      <c r="C583" s="7"/>
      <c r="D583" s="7"/>
      <c r="E583" s="7"/>
      <c r="F583" s="7"/>
      <c r="G583" s="7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spans="1:25" ht="16.8" x14ac:dyDescent="0.45">
      <c r="A584" s="7"/>
      <c r="B584" s="7"/>
      <c r="C584" s="7"/>
      <c r="D584" s="7"/>
      <c r="E584" s="7"/>
      <c r="F584" s="7"/>
      <c r="G584" s="7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spans="1:25" ht="16.8" x14ac:dyDescent="0.45">
      <c r="A585" s="7"/>
      <c r="B585" s="7"/>
      <c r="C585" s="7"/>
      <c r="D585" s="7"/>
      <c r="E585" s="7"/>
      <c r="F585" s="7"/>
      <c r="G585" s="7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spans="1:25" ht="16.8" x14ac:dyDescent="0.45">
      <c r="A586" s="7"/>
      <c r="B586" s="7"/>
      <c r="C586" s="7"/>
      <c r="D586" s="7"/>
      <c r="E586" s="7"/>
      <c r="F586" s="7"/>
      <c r="G586" s="7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spans="1:25" ht="16.8" x14ac:dyDescent="0.45">
      <c r="A587" s="7"/>
      <c r="B587" s="7"/>
      <c r="C587" s="7"/>
      <c r="D587" s="7"/>
      <c r="E587" s="7"/>
      <c r="F587" s="7"/>
      <c r="G587" s="7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spans="1:25" ht="16.8" x14ac:dyDescent="0.45">
      <c r="A588" s="7"/>
      <c r="B588" s="7"/>
      <c r="C588" s="7"/>
      <c r="D588" s="7"/>
      <c r="E588" s="7"/>
      <c r="F588" s="7"/>
      <c r="G588" s="7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spans="1:25" ht="16.8" x14ac:dyDescent="0.45">
      <c r="A589" s="7"/>
      <c r="B589" s="7"/>
      <c r="C589" s="7"/>
      <c r="D589" s="7"/>
      <c r="E589" s="7"/>
      <c r="F589" s="7"/>
      <c r="G589" s="7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spans="1:25" ht="16.8" x14ac:dyDescent="0.45">
      <c r="A590" s="7"/>
      <c r="B590" s="7"/>
      <c r="C590" s="7"/>
      <c r="D590" s="7"/>
      <c r="E590" s="7"/>
      <c r="F590" s="7"/>
      <c r="G590" s="7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spans="1:25" ht="16.8" x14ac:dyDescent="0.45">
      <c r="A591" s="7"/>
      <c r="B591" s="7"/>
      <c r="C591" s="7"/>
      <c r="D591" s="7"/>
      <c r="E591" s="7"/>
      <c r="F591" s="7"/>
      <c r="G591" s="7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spans="1:25" ht="16.8" x14ac:dyDescent="0.45">
      <c r="A592" s="7"/>
      <c r="B592" s="7"/>
      <c r="C592" s="7"/>
      <c r="D592" s="7"/>
      <c r="E592" s="7"/>
      <c r="F592" s="7"/>
      <c r="G592" s="7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spans="1:25" ht="16.8" x14ac:dyDescent="0.45">
      <c r="A593" s="7"/>
      <c r="B593" s="7"/>
      <c r="C593" s="7"/>
      <c r="D593" s="7"/>
      <c r="E593" s="7"/>
      <c r="F593" s="7"/>
      <c r="G593" s="7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spans="1:25" ht="16.8" x14ac:dyDescent="0.45">
      <c r="A594" s="7"/>
      <c r="B594" s="7"/>
      <c r="C594" s="7"/>
      <c r="D594" s="7"/>
      <c r="E594" s="7"/>
      <c r="F594" s="7"/>
      <c r="G594" s="7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spans="1:25" ht="16.8" x14ac:dyDescent="0.45">
      <c r="A595" s="7"/>
      <c r="B595" s="7"/>
      <c r="C595" s="7"/>
      <c r="D595" s="7"/>
      <c r="E595" s="7"/>
      <c r="F595" s="7"/>
      <c r="G595" s="7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spans="1:25" ht="16.8" x14ac:dyDescent="0.45">
      <c r="A596" s="7"/>
      <c r="B596" s="7"/>
      <c r="C596" s="7"/>
      <c r="D596" s="7"/>
      <c r="E596" s="7"/>
      <c r="F596" s="7"/>
      <c r="G596" s="7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spans="1:25" ht="16.8" x14ac:dyDescent="0.45">
      <c r="A597" s="7"/>
      <c r="B597" s="7"/>
      <c r="C597" s="7"/>
      <c r="D597" s="7"/>
      <c r="E597" s="7"/>
      <c r="F597" s="7"/>
      <c r="G597" s="7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spans="1:25" ht="16.8" x14ac:dyDescent="0.45">
      <c r="A598" s="7"/>
      <c r="B598" s="7"/>
      <c r="C598" s="7"/>
      <c r="D598" s="7"/>
      <c r="E598" s="7"/>
      <c r="F598" s="7"/>
      <c r="G598" s="7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spans="1:25" ht="16.8" x14ac:dyDescent="0.45">
      <c r="A599" s="7"/>
      <c r="B599" s="7"/>
      <c r="C599" s="7"/>
      <c r="D599" s="7"/>
      <c r="E599" s="7"/>
      <c r="F599" s="7"/>
      <c r="G599" s="7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spans="1:25" ht="16.8" x14ac:dyDescent="0.45">
      <c r="A600" s="7"/>
      <c r="B600" s="7"/>
      <c r="C600" s="7"/>
      <c r="D600" s="7"/>
      <c r="E600" s="7"/>
      <c r="F600" s="7"/>
      <c r="G600" s="7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spans="1:25" ht="16.8" x14ac:dyDescent="0.45">
      <c r="A601" s="7"/>
      <c r="B601" s="7"/>
      <c r="C601" s="7"/>
      <c r="D601" s="7"/>
      <c r="E601" s="7"/>
      <c r="F601" s="7"/>
      <c r="G601" s="7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spans="1:25" ht="16.8" x14ac:dyDescent="0.45">
      <c r="A602" s="7"/>
      <c r="B602" s="7"/>
      <c r="C602" s="7"/>
      <c r="D602" s="7"/>
      <c r="E602" s="7"/>
      <c r="F602" s="7"/>
      <c r="G602" s="7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spans="1:25" ht="16.8" x14ac:dyDescent="0.45">
      <c r="A603" s="7"/>
      <c r="B603" s="7"/>
      <c r="C603" s="7"/>
      <c r="D603" s="7"/>
      <c r="E603" s="7"/>
      <c r="F603" s="7"/>
      <c r="G603" s="7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spans="1:25" ht="16.8" x14ac:dyDescent="0.45">
      <c r="A604" s="7"/>
      <c r="B604" s="7"/>
      <c r="C604" s="7"/>
      <c r="D604" s="7"/>
      <c r="E604" s="7"/>
      <c r="F604" s="7"/>
      <c r="G604" s="7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spans="1:25" ht="16.8" x14ac:dyDescent="0.45">
      <c r="A605" s="7"/>
      <c r="B605" s="7"/>
      <c r="C605" s="7"/>
      <c r="D605" s="7"/>
      <c r="E605" s="7"/>
      <c r="F605" s="7"/>
      <c r="G605" s="7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spans="1:25" ht="16.8" x14ac:dyDescent="0.45">
      <c r="A606" s="7"/>
      <c r="B606" s="7"/>
      <c r="C606" s="7"/>
      <c r="D606" s="7"/>
      <c r="E606" s="7"/>
      <c r="F606" s="7"/>
      <c r="G606" s="7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spans="1:25" ht="16.8" x14ac:dyDescent="0.45">
      <c r="A607" s="7"/>
      <c r="B607" s="7"/>
      <c r="C607" s="7"/>
      <c r="D607" s="7"/>
      <c r="E607" s="7"/>
      <c r="F607" s="7"/>
      <c r="G607" s="7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spans="1:25" ht="16.8" x14ac:dyDescent="0.45">
      <c r="A608" s="7"/>
      <c r="B608" s="7"/>
      <c r="C608" s="7"/>
      <c r="D608" s="7"/>
      <c r="E608" s="7"/>
      <c r="F608" s="7"/>
      <c r="G608" s="7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spans="1:25" ht="16.8" x14ac:dyDescent="0.45">
      <c r="A609" s="7"/>
      <c r="B609" s="7"/>
      <c r="C609" s="7"/>
      <c r="D609" s="7"/>
      <c r="E609" s="7"/>
      <c r="F609" s="7"/>
      <c r="G609" s="7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spans="1:25" ht="16.8" x14ac:dyDescent="0.45">
      <c r="A610" s="7"/>
      <c r="B610" s="7"/>
      <c r="C610" s="7"/>
      <c r="D610" s="7"/>
      <c r="E610" s="7"/>
      <c r="F610" s="7"/>
      <c r="G610" s="7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spans="1:25" ht="16.8" x14ac:dyDescent="0.45">
      <c r="A611" s="7"/>
      <c r="B611" s="7"/>
      <c r="C611" s="7"/>
      <c r="D611" s="7"/>
      <c r="E611" s="7"/>
      <c r="F611" s="7"/>
      <c r="G611" s="7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spans="1:25" ht="16.8" x14ac:dyDescent="0.45">
      <c r="A612" s="7"/>
      <c r="B612" s="7"/>
      <c r="C612" s="7"/>
      <c r="D612" s="7"/>
      <c r="E612" s="7"/>
      <c r="F612" s="7"/>
      <c r="G612" s="7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spans="1:25" ht="16.8" x14ac:dyDescent="0.45">
      <c r="A613" s="7"/>
      <c r="B613" s="7"/>
      <c r="C613" s="7"/>
      <c r="D613" s="7"/>
      <c r="E613" s="7"/>
      <c r="F613" s="7"/>
      <c r="G613" s="7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spans="1:25" ht="16.8" x14ac:dyDescent="0.45">
      <c r="A614" s="7"/>
      <c r="B614" s="7"/>
      <c r="C614" s="7"/>
      <c r="D614" s="7"/>
      <c r="E614" s="7"/>
      <c r="F614" s="7"/>
      <c r="G614" s="7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spans="1:25" ht="16.8" x14ac:dyDescent="0.45">
      <c r="A615" s="7"/>
      <c r="B615" s="7"/>
      <c r="C615" s="7"/>
      <c r="D615" s="7"/>
      <c r="E615" s="7"/>
      <c r="F615" s="7"/>
      <c r="G615" s="7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spans="1:25" ht="16.8" x14ac:dyDescent="0.45">
      <c r="A616" s="7"/>
      <c r="B616" s="7"/>
      <c r="C616" s="7"/>
      <c r="D616" s="7"/>
      <c r="E616" s="7"/>
      <c r="F616" s="7"/>
      <c r="G616" s="7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spans="1:25" ht="16.8" x14ac:dyDescent="0.45">
      <c r="A617" s="7"/>
      <c r="B617" s="7"/>
      <c r="C617" s="7"/>
      <c r="D617" s="7"/>
      <c r="E617" s="7"/>
      <c r="F617" s="7"/>
      <c r="G617" s="7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spans="1:25" ht="16.8" x14ac:dyDescent="0.45">
      <c r="A618" s="7"/>
      <c r="B618" s="7"/>
      <c r="C618" s="7"/>
      <c r="D618" s="7"/>
      <c r="E618" s="7"/>
      <c r="F618" s="7"/>
      <c r="G618" s="7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spans="1:25" ht="16.8" x14ac:dyDescent="0.45">
      <c r="A619" s="7"/>
      <c r="B619" s="7"/>
      <c r="C619" s="7"/>
      <c r="D619" s="7"/>
      <c r="E619" s="7"/>
      <c r="F619" s="7"/>
      <c r="G619" s="7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spans="1:25" ht="16.8" x14ac:dyDescent="0.45">
      <c r="A620" s="7"/>
      <c r="B620" s="7"/>
      <c r="C620" s="7"/>
      <c r="D620" s="7"/>
      <c r="E620" s="7"/>
      <c r="F620" s="7"/>
      <c r="G620" s="7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spans="1:25" ht="16.8" x14ac:dyDescent="0.45">
      <c r="A621" s="7"/>
      <c r="B621" s="7"/>
      <c r="C621" s="7"/>
      <c r="D621" s="7"/>
      <c r="E621" s="7"/>
      <c r="F621" s="7"/>
      <c r="G621" s="7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spans="1:25" ht="16.8" x14ac:dyDescent="0.45">
      <c r="A622" s="7"/>
      <c r="B622" s="7"/>
      <c r="C622" s="7"/>
      <c r="D622" s="7"/>
      <c r="E622" s="7"/>
      <c r="F622" s="7"/>
      <c r="G622" s="7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spans="1:25" ht="16.8" x14ac:dyDescent="0.45">
      <c r="A623" s="7"/>
      <c r="B623" s="7"/>
      <c r="C623" s="7"/>
      <c r="D623" s="7"/>
      <c r="E623" s="7"/>
      <c r="F623" s="7"/>
      <c r="G623" s="7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spans="1:25" ht="16.8" x14ac:dyDescent="0.45">
      <c r="A624" s="7"/>
      <c r="B624" s="7"/>
      <c r="C624" s="7"/>
      <c r="D624" s="7"/>
      <c r="E624" s="7"/>
      <c r="F624" s="7"/>
      <c r="G624" s="7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spans="1:25" ht="16.8" x14ac:dyDescent="0.45">
      <c r="A625" s="7"/>
      <c r="B625" s="7"/>
      <c r="C625" s="7"/>
      <c r="D625" s="7"/>
      <c r="E625" s="7"/>
      <c r="F625" s="7"/>
      <c r="G625" s="7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spans="1:25" ht="16.8" x14ac:dyDescent="0.45">
      <c r="A626" s="7"/>
      <c r="B626" s="7"/>
      <c r="C626" s="7"/>
      <c r="D626" s="7"/>
      <c r="E626" s="7"/>
      <c r="F626" s="7"/>
      <c r="G626" s="7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spans="1:25" ht="16.8" x14ac:dyDescent="0.45">
      <c r="A627" s="7"/>
      <c r="B627" s="7"/>
      <c r="C627" s="7"/>
      <c r="D627" s="7"/>
      <c r="E627" s="7"/>
      <c r="F627" s="7"/>
      <c r="G627" s="7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spans="1:25" ht="16.8" x14ac:dyDescent="0.45">
      <c r="A628" s="7"/>
      <c r="B628" s="7"/>
      <c r="C628" s="7"/>
      <c r="D628" s="7"/>
      <c r="E628" s="7"/>
      <c r="F628" s="7"/>
      <c r="G628" s="7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spans="1:25" ht="16.8" x14ac:dyDescent="0.45">
      <c r="A629" s="7"/>
      <c r="B629" s="7"/>
      <c r="C629" s="7"/>
      <c r="D629" s="7"/>
      <c r="E629" s="7"/>
      <c r="F629" s="7"/>
      <c r="G629" s="7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spans="1:25" ht="16.8" x14ac:dyDescent="0.45">
      <c r="A630" s="7"/>
      <c r="B630" s="7"/>
      <c r="C630" s="7"/>
      <c r="D630" s="7"/>
      <c r="E630" s="7"/>
      <c r="F630" s="7"/>
      <c r="G630" s="7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spans="1:25" ht="16.8" x14ac:dyDescent="0.45">
      <c r="A631" s="7"/>
      <c r="B631" s="7"/>
      <c r="C631" s="7"/>
      <c r="D631" s="7"/>
      <c r="E631" s="7"/>
      <c r="F631" s="7"/>
      <c r="G631" s="7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spans="1:25" ht="16.8" x14ac:dyDescent="0.45">
      <c r="A632" s="7"/>
      <c r="B632" s="7"/>
      <c r="C632" s="7"/>
      <c r="D632" s="7"/>
      <c r="E632" s="7"/>
      <c r="F632" s="7"/>
      <c r="G632" s="7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spans="1:25" ht="16.8" x14ac:dyDescent="0.45">
      <c r="A633" s="7"/>
      <c r="B633" s="7"/>
      <c r="C633" s="7"/>
      <c r="D633" s="7"/>
      <c r="E633" s="7"/>
      <c r="F633" s="7"/>
      <c r="G633" s="7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spans="1:25" ht="16.8" x14ac:dyDescent="0.45">
      <c r="A634" s="7"/>
      <c r="B634" s="7"/>
      <c r="C634" s="7"/>
      <c r="D634" s="7"/>
      <c r="E634" s="7"/>
      <c r="F634" s="7"/>
      <c r="G634" s="7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spans="1:25" ht="16.8" x14ac:dyDescent="0.45">
      <c r="A635" s="7"/>
      <c r="B635" s="7"/>
      <c r="C635" s="7"/>
      <c r="D635" s="7"/>
      <c r="E635" s="7"/>
      <c r="F635" s="7"/>
      <c r="G635" s="7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spans="1:25" ht="16.8" x14ac:dyDescent="0.45">
      <c r="A636" s="7"/>
      <c r="B636" s="7"/>
      <c r="C636" s="7"/>
      <c r="D636" s="7"/>
      <c r="E636" s="7"/>
      <c r="F636" s="7"/>
      <c r="G636" s="7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spans="1:25" ht="16.8" x14ac:dyDescent="0.45">
      <c r="A637" s="7"/>
      <c r="B637" s="7"/>
      <c r="C637" s="7"/>
      <c r="D637" s="7"/>
      <c r="E637" s="7"/>
      <c r="F637" s="7"/>
      <c r="G637" s="7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spans="1:25" ht="16.8" x14ac:dyDescent="0.45">
      <c r="A638" s="7"/>
      <c r="B638" s="7"/>
      <c r="C638" s="7"/>
      <c r="D638" s="7"/>
      <c r="E638" s="7"/>
      <c r="F638" s="7"/>
      <c r="G638" s="7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spans="1:25" ht="16.8" x14ac:dyDescent="0.45">
      <c r="A639" s="7"/>
      <c r="B639" s="7"/>
      <c r="C639" s="7"/>
      <c r="D639" s="7"/>
      <c r="E639" s="7"/>
      <c r="F639" s="7"/>
      <c r="G639" s="7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spans="1:25" ht="16.8" x14ac:dyDescent="0.45">
      <c r="A640" s="7"/>
      <c r="B640" s="7"/>
      <c r="C640" s="7"/>
      <c r="D640" s="7"/>
      <c r="E640" s="7"/>
      <c r="F640" s="7"/>
      <c r="G640" s="7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spans="1:25" ht="16.8" x14ac:dyDescent="0.45">
      <c r="A641" s="7"/>
      <c r="B641" s="7"/>
      <c r="C641" s="7"/>
      <c r="D641" s="7"/>
      <c r="E641" s="7"/>
      <c r="F641" s="7"/>
      <c r="G641" s="7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spans="1:25" ht="16.8" x14ac:dyDescent="0.45">
      <c r="A642" s="7"/>
      <c r="B642" s="7"/>
      <c r="C642" s="7"/>
      <c r="D642" s="7"/>
      <c r="E642" s="7"/>
      <c r="F642" s="7"/>
      <c r="G642" s="7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spans="1:25" ht="16.8" x14ac:dyDescent="0.45">
      <c r="A643" s="7"/>
      <c r="B643" s="7"/>
      <c r="C643" s="7"/>
      <c r="D643" s="7"/>
      <c r="E643" s="7"/>
      <c r="F643" s="7"/>
      <c r="G643" s="7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spans="1:25" ht="16.8" x14ac:dyDescent="0.45">
      <c r="A644" s="7"/>
      <c r="B644" s="7"/>
      <c r="C644" s="7"/>
      <c r="D644" s="7"/>
      <c r="E644" s="7"/>
      <c r="F644" s="7"/>
      <c r="G644" s="7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spans="1:25" ht="16.8" x14ac:dyDescent="0.45">
      <c r="A645" s="7"/>
      <c r="B645" s="7"/>
      <c r="C645" s="7"/>
      <c r="D645" s="7"/>
      <c r="E645" s="7"/>
      <c r="F645" s="7"/>
      <c r="G645" s="7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spans="1:25" ht="16.8" x14ac:dyDescent="0.45">
      <c r="A646" s="7"/>
      <c r="B646" s="7"/>
      <c r="C646" s="7"/>
      <c r="D646" s="7"/>
      <c r="E646" s="7"/>
      <c r="F646" s="7"/>
      <c r="G646" s="7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spans="1:25" ht="16.8" x14ac:dyDescent="0.45">
      <c r="A647" s="7"/>
      <c r="B647" s="7"/>
      <c r="C647" s="7"/>
      <c r="D647" s="7"/>
      <c r="E647" s="7"/>
      <c r="F647" s="7"/>
      <c r="G647" s="7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spans="1:25" ht="16.8" x14ac:dyDescent="0.45">
      <c r="A648" s="7"/>
      <c r="B648" s="7"/>
      <c r="C648" s="7"/>
      <c r="D648" s="7"/>
      <c r="E648" s="7"/>
      <c r="F648" s="7"/>
      <c r="G648" s="7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spans="1:25" ht="16.8" x14ac:dyDescent="0.45">
      <c r="A649" s="7"/>
      <c r="B649" s="7"/>
      <c r="C649" s="7"/>
      <c r="D649" s="7"/>
      <c r="E649" s="7"/>
      <c r="F649" s="7"/>
      <c r="G649" s="7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spans="1:25" ht="16.8" x14ac:dyDescent="0.45">
      <c r="A650" s="7"/>
      <c r="B650" s="7"/>
      <c r="C650" s="7"/>
      <c r="D650" s="7"/>
      <c r="E650" s="7"/>
      <c r="F650" s="7"/>
      <c r="G650" s="7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spans="1:25" ht="16.8" x14ac:dyDescent="0.45">
      <c r="A651" s="7"/>
      <c r="B651" s="7"/>
      <c r="C651" s="7"/>
      <c r="D651" s="7"/>
      <c r="E651" s="7"/>
      <c r="F651" s="7"/>
      <c r="G651" s="7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spans="1:25" ht="16.8" x14ac:dyDescent="0.45">
      <c r="A652" s="7"/>
      <c r="B652" s="7"/>
      <c r="C652" s="7"/>
      <c r="D652" s="7"/>
      <c r="E652" s="7"/>
      <c r="F652" s="7"/>
      <c r="G652" s="7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spans="1:25" ht="16.8" x14ac:dyDescent="0.45">
      <c r="A653" s="7"/>
      <c r="B653" s="7"/>
      <c r="C653" s="7"/>
      <c r="D653" s="7"/>
      <c r="E653" s="7"/>
      <c r="F653" s="7"/>
      <c r="G653" s="7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spans="1:25" ht="16.8" x14ac:dyDescent="0.45">
      <c r="A654" s="7"/>
      <c r="B654" s="7"/>
      <c r="C654" s="7"/>
      <c r="D654" s="7"/>
      <c r="E654" s="7"/>
      <c r="F654" s="7"/>
      <c r="G654" s="7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spans="1:25" ht="16.8" x14ac:dyDescent="0.45">
      <c r="A655" s="7"/>
      <c r="B655" s="7"/>
      <c r="C655" s="7"/>
      <c r="D655" s="7"/>
      <c r="E655" s="7"/>
      <c r="F655" s="7"/>
      <c r="G655" s="7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spans="1:25" ht="16.8" x14ac:dyDescent="0.45">
      <c r="A656" s="7"/>
      <c r="B656" s="7"/>
      <c r="C656" s="7"/>
      <c r="D656" s="7"/>
      <c r="E656" s="7"/>
      <c r="F656" s="7"/>
      <c r="G656" s="7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spans="1:25" ht="16.8" x14ac:dyDescent="0.45">
      <c r="A657" s="7"/>
      <c r="B657" s="7"/>
      <c r="C657" s="7"/>
      <c r="D657" s="7"/>
      <c r="E657" s="7"/>
      <c r="F657" s="7"/>
      <c r="G657" s="7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spans="1:25" ht="16.8" x14ac:dyDescent="0.45">
      <c r="A658" s="7"/>
      <c r="B658" s="7"/>
      <c r="C658" s="7"/>
      <c r="D658" s="7"/>
      <c r="E658" s="7"/>
      <c r="F658" s="7"/>
      <c r="G658" s="7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spans="1:25" ht="16.8" x14ac:dyDescent="0.45">
      <c r="A659" s="7"/>
      <c r="B659" s="7"/>
      <c r="C659" s="7"/>
      <c r="D659" s="7"/>
      <c r="E659" s="7"/>
      <c r="F659" s="7"/>
      <c r="G659" s="7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spans="1:25" ht="16.8" x14ac:dyDescent="0.45">
      <c r="A660" s="7"/>
      <c r="B660" s="7"/>
      <c r="C660" s="7"/>
      <c r="D660" s="7"/>
      <c r="E660" s="7"/>
      <c r="F660" s="7"/>
      <c r="G660" s="7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spans="1:25" ht="16.8" x14ac:dyDescent="0.45">
      <c r="A661" s="7"/>
      <c r="B661" s="7"/>
      <c r="C661" s="7"/>
      <c r="D661" s="7"/>
      <c r="E661" s="7"/>
      <c r="F661" s="7"/>
      <c r="G661" s="7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spans="1:25" ht="16.8" x14ac:dyDescent="0.45">
      <c r="A662" s="7"/>
      <c r="B662" s="7"/>
      <c r="C662" s="7"/>
      <c r="D662" s="7"/>
      <c r="E662" s="7"/>
      <c r="F662" s="7"/>
      <c r="G662" s="7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spans="1:25" ht="16.8" x14ac:dyDescent="0.45">
      <c r="A663" s="7"/>
      <c r="B663" s="7"/>
      <c r="C663" s="7"/>
      <c r="D663" s="7"/>
      <c r="E663" s="7"/>
      <c r="F663" s="7"/>
      <c r="G663" s="7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spans="1:25" ht="16.8" x14ac:dyDescent="0.45">
      <c r="A664" s="7"/>
      <c r="B664" s="7"/>
      <c r="C664" s="7"/>
      <c r="D664" s="7"/>
      <c r="E664" s="7"/>
      <c r="F664" s="7"/>
      <c r="G664" s="7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spans="1:25" ht="16.8" x14ac:dyDescent="0.45">
      <c r="A665" s="7"/>
      <c r="B665" s="7"/>
      <c r="C665" s="7"/>
      <c r="D665" s="7"/>
      <c r="E665" s="7"/>
      <c r="F665" s="7"/>
      <c r="G665" s="7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spans="1:25" ht="16.8" x14ac:dyDescent="0.45">
      <c r="A666" s="7"/>
      <c r="B666" s="7"/>
      <c r="C666" s="7"/>
      <c r="D666" s="7"/>
      <c r="E666" s="7"/>
      <c r="F666" s="7"/>
      <c r="G666" s="7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spans="1:25" ht="16.8" x14ac:dyDescent="0.45">
      <c r="A667" s="7"/>
      <c r="B667" s="7"/>
      <c r="C667" s="7"/>
      <c r="D667" s="7"/>
      <c r="E667" s="7"/>
      <c r="F667" s="7"/>
      <c r="G667" s="7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spans="1:25" ht="16.8" x14ac:dyDescent="0.45">
      <c r="A668" s="7"/>
      <c r="B668" s="7"/>
      <c r="C668" s="7"/>
      <c r="D668" s="7"/>
      <c r="E668" s="7"/>
      <c r="F668" s="7"/>
      <c r="G668" s="7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spans="1:25" ht="16.8" x14ac:dyDescent="0.45">
      <c r="A669" s="7"/>
      <c r="B669" s="7"/>
      <c r="C669" s="7"/>
      <c r="D669" s="7"/>
      <c r="E669" s="7"/>
      <c r="F669" s="7"/>
      <c r="G669" s="7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spans="1:25" ht="16.8" x14ac:dyDescent="0.45">
      <c r="A670" s="7"/>
      <c r="B670" s="7"/>
      <c r="C670" s="7"/>
      <c r="D670" s="7"/>
      <c r="E670" s="7"/>
      <c r="F670" s="7"/>
      <c r="G670" s="7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spans="1:25" ht="16.8" x14ac:dyDescent="0.45">
      <c r="A671" s="7"/>
      <c r="B671" s="7"/>
      <c r="C671" s="7"/>
      <c r="D671" s="7"/>
      <c r="E671" s="7"/>
      <c r="F671" s="7"/>
      <c r="G671" s="7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spans="1:25" ht="16.8" x14ac:dyDescent="0.45">
      <c r="A672" s="7"/>
      <c r="B672" s="7"/>
      <c r="C672" s="7"/>
      <c r="D672" s="7"/>
      <c r="E672" s="7"/>
      <c r="F672" s="7"/>
      <c r="G672" s="7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spans="1:25" ht="16.8" x14ac:dyDescent="0.45">
      <c r="A673" s="7"/>
      <c r="B673" s="7"/>
      <c r="C673" s="7"/>
      <c r="D673" s="7"/>
      <c r="E673" s="7"/>
      <c r="F673" s="7"/>
      <c r="G673" s="7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spans="1:25" ht="16.8" x14ac:dyDescent="0.45">
      <c r="A674" s="7"/>
      <c r="B674" s="7"/>
      <c r="C674" s="7"/>
      <c r="D674" s="7"/>
      <c r="E674" s="7"/>
      <c r="F674" s="7"/>
      <c r="G674" s="7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spans="1:25" ht="16.8" x14ac:dyDescent="0.45">
      <c r="A675" s="7"/>
      <c r="B675" s="7"/>
      <c r="C675" s="7"/>
      <c r="D675" s="7"/>
      <c r="E675" s="7"/>
      <c r="F675" s="7"/>
      <c r="G675" s="7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spans="1:25" ht="16.8" x14ac:dyDescent="0.45">
      <c r="A676" s="7"/>
      <c r="B676" s="7"/>
      <c r="C676" s="7"/>
      <c r="D676" s="7"/>
      <c r="E676" s="7"/>
      <c r="F676" s="7"/>
      <c r="G676" s="7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spans="1:25" ht="16.8" x14ac:dyDescent="0.45">
      <c r="A677" s="7"/>
      <c r="B677" s="7"/>
      <c r="C677" s="7"/>
      <c r="D677" s="7"/>
      <c r="E677" s="7"/>
      <c r="F677" s="7"/>
      <c r="G677" s="7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spans="1:25" ht="16.8" x14ac:dyDescent="0.45">
      <c r="A678" s="7"/>
      <c r="B678" s="7"/>
      <c r="C678" s="7"/>
      <c r="D678" s="7"/>
      <c r="E678" s="7"/>
      <c r="F678" s="7"/>
      <c r="G678" s="7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spans="1:25" ht="16.8" x14ac:dyDescent="0.45">
      <c r="A679" s="7"/>
      <c r="B679" s="7"/>
      <c r="C679" s="7"/>
      <c r="D679" s="7"/>
      <c r="E679" s="7"/>
      <c r="F679" s="7"/>
      <c r="G679" s="7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spans="1:25" ht="16.8" x14ac:dyDescent="0.45">
      <c r="A680" s="7"/>
      <c r="B680" s="7"/>
      <c r="C680" s="7"/>
      <c r="D680" s="7"/>
      <c r="E680" s="7"/>
      <c r="F680" s="7"/>
      <c r="G680" s="7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spans="1:25" ht="16.8" x14ac:dyDescent="0.45">
      <c r="A681" s="7"/>
      <c r="B681" s="7"/>
      <c r="C681" s="7"/>
      <c r="D681" s="7"/>
      <c r="E681" s="7"/>
      <c r="F681" s="7"/>
      <c r="G681" s="7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spans="1:25" ht="16.8" x14ac:dyDescent="0.45">
      <c r="A682" s="7"/>
      <c r="B682" s="7"/>
      <c r="C682" s="7"/>
      <c r="D682" s="7"/>
      <c r="E682" s="7"/>
      <c r="F682" s="7"/>
      <c r="G682" s="7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spans="1:25" ht="16.8" x14ac:dyDescent="0.45">
      <c r="A683" s="7"/>
      <c r="B683" s="7"/>
      <c r="C683" s="7"/>
      <c r="D683" s="7"/>
      <c r="E683" s="7"/>
      <c r="F683" s="7"/>
      <c r="G683" s="7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spans="1:25" ht="16.8" x14ac:dyDescent="0.45">
      <c r="A684" s="7"/>
      <c r="B684" s="7"/>
      <c r="C684" s="7"/>
      <c r="D684" s="7"/>
      <c r="E684" s="7"/>
      <c r="F684" s="7"/>
      <c r="G684" s="7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spans="1:25" ht="16.8" x14ac:dyDescent="0.45">
      <c r="A685" s="7"/>
      <c r="B685" s="7"/>
      <c r="C685" s="7"/>
      <c r="D685" s="7"/>
      <c r="E685" s="7"/>
      <c r="F685" s="7"/>
      <c r="G685" s="7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spans="1:25" ht="16.8" x14ac:dyDescent="0.45">
      <c r="A686" s="7"/>
      <c r="B686" s="7"/>
      <c r="C686" s="7"/>
      <c r="D686" s="7"/>
      <c r="E686" s="7"/>
      <c r="F686" s="7"/>
      <c r="G686" s="7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spans="1:25" ht="16.8" x14ac:dyDescent="0.45">
      <c r="A687" s="7"/>
      <c r="B687" s="7"/>
      <c r="C687" s="7"/>
      <c r="D687" s="7"/>
      <c r="E687" s="7"/>
      <c r="F687" s="7"/>
      <c r="G687" s="7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spans="1:25" ht="16.8" x14ac:dyDescent="0.45">
      <c r="A688" s="7"/>
      <c r="B688" s="7"/>
      <c r="C688" s="7"/>
      <c r="D688" s="7"/>
      <c r="E688" s="7"/>
      <c r="F688" s="7"/>
      <c r="G688" s="7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spans="1:25" ht="16.8" x14ac:dyDescent="0.45">
      <c r="A689" s="7"/>
      <c r="B689" s="7"/>
      <c r="C689" s="7"/>
      <c r="D689" s="7"/>
      <c r="E689" s="7"/>
      <c r="F689" s="7"/>
      <c r="G689" s="7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spans="1:25" ht="16.8" x14ac:dyDescent="0.45">
      <c r="A690" s="7"/>
      <c r="B690" s="7"/>
      <c r="C690" s="7"/>
      <c r="D690" s="7"/>
      <c r="E690" s="7"/>
      <c r="F690" s="7"/>
      <c r="G690" s="7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spans="1:25" ht="16.8" x14ac:dyDescent="0.45">
      <c r="A691" s="7"/>
      <c r="B691" s="7"/>
      <c r="C691" s="7"/>
      <c r="D691" s="7"/>
      <c r="E691" s="7"/>
      <c r="F691" s="7"/>
      <c r="G691" s="7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spans="1:25" ht="16.8" x14ac:dyDescent="0.45">
      <c r="A692" s="7"/>
      <c r="B692" s="7"/>
      <c r="C692" s="7"/>
      <c r="D692" s="7"/>
      <c r="E692" s="7"/>
      <c r="F692" s="7"/>
      <c r="G692" s="7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spans="1:25" ht="16.8" x14ac:dyDescent="0.45">
      <c r="A693" s="7"/>
      <c r="B693" s="7"/>
      <c r="C693" s="7"/>
      <c r="D693" s="7"/>
      <c r="E693" s="7"/>
      <c r="F693" s="7"/>
      <c r="G693" s="7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spans="1:25" ht="16.8" x14ac:dyDescent="0.45">
      <c r="A694" s="7"/>
      <c r="B694" s="7"/>
      <c r="C694" s="7"/>
      <c r="D694" s="7"/>
      <c r="E694" s="7"/>
      <c r="F694" s="7"/>
      <c r="G694" s="7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spans="1:25" ht="16.8" x14ac:dyDescent="0.45">
      <c r="A695" s="7"/>
      <c r="B695" s="7"/>
      <c r="C695" s="7"/>
      <c r="D695" s="7"/>
      <c r="E695" s="7"/>
      <c r="F695" s="7"/>
      <c r="G695" s="7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spans="1:25" ht="16.8" x14ac:dyDescent="0.45">
      <c r="A696" s="7"/>
      <c r="B696" s="7"/>
      <c r="C696" s="7"/>
      <c r="D696" s="7"/>
      <c r="E696" s="7"/>
      <c r="F696" s="7"/>
      <c r="G696" s="7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spans="1:25" ht="16.8" x14ac:dyDescent="0.45">
      <c r="A697" s="7"/>
      <c r="B697" s="7"/>
      <c r="C697" s="7"/>
      <c r="D697" s="7"/>
      <c r="E697" s="7"/>
      <c r="F697" s="7"/>
      <c r="G697" s="7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spans="1:25" ht="16.8" x14ac:dyDescent="0.45">
      <c r="A698" s="7"/>
      <c r="B698" s="7"/>
      <c r="C698" s="7"/>
      <c r="D698" s="7"/>
      <c r="E698" s="7"/>
      <c r="F698" s="7"/>
      <c r="G698" s="7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spans="1:25" ht="16.8" x14ac:dyDescent="0.45">
      <c r="A699" s="7"/>
      <c r="B699" s="7"/>
      <c r="C699" s="7"/>
      <c r="D699" s="7"/>
      <c r="E699" s="7"/>
      <c r="F699" s="7"/>
      <c r="G699" s="7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spans="1:25" ht="16.8" x14ac:dyDescent="0.45">
      <c r="A700" s="7"/>
      <c r="B700" s="7"/>
      <c r="C700" s="7"/>
      <c r="D700" s="7"/>
      <c r="E700" s="7"/>
      <c r="F700" s="7"/>
      <c r="G700" s="7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spans="1:25" ht="16.8" x14ac:dyDescent="0.45">
      <c r="A701" s="7"/>
      <c r="B701" s="7"/>
      <c r="C701" s="7"/>
      <c r="D701" s="7"/>
      <c r="E701" s="7"/>
      <c r="F701" s="7"/>
      <c r="G701" s="7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spans="1:25" ht="16.8" x14ac:dyDescent="0.45">
      <c r="A702" s="7"/>
      <c r="B702" s="7"/>
      <c r="C702" s="7"/>
      <c r="D702" s="7"/>
      <c r="E702" s="7"/>
      <c r="F702" s="7"/>
      <c r="G702" s="7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spans="1:25" ht="16.8" x14ac:dyDescent="0.45">
      <c r="A703" s="7"/>
      <c r="B703" s="7"/>
      <c r="C703" s="7"/>
      <c r="D703" s="7"/>
      <c r="E703" s="7"/>
      <c r="F703" s="7"/>
      <c r="G703" s="7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spans="1:25" ht="16.8" x14ac:dyDescent="0.45">
      <c r="A704" s="7"/>
      <c r="B704" s="7"/>
      <c r="C704" s="7"/>
      <c r="D704" s="7"/>
      <c r="E704" s="7"/>
      <c r="F704" s="7"/>
      <c r="G704" s="7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spans="1:25" ht="16.8" x14ac:dyDescent="0.45">
      <c r="A705" s="7"/>
      <c r="B705" s="7"/>
      <c r="C705" s="7"/>
      <c r="D705" s="7"/>
      <c r="E705" s="7"/>
      <c r="F705" s="7"/>
      <c r="G705" s="7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spans="1:25" ht="16.8" x14ac:dyDescent="0.45">
      <c r="A706" s="7"/>
      <c r="B706" s="7"/>
      <c r="C706" s="7"/>
      <c r="D706" s="7"/>
      <c r="E706" s="7"/>
      <c r="F706" s="7"/>
      <c r="G706" s="7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spans="1:25" ht="16.8" x14ac:dyDescent="0.45">
      <c r="A707" s="7"/>
      <c r="B707" s="7"/>
      <c r="C707" s="7"/>
      <c r="D707" s="7"/>
      <c r="E707" s="7"/>
      <c r="F707" s="7"/>
      <c r="G707" s="7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spans="1:25" ht="16.8" x14ac:dyDescent="0.45">
      <c r="A708" s="7"/>
      <c r="B708" s="7"/>
      <c r="C708" s="7"/>
      <c r="D708" s="7"/>
      <c r="E708" s="7"/>
      <c r="F708" s="7"/>
      <c r="G708" s="7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spans="1:25" ht="16.8" x14ac:dyDescent="0.45">
      <c r="A709" s="7"/>
      <c r="B709" s="7"/>
      <c r="C709" s="7"/>
      <c r="D709" s="7"/>
      <c r="E709" s="7"/>
      <c r="F709" s="7"/>
      <c r="G709" s="7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spans="1:25" ht="16.8" x14ac:dyDescent="0.45">
      <c r="A710" s="7"/>
      <c r="B710" s="7"/>
      <c r="C710" s="7"/>
      <c r="D710" s="7"/>
      <c r="E710" s="7"/>
      <c r="F710" s="7"/>
      <c r="G710" s="7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spans="1:25" ht="16.8" x14ac:dyDescent="0.45">
      <c r="A711" s="7"/>
      <c r="B711" s="7"/>
      <c r="C711" s="7"/>
      <c r="D711" s="7"/>
      <c r="E711" s="7"/>
      <c r="F711" s="7"/>
      <c r="G711" s="7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spans="1:25" ht="16.8" x14ac:dyDescent="0.45">
      <c r="A712" s="7"/>
      <c r="B712" s="7"/>
      <c r="C712" s="7"/>
      <c r="D712" s="7"/>
      <c r="E712" s="7"/>
      <c r="F712" s="7"/>
      <c r="G712" s="7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spans="1:25" ht="16.8" x14ac:dyDescent="0.45">
      <c r="A713" s="7"/>
      <c r="B713" s="7"/>
      <c r="C713" s="7"/>
      <c r="D713" s="7"/>
      <c r="E713" s="7"/>
      <c r="F713" s="7"/>
      <c r="G713" s="7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spans="1:25" ht="16.8" x14ac:dyDescent="0.45">
      <c r="A714" s="7"/>
      <c r="B714" s="7"/>
      <c r="C714" s="7"/>
      <c r="D714" s="7"/>
      <c r="E714" s="7"/>
      <c r="F714" s="7"/>
      <c r="G714" s="7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spans="1:25" ht="16.8" x14ac:dyDescent="0.45">
      <c r="A715" s="7"/>
      <c r="B715" s="7"/>
      <c r="C715" s="7"/>
      <c r="D715" s="7"/>
      <c r="E715" s="7"/>
      <c r="F715" s="7"/>
      <c r="G715" s="7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spans="1:25" ht="16.8" x14ac:dyDescent="0.45">
      <c r="A716" s="7"/>
      <c r="B716" s="7"/>
      <c r="C716" s="7"/>
      <c r="D716" s="7"/>
      <c r="E716" s="7"/>
      <c r="F716" s="7"/>
      <c r="G716" s="7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spans="1:25" ht="16.8" x14ac:dyDescent="0.45">
      <c r="A717" s="7"/>
      <c r="B717" s="7"/>
      <c r="C717" s="7"/>
      <c r="D717" s="7"/>
      <c r="E717" s="7"/>
      <c r="F717" s="7"/>
      <c r="G717" s="7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spans="1:25" ht="16.8" x14ac:dyDescent="0.45">
      <c r="A718" s="7"/>
      <c r="B718" s="7"/>
      <c r="C718" s="7"/>
      <c r="D718" s="7"/>
      <c r="E718" s="7"/>
      <c r="F718" s="7"/>
      <c r="G718" s="7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spans="1:25" ht="16.8" x14ac:dyDescent="0.45">
      <c r="A719" s="7"/>
      <c r="B719" s="7"/>
      <c r="C719" s="7"/>
      <c r="D719" s="7"/>
      <c r="E719" s="7"/>
      <c r="F719" s="7"/>
      <c r="G719" s="7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spans="1:25" ht="16.8" x14ac:dyDescent="0.45">
      <c r="A720" s="7"/>
      <c r="B720" s="7"/>
      <c r="C720" s="7"/>
      <c r="D720" s="7"/>
      <c r="E720" s="7"/>
      <c r="F720" s="7"/>
      <c r="G720" s="7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spans="1:25" ht="16.8" x14ac:dyDescent="0.45">
      <c r="A721" s="7"/>
      <c r="B721" s="7"/>
      <c r="C721" s="7"/>
      <c r="D721" s="7"/>
      <c r="E721" s="7"/>
      <c r="F721" s="7"/>
      <c r="G721" s="7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spans="1:25" ht="16.8" x14ac:dyDescent="0.45">
      <c r="A722" s="7"/>
      <c r="B722" s="7"/>
      <c r="C722" s="7"/>
      <c r="D722" s="7"/>
      <c r="E722" s="7"/>
      <c r="F722" s="7"/>
      <c r="G722" s="7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spans="1:25" ht="16.8" x14ac:dyDescent="0.45">
      <c r="A723" s="7"/>
      <c r="B723" s="7"/>
      <c r="C723" s="7"/>
      <c r="D723" s="7"/>
      <c r="E723" s="7"/>
      <c r="F723" s="7"/>
      <c r="G723" s="7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spans="1:25" ht="16.8" x14ac:dyDescent="0.45">
      <c r="A724" s="7"/>
      <c r="B724" s="7"/>
      <c r="C724" s="7"/>
      <c r="D724" s="7"/>
      <c r="E724" s="7"/>
      <c r="F724" s="7"/>
      <c r="G724" s="7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spans="1:25" ht="16.8" x14ac:dyDescent="0.45">
      <c r="A725" s="7"/>
      <c r="B725" s="7"/>
      <c r="C725" s="7"/>
      <c r="D725" s="7"/>
      <c r="E725" s="7"/>
      <c r="F725" s="7"/>
      <c r="G725" s="7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spans="1:25" ht="16.8" x14ac:dyDescent="0.45">
      <c r="A726" s="7"/>
      <c r="B726" s="7"/>
      <c r="C726" s="7"/>
      <c r="D726" s="7"/>
      <c r="E726" s="7"/>
      <c r="F726" s="7"/>
      <c r="G726" s="7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spans="1:25" ht="16.8" x14ac:dyDescent="0.45">
      <c r="A727" s="7"/>
      <c r="B727" s="7"/>
      <c r="C727" s="7"/>
      <c r="D727" s="7"/>
      <c r="E727" s="7"/>
      <c r="F727" s="7"/>
      <c r="G727" s="7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spans="1:25" ht="16.8" x14ac:dyDescent="0.45">
      <c r="A728" s="7"/>
      <c r="B728" s="7"/>
      <c r="C728" s="7"/>
      <c r="D728" s="7"/>
      <c r="E728" s="7"/>
      <c r="F728" s="7"/>
      <c r="G728" s="7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spans="1:25" ht="16.8" x14ac:dyDescent="0.45">
      <c r="A729" s="7"/>
      <c r="B729" s="7"/>
      <c r="C729" s="7"/>
      <c r="D729" s="7"/>
      <c r="E729" s="7"/>
      <c r="F729" s="7"/>
      <c r="G729" s="7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spans="1:25" ht="16.8" x14ac:dyDescent="0.45">
      <c r="A730" s="7"/>
      <c r="B730" s="7"/>
      <c r="C730" s="7"/>
      <c r="D730" s="7"/>
      <c r="E730" s="7"/>
      <c r="F730" s="7"/>
      <c r="G730" s="7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spans="1:25" ht="16.8" x14ac:dyDescent="0.45">
      <c r="A731" s="7"/>
      <c r="B731" s="7"/>
      <c r="C731" s="7"/>
      <c r="D731" s="7"/>
      <c r="E731" s="7"/>
      <c r="F731" s="7"/>
      <c r="G731" s="7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spans="1:25" ht="16.8" x14ac:dyDescent="0.45">
      <c r="A732" s="7"/>
      <c r="B732" s="7"/>
      <c r="C732" s="7"/>
      <c r="D732" s="7"/>
      <c r="E732" s="7"/>
      <c r="F732" s="7"/>
      <c r="G732" s="7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spans="1:25" ht="16.8" x14ac:dyDescent="0.45">
      <c r="A733" s="7"/>
      <c r="B733" s="7"/>
      <c r="C733" s="7"/>
      <c r="D733" s="7"/>
      <c r="E733" s="7"/>
      <c r="F733" s="7"/>
      <c r="G733" s="7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spans="1:25" ht="16.8" x14ac:dyDescent="0.45">
      <c r="A734" s="7"/>
      <c r="B734" s="7"/>
      <c r="C734" s="7"/>
      <c r="D734" s="7"/>
      <c r="E734" s="7"/>
      <c r="F734" s="7"/>
      <c r="G734" s="7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spans="1:25" ht="16.8" x14ac:dyDescent="0.45">
      <c r="A735" s="7"/>
      <c r="B735" s="7"/>
      <c r="C735" s="7"/>
      <c r="D735" s="7"/>
      <c r="E735" s="7"/>
      <c r="F735" s="7"/>
      <c r="G735" s="7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spans="1:25" ht="16.8" x14ac:dyDescent="0.45">
      <c r="A736" s="7"/>
      <c r="B736" s="7"/>
      <c r="C736" s="7"/>
      <c r="D736" s="7"/>
      <c r="E736" s="7"/>
      <c r="F736" s="7"/>
      <c r="G736" s="7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spans="1:25" ht="16.8" x14ac:dyDescent="0.45">
      <c r="A737" s="7"/>
      <c r="B737" s="7"/>
      <c r="C737" s="7"/>
      <c r="D737" s="7"/>
      <c r="E737" s="7"/>
      <c r="F737" s="7"/>
      <c r="G737" s="7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spans="1:25" ht="16.8" x14ac:dyDescent="0.45">
      <c r="A738" s="7"/>
      <c r="B738" s="7"/>
      <c r="C738" s="7"/>
      <c r="D738" s="7"/>
      <c r="E738" s="7"/>
      <c r="F738" s="7"/>
      <c r="G738" s="7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spans="1:25" ht="16.8" x14ac:dyDescent="0.45">
      <c r="A739" s="7"/>
      <c r="B739" s="7"/>
      <c r="C739" s="7"/>
      <c r="D739" s="7"/>
      <c r="E739" s="7"/>
      <c r="F739" s="7"/>
      <c r="G739" s="7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spans="1:25" ht="16.8" x14ac:dyDescent="0.45">
      <c r="A740" s="7"/>
      <c r="B740" s="7"/>
      <c r="C740" s="7"/>
      <c r="D740" s="7"/>
      <c r="E740" s="7"/>
      <c r="F740" s="7"/>
      <c r="G740" s="7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spans="1:25" ht="16.8" x14ac:dyDescent="0.45">
      <c r="A741" s="7"/>
      <c r="B741" s="7"/>
      <c r="C741" s="7"/>
      <c r="D741" s="7"/>
      <c r="E741" s="7"/>
      <c r="F741" s="7"/>
      <c r="G741" s="7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spans="1:25" ht="16.8" x14ac:dyDescent="0.45">
      <c r="A742" s="7"/>
      <c r="B742" s="7"/>
      <c r="C742" s="7"/>
      <c r="D742" s="7"/>
      <c r="E742" s="7"/>
      <c r="F742" s="7"/>
      <c r="G742" s="7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spans="1:25" ht="16.8" x14ac:dyDescent="0.45">
      <c r="A743" s="7"/>
      <c r="B743" s="7"/>
      <c r="C743" s="7"/>
      <c r="D743" s="7"/>
      <c r="E743" s="7"/>
      <c r="F743" s="7"/>
      <c r="G743" s="7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spans="1:25" ht="16.8" x14ac:dyDescent="0.45">
      <c r="A744" s="7"/>
      <c r="B744" s="7"/>
      <c r="C744" s="7"/>
      <c r="D744" s="7"/>
      <c r="E744" s="7"/>
      <c r="F744" s="7"/>
      <c r="G744" s="7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spans="1:25" ht="16.8" x14ac:dyDescent="0.45">
      <c r="A745" s="7"/>
      <c r="B745" s="7"/>
      <c r="C745" s="7"/>
      <c r="D745" s="7"/>
      <c r="E745" s="7"/>
      <c r="F745" s="7"/>
      <c r="G745" s="7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spans="1:25" ht="16.8" x14ac:dyDescent="0.45">
      <c r="A746" s="7"/>
      <c r="B746" s="7"/>
      <c r="C746" s="7"/>
      <c r="D746" s="7"/>
      <c r="E746" s="7"/>
      <c r="F746" s="7"/>
      <c r="G746" s="7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spans="1:25" ht="16.8" x14ac:dyDescent="0.45">
      <c r="A747" s="7"/>
      <c r="B747" s="7"/>
      <c r="C747" s="7"/>
      <c r="D747" s="7"/>
      <c r="E747" s="7"/>
      <c r="F747" s="7"/>
      <c r="G747" s="7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spans="1:25" ht="16.8" x14ac:dyDescent="0.45">
      <c r="A748" s="7"/>
      <c r="B748" s="7"/>
      <c r="C748" s="7"/>
      <c r="D748" s="7"/>
      <c r="E748" s="7"/>
      <c r="F748" s="7"/>
      <c r="G748" s="7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spans="1:25" ht="16.8" x14ac:dyDescent="0.45">
      <c r="A749" s="7"/>
      <c r="B749" s="7"/>
      <c r="C749" s="7"/>
      <c r="D749" s="7"/>
      <c r="E749" s="7"/>
      <c r="F749" s="7"/>
      <c r="G749" s="7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spans="1:25" ht="16.8" x14ac:dyDescent="0.45">
      <c r="A750" s="7"/>
      <c r="B750" s="7"/>
      <c r="C750" s="7"/>
      <c r="D750" s="7"/>
      <c r="E750" s="7"/>
      <c r="F750" s="7"/>
      <c r="G750" s="7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spans="1:25" ht="16.8" x14ac:dyDescent="0.45">
      <c r="A751" s="7"/>
      <c r="B751" s="7"/>
      <c r="C751" s="7"/>
      <c r="D751" s="7"/>
      <c r="E751" s="7"/>
      <c r="F751" s="7"/>
      <c r="G751" s="7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spans="1:25" ht="16.8" x14ac:dyDescent="0.45">
      <c r="A752" s="7"/>
      <c r="B752" s="7"/>
      <c r="C752" s="7"/>
      <c r="D752" s="7"/>
      <c r="E752" s="7"/>
      <c r="F752" s="7"/>
      <c r="G752" s="7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spans="1:25" ht="16.8" x14ac:dyDescent="0.45">
      <c r="A753" s="7"/>
      <c r="B753" s="7"/>
      <c r="C753" s="7"/>
      <c r="D753" s="7"/>
      <c r="E753" s="7"/>
      <c r="F753" s="7"/>
      <c r="G753" s="7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spans="1:25" ht="16.8" x14ac:dyDescent="0.45">
      <c r="A754" s="7"/>
      <c r="B754" s="7"/>
      <c r="C754" s="7"/>
      <c r="D754" s="7"/>
      <c r="E754" s="7"/>
      <c r="F754" s="7"/>
      <c r="G754" s="7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spans="1:25" ht="16.8" x14ac:dyDescent="0.45">
      <c r="A755" s="7"/>
      <c r="B755" s="7"/>
      <c r="C755" s="7"/>
      <c r="D755" s="7"/>
      <c r="E755" s="7"/>
      <c r="F755" s="7"/>
      <c r="G755" s="7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spans="1:25" ht="16.8" x14ac:dyDescent="0.45">
      <c r="A756" s="7"/>
      <c r="B756" s="7"/>
      <c r="C756" s="7"/>
      <c r="D756" s="7"/>
      <c r="E756" s="7"/>
      <c r="F756" s="7"/>
      <c r="G756" s="7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spans="1:25" ht="16.8" x14ac:dyDescent="0.45">
      <c r="A757" s="7"/>
      <c r="B757" s="7"/>
      <c r="C757" s="7"/>
      <c r="D757" s="7"/>
      <c r="E757" s="7"/>
      <c r="F757" s="7"/>
      <c r="G757" s="7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spans="1:25" ht="16.8" x14ac:dyDescent="0.45">
      <c r="A758" s="7"/>
      <c r="B758" s="7"/>
      <c r="C758" s="7"/>
      <c r="D758" s="7"/>
      <c r="E758" s="7"/>
      <c r="F758" s="7"/>
      <c r="G758" s="7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spans="1:25" ht="16.8" x14ac:dyDescent="0.45">
      <c r="A759" s="7"/>
      <c r="B759" s="7"/>
      <c r="C759" s="7"/>
      <c r="D759" s="7"/>
      <c r="E759" s="7"/>
      <c r="F759" s="7"/>
      <c r="G759" s="7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spans="1:25" ht="16.8" x14ac:dyDescent="0.45">
      <c r="A760" s="7"/>
      <c r="B760" s="7"/>
      <c r="C760" s="7"/>
      <c r="D760" s="7"/>
      <c r="E760" s="7"/>
      <c r="F760" s="7"/>
      <c r="G760" s="7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spans="1:25" ht="16.8" x14ac:dyDescent="0.45">
      <c r="A761" s="7"/>
      <c r="B761" s="7"/>
      <c r="C761" s="7"/>
      <c r="D761" s="7"/>
      <c r="E761" s="7"/>
      <c r="F761" s="7"/>
      <c r="G761" s="7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spans="1:25" ht="16.8" x14ac:dyDescent="0.45">
      <c r="A762" s="7"/>
      <c r="B762" s="7"/>
      <c r="C762" s="7"/>
      <c r="D762" s="7"/>
      <c r="E762" s="7"/>
      <c r="F762" s="7"/>
      <c r="G762" s="7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spans="1:25" ht="16.8" x14ac:dyDescent="0.45">
      <c r="A763" s="7"/>
      <c r="B763" s="7"/>
      <c r="C763" s="7"/>
      <c r="D763" s="7"/>
      <c r="E763" s="7"/>
      <c r="F763" s="7"/>
      <c r="G763" s="7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spans="1:25" ht="16.8" x14ac:dyDescent="0.45">
      <c r="A764" s="7"/>
      <c r="B764" s="7"/>
      <c r="C764" s="7"/>
      <c r="D764" s="7"/>
      <c r="E764" s="7"/>
      <c r="F764" s="7"/>
      <c r="G764" s="7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spans="1:25" ht="16.8" x14ac:dyDescent="0.45">
      <c r="A765" s="7"/>
      <c r="B765" s="7"/>
      <c r="C765" s="7"/>
      <c r="D765" s="7"/>
      <c r="E765" s="7"/>
      <c r="F765" s="7"/>
      <c r="G765" s="7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spans="1:25" ht="16.8" x14ac:dyDescent="0.45">
      <c r="A766" s="7"/>
      <c r="B766" s="7"/>
      <c r="C766" s="7"/>
      <c r="D766" s="7"/>
      <c r="E766" s="7"/>
      <c r="F766" s="7"/>
      <c r="G766" s="7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spans="1:25" ht="16.8" x14ac:dyDescent="0.45">
      <c r="A767" s="7"/>
      <c r="B767" s="7"/>
      <c r="C767" s="7"/>
      <c r="D767" s="7"/>
      <c r="E767" s="7"/>
      <c r="F767" s="7"/>
      <c r="G767" s="7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spans="1:25" ht="16.8" x14ac:dyDescent="0.45">
      <c r="A768" s="7"/>
      <c r="B768" s="7"/>
      <c r="C768" s="7"/>
      <c r="D768" s="7"/>
      <c r="E768" s="7"/>
      <c r="F768" s="7"/>
      <c r="G768" s="7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spans="1:25" ht="16.8" x14ac:dyDescent="0.45">
      <c r="A769" s="7"/>
      <c r="B769" s="7"/>
      <c r="C769" s="7"/>
      <c r="D769" s="7"/>
      <c r="E769" s="7"/>
      <c r="F769" s="7"/>
      <c r="G769" s="7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spans="1:25" ht="16.8" x14ac:dyDescent="0.45">
      <c r="A770" s="7"/>
      <c r="B770" s="7"/>
      <c r="C770" s="7"/>
      <c r="D770" s="7"/>
      <c r="E770" s="7"/>
      <c r="F770" s="7"/>
      <c r="G770" s="7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spans="1:25" ht="16.8" x14ac:dyDescent="0.45">
      <c r="A771" s="7"/>
      <c r="B771" s="7"/>
      <c r="C771" s="7"/>
      <c r="D771" s="7"/>
      <c r="E771" s="7"/>
      <c r="F771" s="7"/>
      <c r="G771" s="7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spans="1:25" ht="16.8" x14ac:dyDescent="0.45">
      <c r="A772" s="7"/>
      <c r="B772" s="7"/>
      <c r="C772" s="7"/>
      <c r="D772" s="7"/>
      <c r="E772" s="7"/>
      <c r="F772" s="7"/>
      <c r="G772" s="7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spans="1:25" ht="16.8" x14ac:dyDescent="0.45">
      <c r="A773" s="7"/>
      <c r="B773" s="7"/>
      <c r="C773" s="7"/>
      <c r="D773" s="7"/>
      <c r="E773" s="7"/>
      <c r="F773" s="7"/>
      <c r="G773" s="7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spans="1:25" ht="16.8" x14ac:dyDescent="0.45">
      <c r="A774" s="7"/>
      <c r="B774" s="7"/>
      <c r="C774" s="7"/>
      <c r="D774" s="7"/>
      <c r="E774" s="7"/>
      <c r="F774" s="7"/>
      <c r="G774" s="7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spans="1:25" ht="16.8" x14ac:dyDescent="0.45">
      <c r="A775" s="7"/>
      <c r="B775" s="7"/>
      <c r="C775" s="7"/>
      <c r="D775" s="7"/>
      <c r="E775" s="7"/>
      <c r="F775" s="7"/>
      <c r="G775" s="7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spans="1:25" ht="16.8" x14ac:dyDescent="0.45">
      <c r="A776" s="7"/>
      <c r="B776" s="7"/>
      <c r="C776" s="7"/>
      <c r="D776" s="7"/>
      <c r="E776" s="7"/>
      <c r="F776" s="7"/>
      <c r="G776" s="7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spans="1:25" ht="16.8" x14ac:dyDescent="0.45">
      <c r="A777" s="7"/>
      <c r="B777" s="7"/>
      <c r="C777" s="7"/>
      <c r="D777" s="7"/>
      <c r="E777" s="7"/>
      <c r="F777" s="7"/>
      <c r="G777" s="7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spans="1:25" ht="16.8" x14ac:dyDescent="0.45">
      <c r="A778" s="7"/>
      <c r="B778" s="7"/>
      <c r="C778" s="7"/>
      <c r="D778" s="7"/>
      <c r="E778" s="7"/>
      <c r="F778" s="7"/>
      <c r="G778" s="7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spans="1:25" ht="16.8" x14ac:dyDescent="0.45">
      <c r="A779" s="7"/>
      <c r="B779" s="7"/>
      <c r="C779" s="7"/>
      <c r="D779" s="7"/>
      <c r="E779" s="7"/>
      <c r="F779" s="7"/>
      <c r="G779" s="7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spans="1:25" ht="16.8" x14ac:dyDescent="0.45">
      <c r="A780" s="7"/>
      <c r="B780" s="7"/>
      <c r="C780" s="7"/>
      <c r="D780" s="7"/>
      <c r="E780" s="7"/>
      <c r="F780" s="7"/>
      <c r="G780" s="7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spans="1:25" ht="16.8" x14ac:dyDescent="0.45">
      <c r="A781" s="7"/>
      <c r="B781" s="7"/>
      <c r="C781" s="7"/>
      <c r="D781" s="7"/>
      <c r="E781" s="7"/>
      <c r="F781" s="7"/>
      <c r="G781" s="7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spans="1:25" ht="16.8" x14ac:dyDescent="0.45">
      <c r="A782" s="7"/>
      <c r="B782" s="7"/>
      <c r="C782" s="7"/>
      <c r="D782" s="7"/>
      <c r="E782" s="7"/>
      <c r="F782" s="7"/>
      <c r="G782" s="7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spans="1:25" ht="16.8" x14ac:dyDescent="0.45">
      <c r="A783" s="7"/>
      <c r="B783" s="7"/>
      <c r="C783" s="7"/>
      <c r="D783" s="7"/>
      <c r="E783" s="7"/>
      <c r="F783" s="7"/>
      <c r="G783" s="7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spans="1:25" ht="16.8" x14ac:dyDescent="0.45">
      <c r="A784" s="7"/>
      <c r="B784" s="7"/>
      <c r="C784" s="7"/>
      <c r="D784" s="7"/>
      <c r="E784" s="7"/>
      <c r="F784" s="7"/>
      <c r="G784" s="7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spans="1:25" ht="16.8" x14ac:dyDescent="0.45">
      <c r="A785" s="7"/>
      <c r="B785" s="7"/>
      <c r="C785" s="7"/>
      <c r="D785" s="7"/>
      <c r="E785" s="7"/>
      <c r="F785" s="7"/>
      <c r="G785" s="7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spans="1:25" ht="16.8" x14ac:dyDescent="0.45">
      <c r="A786" s="7"/>
      <c r="B786" s="7"/>
      <c r="C786" s="7"/>
      <c r="D786" s="7"/>
      <c r="E786" s="7"/>
      <c r="F786" s="7"/>
      <c r="G786" s="7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spans="1:25" ht="16.8" x14ac:dyDescent="0.45">
      <c r="A787" s="7"/>
      <c r="B787" s="7"/>
      <c r="C787" s="7"/>
      <c r="D787" s="7"/>
      <c r="E787" s="7"/>
      <c r="F787" s="7"/>
      <c r="G787" s="7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spans="1:25" ht="16.8" x14ac:dyDescent="0.45">
      <c r="A788" s="7"/>
      <c r="B788" s="7"/>
      <c r="C788" s="7"/>
      <c r="D788" s="7"/>
      <c r="E788" s="7"/>
      <c r="F788" s="7"/>
      <c r="G788" s="7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spans="1:25" ht="16.8" x14ac:dyDescent="0.45">
      <c r="A789" s="7"/>
      <c r="B789" s="7"/>
      <c r="C789" s="7"/>
      <c r="D789" s="7"/>
      <c r="E789" s="7"/>
      <c r="F789" s="7"/>
      <c r="G789" s="7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spans="1:25" ht="16.8" x14ac:dyDescent="0.45">
      <c r="A790" s="7"/>
      <c r="B790" s="7"/>
      <c r="C790" s="7"/>
      <c r="D790" s="7"/>
      <c r="E790" s="7"/>
      <c r="F790" s="7"/>
      <c r="G790" s="7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spans="1:25" ht="16.8" x14ac:dyDescent="0.45">
      <c r="A791" s="7"/>
      <c r="B791" s="7"/>
      <c r="C791" s="7"/>
      <c r="D791" s="7"/>
      <c r="E791" s="7"/>
      <c r="F791" s="7"/>
      <c r="G791" s="7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spans="1:25" ht="16.8" x14ac:dyDescent="0.45">
      <c r="A792" s="7"/>
      <c r="B792" s="7"/>
      <c r="C792" s="7"/>
      <c r="D792" s="7"/>
      <c r="E792" s="7"/>
      <c r="F792" s="7"/>
      <c r="G792" s="7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spans="1:25" ht="16.8" x14ac:dyDescent="0.45">
      <c r="A793" s="7"/>
      <c r="B793" s="7"/>
      <c r="C793" s="7"/>
      <c r="D793" s="7"/>
      <c r="E793" s="7"/>
      <c r="F793" s="7"/>
      <c r="G793" s="7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spans="1:25" ht="16.8" x14ac:dyDescent="0.45">
      <c r="A794" s="7"/>
      <c r="B794" s="7"/>
      <c r="C794" s="7"/>
      <c r="D794" s="7"/>
      <c r="E794" s="7"/>
      <c r="F794" s="7"/>
      <c r="G794" s="7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spans="1:25" ht="16.8" x14ac:dyDescent="0.45">
      <c r="A795" s="7"/>
      <c r="B795" s="7"/>
      <c r="C795" s="7"/>
      <c r="D795" s="7"/>
      <c r="E795" s="7"/>
      <c r="F795" s="7"/>
      <c r="G795" s="7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spans="1:25" ht="16.8" x14ac:dyDescent="0.45">
      <c r="A796" s="7"/>
      <c r="B796" s="7"/>
      <c r="C796" s="7"/>
      <c r="D796" s="7"/>
      <c r="E796" s="7"/>
      <c r="F796" s="7"/>
      <c r="G796" s="7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spans="1:25" ht="16.8" x14ac:dyDescent="0.45">
      <c r="A797" s="7"/>
      <c r="B797" s="7"/>
      <c r="C797" s="7"/>
      <c r="D797" s="7"/>
      <c r="E797" s="7"/>
      <c r="F797" s="7"/>
      <c r="G797" s="7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spans="1:25" ht="16.8" x14ac:dyDescent="0.45">
      <c r="A798" s="7"/>
      <c r="B798" s="7"/>
      <c r="C798" s="7"/>
      <c r="D798" s="7"/>
      <c r="E798" s="7"/>
      <c r="F798" s="7"/>
      <c r="G798" s="7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spans="1:25" ht="16.8" x14ac:dyDescent="0.45">
      <c r="A799" s="7"/>
      <c r="B799" s="7"/>
      <c r="C799" s="7"/>
      <c r="D799" s="7"/>
      <c r="E799" s="7"/>
      <c r="F799" s="7"/>
      <c r="G799" s="7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spans="1:25" ht="16.8" x14ac:dyDescent="0.45">
      <c r="A800" s="7"/>
      <c r="B800" s="7"/>
      <c r="C800" s="7"/>
      <c r="D800" s="7"/>
      <c r="E800" s="7"/>
      <c r="F800" s="7"/>
      <c r="G800" s="7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spans="1:25" ht="16.8" x14ac:dyDescent="0.45">
      <c r="A801" s="7"/>
      <c r="B801" s="7"/>
      <c r="C801" s="7"/>
      <c r="D801" s="7"/>
      <c r="E801" s="7"/>
      <c r="F801" s="7"/>
      <c r="G801" s="7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spans="1:25" ht="16.8" x14ac:dyDescent="0.45">
      <c r="A802" s="7"/>
      <c r="B802" s="7"/>
      <c r="C802" s="7"/>
      <c r="D802" s="7"/>
      <c r="E802" s="7"/>
      <c r="F802" s="7"/>
      <c r="G802" s="7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spans="1:25" ht="16.8" x14ac:dyDescent="0.45">
      <c r="A803" s="7"/>
      <c r="B803" s="7"/>
      <c r="C803" s="7"/>
      <c r="D803" s="7"/>
      <c r="E803" s="7"/>
      <c r="F803" s="7"/>
      <c r="G803" s="7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spans="1:25" ht="16.8" x14ac:dyDescent="0.45">
      <c r="A804" s="7"/>
      <c r="B804" s="7"/>
      <c r="C804" s="7"/>
      <c r="D804" s="7"/>
      <c r="E804" s="7"/>
      <c r="F804" s="7"/>
      <c r="G804" s="7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spans="1:25" ht="16.8" x14ac:dyDescent="0.45">
      <c r="A805" s="7"/>
      <c r="B805" s="7"/>
      <c r="C805" s="7"/>
      <c r="D805" s="7"/>
      <c r="E805" s="7"/>
      <c r="F805" s="7"/>
      <c r="G805" s="7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spans="1:25" ht="16.8" x14ac:dyDescent="0.45">
      <c r="A806" s="7"/>
      <c r="B806" s="7"/>
      <c r="C806" s="7"/>
      <c r="D806" s="7"/>
      <c r="E806" s="7"/>
      <c r="F806" s="7"/>
      <c r="G806" s="7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spans="1:25" ht="16.8" x14ac:dyDescent="0.45">
      <c r="A807" s="7"/>
      <c r="B807" s="7"/>
      <c r="C807" s="7"/>
      <c r="D807" s="7"/>
      <c r="E807" s="7"/>
      <c r="F807" s="7"/>
      <c r="G807" s="7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spans="1:25" ht="16.8" x14ac:dyDescent="0.45">
      <c r="A808" s="7"/>
      <c r="B808" s="7"/>
      <c r="C808" s="7"/>
      <c r="D808" s="7"/>
      <c r="E808" s="7"/>
      <c r="F808" s="7"/>
      <c r="G808" s="7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spans="1:25" ht="16.8" x14ac:dyDescent="0.45">
      <c r="A809" s="7"/>
      <c r="B809" s="7"/>
      <c r="C809" s="7"/>
      <c r="D809" s="7"/>
      <c r="E809" s="7"/>
      <c r="F809" s="7"/>
      <c r="G809" s="7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spans="1:25" ht="16.8" x14ac:dyDescent="0.45">
      <c r="A810" s="7"/>
      <c r="B810" s="7"/>
      <c r="C810" s="7"/>
      <c r="D810" s="7"/>
      <c r="E810" s="7"/>
      <c r="F810" s="7"/>
      <c r="G810" s="7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spans="1:25" ht="16.8" x14ac:dyDescent="0.45">
      <c r="A811" s="7"/>
      <c r="B811" s="7"/>
      <c r="C811" s="7"/>
      <c r="D811" s="7"/>
      <c r="E811" s="7"/>
      <c r="F811" s="7"/>
      <c r="G811" s="7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spans="1:25" ht="16.8" x14ac:dyDescent="0.45">
      <c r="A812" s="7"/>
      <c r="B812" s="7"/>
      <c r="C812" s="7"/>
      <c r="D812" s="7"/>
      <c r="E812" s="7"/>
      <c r="F812" s="7"/>
      <c r="G812" s="7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spans="1:25" ht="16.8" x14ac:dyDescent="0.45">
      <c r="A813" s="7"/>
      <c r="B813" s="7"/>
      <c r="C813" s="7"/>
      <c r="D813" s="7"/>
      <c r="E813" s="7"/>
      <c r="F813" s="7"/>
      <c r="G813" s="7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spans="1:25" ht="16.8" x14ac:dyDescent="0.45">
      <c r="A814" s="7"/>
      <c r="B814" s="7"/>
      <c r="C814" s="7"/>
      <c r="D814" s="7"/>
      <c r="E814" s="7"/>
      <c r="F814" s="7"/>
      <c r="G814" s="7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spans="1:25" ht="16.8" x14ac:dyDescent="0.45">
      <c r="A815" s="7"/>
      <c r="B815" s="7"/>
      <c r="C815" s="7"/>
      <c r="D815" s="7"/>
      <c r="E815" s="7"/>
      <c r="F815" s="7"/>
      <c r="G815" s="7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spans="1:25" ht="16.8" x14ac:dyDescent="0.45">
      <c r="A816" s="7"/>
      <c r="B816" s="7"/>
      <c r="C816" s="7"/>
      <c r="D816" s="7"/>
      <c r="E816" s="7"/>
      <c r="F816" s="7"/>
      <c r="G816" s="7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spans="1:25" ht="16.8" x14ac:dyDescent="0.45">
      <c r="A817" s="7"/>
      <c r="B817" s="7"/>
      <c r="C817" s="7"/>
      <c r="D817" s="7"/>
      <c r="E817" s="7"/>
      <c r="F817" s="7"/>
      <c r="G817" s="7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spans="1:25" ht="16.8" x14ac:dyDescent="0.45">
      <c r="A818" s="7"/>
      <c r="B818" s="7"/>
      <c r="C818" s="7"/>
      <c r="D818" s="7"/>
      <c r="E818" s="7"/>
      <c r="F818" s="7"/>
      <c r="G818" s="7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spans="1:25" ht="16.8" x14ac:dyDescent="0.45">
      <c r="A819" s="7"/>
      <c r="B819" s="7"/>
      <c r="C819" s="7"/>
      <c r="D819" s="7"/>
      <c r="E819" s="7"/>
      <c r="F819" s="7"/>
      <c r="G819" s="7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spans="1:25" ht="16.8" x14ac:dyDescent="0.45">
      <c r="A820" s="7"/>
      <c r="B820" s="7"/>
      <c r="C820" s="7"/>
      <c r="D820" s="7"/>
      <c r="E820" s="7"/>
      <c r="F820" s="7"/>
      <c r="G820" s="7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spans="1:25" ht="16.8" x14ac:dyDescent="0.45">
      <c r="A821" s="7"/>
      <c r="B821" s="7"/>
      <c r="C821" s="7"/>
      <c r="D821" s="7"/>
      <c r="E821" s="7"/>
      <c r="F821" s="7"/>
      <c r="G821" s="7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spans="1:25" ht="16.8" x14ac:dyDescent="0.45">
      <c r="A822" s="7"/>
      <c r="B822" s="7"/>
      <c r="C822" s="7"/>
      <c r="D822" s="7"/>
      <c r="E822" s="7"/>
      <c r="F822" s="7"/>
      <c r="G822" s="7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spans="1:25" ht="16.8" x14ac:dyDescent="0.45">
      <c r="A823" s="7"/>
      <c r="B823" s="7"/>
      <c r="C823" s="7"/>
      <c r="D823" s="7"/>
      <c r="E823" s="7"/>
      <c r="F823" s="7"/>
      <c r="G823" s="7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spans="1:25" ht="16.8" x14ac:dyDescent="0.45">
      <c r="A824" s="7"/>
      <c r="B824" s="7"/>
      <c r="C824" s="7"/>
      <c r="D824" s="7"/>
      <c r="E824" s="7"/>
      <c r="F824" s="7"/>
      <c r="G824" s="7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spans="1:25" ht="16.8" x14ac:dyDescent="0.45">
      <c r="A825" s="7"/>
      <c r="B825" s="7"/>
      <c r="C825" s="7"/>
      <c r="D825" s="7"/>
      <c r="E825" s="7"/>
      <c r="F825" s="7"/>
      <c r="G825" s="7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spans="1:25" ht="16.8" x14ac:dyDescent="0.45">
      <c r="A826" s="7"/>
      <c r="B826" s="7"/>
      <c r="C826" s="7"/>
      <c r="D826" s="7"/>
      <c r="E826" s="7"/>
      <c r="F826" s="7"/>
      <c r="G826" s="7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spans="1:25" ht="16.8" x14ac:dyDescent="0.45">
      <c r="A827" s="7"/>
      <c r="B827" s="7"/>
      <c r="C827" s="7"/>
      <c r="D827" s="7"/>
      <c r="E827" s="7"/>
      <c r="F827" s="7"/>
      <c r="G827" s="7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spans="1:25" ht="16.8" x14ac:dyDescent="0.45">
      <c r="A828" s="7"/>
      <c r="B828" s="7"/>
      <c r="C828" s="7"/>
      <c r="D828" s="7"/>
      <c r="E828" s="7"/>
      <c r="F828" s="7"/>
      <c r="G828" s="7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spans="1:25" ht="16.8" x14ac:dyDescent="0.45">
      <c r="A829" s="7"/>
      <c r="B829" s="7"/>
      <c r="C829" s="7"/>
      <c r="D829" s="7"/>
      <c r="E829" s="7"/>
      <c r="F829" s="7"/>
      <c r="G829" s="7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spans="1:25" ht="16.8" x14ac:dyDescent="0.45">
      <c r="A830" s="7"/>
      <c r="B830" s="7"/>
      <c r="C830" s="7"/>
      <c r="D830" s="7"/>
      <c r="E830" s="7"/>
      <c r="F830" s="7"/>
      <c r="G830" s="7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spans="1:25" ht="16.8" x14ac:dyDescent="0.45">
      <c r="A831" s="7"/>
      <c r="B831" s="7"/>
      <c r="C831" s="7"/>
      <c r="D831" s="7"/>
      <c r="E831" s="7"/>
      <c r="F831" s="7"/>
      <c r="G831" s="7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spans="1:25" ht="16.8" x14ac:dyDescent="0.45">
      <c r="A832" s="7"/>
      <c r="B832" s="7"/>
      <c r="C832" s="7"/>
      <c r="D832" s="7"/>
      <c r="E832" s="7"/>
      <c r="F832" s="7"/>
      <c r="G832" s="7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spans="1:25" ht="16.8" x14ac:dyDescent="0.45">
      <c r="A833" s="7"/>
      <c r="B833" s="7"/>
      <c r="C833" s="7"/>
      <c r="D833" s="7"/>
      <c r="E833" s="7"/>
      <c r="F833" s="7"/>
      <c r="G833" s="7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spans="1:25" ht="16.8" x14ac:dyDescent="0.45">
      <c r="A834" s="7"/>
      <c r="B834" s="7"/>
      <c r="C834" s="7"/>
      <c r="D834" s="7"/>
      <c r="E834" s="7"/>
      <c r="F834" s="7"/>
      <c r="G834" s="7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spans="1:25" ht="16.8" x14ac:dyDescent="0.45">
      <c r="A835" s="7"/>
      <c r="B835" s="7"/>
      <c r="C835" s="7"/>
      <c r="D835" s="7"/>
      <c r="E835" s="7"/>
      <c r="F835" s="7"/>
      <c r="G835" s="7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spans="1:25" ht="16.8" x14ac:dyDescent="0.45">
      <c r="A836" s="7"/>
      <c r="B836" s="7"/>
      <c r="C836" s="7"/>
      <c r="D836" s="7"/>
      <c r="E836" s="7"/>
      <c r="F836" s="7"/>
      <c r="G836" s="7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spans="1:25" ht="16.8" x14ac:dyDescent="0.45">
      <c r="A837" s="7"/>
      <c r="B837" s="7"/>
      <c r="C837" s="7"/>
      <c r="D837" s="7"/>
      <c r="E837" s="7"/>
      <c r="F837" s="7"/>
      <c r="G837" s="7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spans="1:25" ht="16.8" x14ac:dyDescent="0.45">
      <c r="A838" s="7"/>
      <c r="B838" s="7"/>
      <c r="C838" s="7"/>
      <c r="D838" s="7"/>
      <c r="E838" s="7"/>
      <c r="F838" s="7"/>
      <c r="G838" s="7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spans="1:25" ht="16.8" x14ac:dyDescent="0.45">
      <c r="A839" s="7"/>
      <c r="B839" s="7"/>
      <c r="C839" s="7"/>
      <c r="D839" s="7"/>
      <c r="E839" s="7"/>
      <c r="F839" s="7"/>
      <c r="G839" s="7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spans="1:25" ht="16.8" x14ac:dyDescent="0.45">
      <c r="A840" s="7"/>
      <c r="B840" s="7"/>
      <c r="C840" s="7"/>
      <c r="D840" s="7"/>
      <c r="E840" s="7"/>
      <c r="F840" s="7"/>
      <c r="G840" s="7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spans="1:25" ht="16.8" x14ac:dyDescent="0.45">
      <c r="A841" s="7"/>
      <c r="B841" s="7"/>
      <c r="C841" s="7"/>
      <c r="D841" s="7"/>
      <c r="E841" s="7"/>
      <c r="F841" s="7"/>
      <c r="G841" s="7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spans="1:25" ht="16.8" x14ac:dyDescent="0.45">
      <c r="A842" s="7"/>
      <c r="B842" s="7"/>
      <c r="C842" s="7"/>
      <c r="D842" s="7"/>
      <c r="E842" s="7"/>
      <c r="F842" s="7"/>
      <c r="G842" s="7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spans="1:25" ht="16.8" x14ac:dyDescent="0.45">
      <c r="A843" s="7"/>
      <c r="B843" s="7"/>
      <c r="C843" s="7"/>
      <c r="D843" s="7"/>
      <c r="E843" s="7"/>
      <c r="F843" s="7"/>
      <c r="G843" s="7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spans="1:25" ht="16.8" x14ac:dyDescent="0.45">
      <c r="A844" s="7"/>
      <c r="B844" s="7"/>
      <c r="C844" s="7"/>
      <c r="D844" s="7"/>
      <c r="E844" s="7"/>
      <c r="F844" s="7"/>
      <c r="G844" s="7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spans="1:25" ht="16.8" x14ac:dyDescent="0.45">
      <c r="A845" s="7"/>
      <c r="B845" s="7"/>
      <c r="C845" s="7"/>
      <c r="D845" s="7"/>
      <c r="E845" s="7"/>
      <c r="F845" s="7"/>
      <c r="G845" s="7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spans="1:25" ht="16.8" x14ac:dyDescent="0.45">
      <c r="A846" s="7"/>
      <c r="B846" s="7"/>
      <c r="C846" s="7"/>
      <c r="D846" s="7"/>
      <c r="E846" s="7"/>
      <c r="F846" s="7"/>
      <c r="G846" s="7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spans="1:25" ht="16.8" x14ac:dyDescent="0.45">
      <c r="A847" s="7"/>
      <c r="B847" s="7"/>
      <c r="C847" s="7"/>
      <c r="D847" s="7"/>
      <c r="E847" s="7"/>
      <c r="F847" s="7"/>
      <c r="G847" s="7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spans="1:25" ht="16.8" x14ac:dyDescent="0.45">
      <c r="A848" s="7"/>
      <c r="B848" s="7"/>
      <c r="C848" s="7"/>
      <c r="D848" s="7"/>
      <c r="E848" s="7"/>
      <c r="F848" s="7"/>
      <c r="G848" s="7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spans="1:25" ht="16.8" x14ac:dyDescent="0.45">
      <c r="A849" s="7"/>
      <c r="B849" s="7"/>
      <c r="C849" s="7"/>
      <c r="D849" s="7"/>
      <c r="E849" s="7"/>
      <c r="F849" s="7"/>
      <c r="G849" s="7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spans="1:25" ht="16.8" x14ac:dyDescent="0.45">
      <c r="A850" s="7"/>
      <c r="B850" s="7"/>
      <c r="C850" s="7"/>
      <c r="D850" s="7"/>
      <c r="E850" s="7"/>
      <c r="F850" s="7"/>
      <c r="G850" s="7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spans="1:25" ht="16.8" x14ac:dyDescent="0.45">
      <c r="A851" s="7"/>
      <c r="B851" s="7"/>
      <c r="C851" s="7"/>
      <c r="D851" s="7"/>
      <c r="E851" s="7"/>
      <c r="F851" s="7"/>
      <c r="G851" s="7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spans="1:25" ht="16.8" x14ac:dyDescent="0.45">
      <c r="A852" s="7"/>
      <c r="B852" s="7"/>
      <c r="C852" s="7"/>
      <c r="D852" s="7"/>
      <c r="E852" s="7"/>
      <c r="F852" s="7"/>
      <c r="G852" s="7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spans="1:25" ht="16.8" x14ac:dyDescent="0.45">
      <c r="A853" s="7"/>
      <c r="B853" s="7"/>
      <c r="C853" s="7"/>
      <c r="D853" s="7"/>
      <c r="E853" s="7"/>
      <c r="F853" s="7"/>
      <c r="G853" s="7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spans="1:25" ht="16.8" x14ac:dyDescent="0.45">
      <c r="A854" s="7"/>
      <c r="B854" s="7"/>
      <c r="C854" s="7"/>
      <c r="D854" s="7"/>
      <c r="E854" s="7"/>
      <c r="F854" s="7"/>
      <c r="G854" s="7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spans="1:25" ht="16.8" x14ac:dyDescent="0.45">
      <c r="A855" s="7"/>
      <c r="B855" s="7"/>
      <c r="C855" s="7"/>
      <c r="D855" s="7"/>
      <c r="E855" s="7"/>
      <c r="F855" s="7"/>
      <c r="G855" s="7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spans="1:25" ht="16.8" x14ac:dyDescent="0.45">
      <c r="A856" s="7"/>
      <c r="B856" s="7"/>
      <c r="C856" s="7"/>
      <c r="D856" s="7"/>
      <c r="E856" s="7"/>
      <c r="F856" s="7"/>
      <c r="G856" s="7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spans="1:25" ht="16.8" x14ac:dyDescent="0.45">
      <c r="A857" s="7"/>
      <c r="B857" s="7"/>
      <c r="C857" s="7"/>
      <c r="D857" s="7"/>
      <c r="E857" s="7"/>
      <c r="F857" s="7"/>
      <c r="G857" s="7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spans="1:25" ht="16.8" x14ac:dyDescent="0.45">
      <c r="A858" s="7"/>
      <c r="B858" s="7"/>
      <c r="C858" s="7"/>
      <c r="D858" s="7"/>
      <c r="E858" s="7"/>
      <c r="F858" s="7"/>
      <c r="G858" s="7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spans="1:25" ht="16.8" x14ac:dyDescent="0.45">
      <c r="A859" s="7"/>
      <c r="B859" s="7"/>
      <c r="C859" s="7"/>
      <c r="D859" s="7"/>
      <c r="E859" s="7"/>
      <c r="F859" s="7"/>
      <c r="G859" s="7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spans="1:25" ht="16.8" x14ac:dyDescent="0.45">
      <c r="A860" s="7"/>
      <c r="B860" s="7"/>
      <c r="C860" s="7"/>
      <c r="D860" s="7"/>
      <c r="E860" s="7"/>
      <c r="F860" s="7"/>
      <c r="G860" s="7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spans="1:25" ht="16.8" x14ac:dyDescent="0.45">
      <c r="A861" s="7"/>
      <c r="B861" s="7"/>
      <c r="C861" s="7"/>
      <c r="D861" s="7"/>
      <c r="E861" s="7"/>
      <c r="F861" s="7"/>
      <c r="G861" s="7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spans="1:25" ht="16.8" x14ac:dyDescent="0.45">
      <c r="A862" s="7"/>
      <c r="B862" s="7"/>
      <c r="C862" s="7"/>
      <c r="D862" s="7"/>
      <c r="E862" s="7"/>
      <c r="F862" s="7"/>
      <c r="G862" s="7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spans="1:25" ht="16.8" x14ac:dyDescent="0.45">
      <c r="A863" s="7"/>
      <c r="B863" s="7"/>
      <c r="C863" s="7"/>
      <c r="D863" s="7"/>
      <c r="E863" s="7"/>
      <c r="F863" s="7"/>
      <c r="G863" s="7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spans="1:25" ht="16.8" x14ac:dyDescent="0.45">
      <c r="A864" s="7"/>
      <c r="B864" s="7"/>
      <c r="C864" s="7"/>
      <c r="D864" s="7"/>
      <c r="E864" s="7"/>
      <c r="F864" s="7"/>
      <c r="G864" s="7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spans="1:25" ht="16.8" x14ac:dyDescent="0.45">
      <c r="A865" s="7"/>
      <c r="B865" s="7"/>
      <c r="C865" s="7"/>
      <c r="D865" s="7"/>
      <c r="E865" s="7"/>
      <c r="F865" s="7"/>
      <c r="G865" s="7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spans="1:25" ht="16.8" x14ac:dyDescent="0.45">
      <c r="A866" s="7"/>
      <c r="B866" s="7"/>
      <c r="C866" s="7"/>
      <c r="D866" s="7"/>
      <c r="E866" s="7"/>
      <c r="F866" s="7"/>
      <c r="G866" s="7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spans="1:25" ht="16.8" x14ac:dyDescent="0.45">
      <c r="A867" s="7"/>
      <c r="B867" s="7"/>
      <c r="C867" s="7"/>
      <c r="D867" s="7"/>
      <c r="E867" s="7"/>
      <c r="F867" s="7"/>
      <c r="G867" s="7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spans="1:25" ht="16.8" x14ac:dyDescent="0.45">
      <c r="A868" s="7"/>
      <c r="B868" s="7"/>
      <c r="C868" s="7"/>
      <c r="D868" s="7"/>
      <c r="E868" s="7"/>
      <c r="F868" s="7"/>
      <c r="G868" s="7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spans="1:25" ht="16.8" x14ac:dyDescent="0.45">
      <c r="A869" s="7"/>
      <c r="B869" s="7"/>
      <c r="C869" s="7"/>
      <c r="D869" s="7"/>
      <c r="E869" s="7"/>
      <c r="F869" s="7"/>
      <c r="G869" s="7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spans="1:25" ht="16.8" x14ac:dyDescent="0.45">
      <c r="A870" s="7"/>
      <c r="B870" s="7"/>
      <c r="C870" s="7"/>
      <c r="D870" s="7"/>
      <c r="E870" s="7"/>
      <c r="F870" s="7"/>
      <c r="G870" s="7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spans="1:25" ht="16.8" x14ac:dyDescent="0.45">
      <c r="A871" s="7"/>
      <c r="B871" s="7"/>
      <c r="C871" s="7"/>
      <c r="D871" s="7"/>
      <c r="E871" s="7"/>
      <c r="F871" s="7"/>
      <c r="G871" s="7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spans="1:25" ht="16.8" x14ac:dyDescent="0.45">
      <c r="A872" s="7"/>
      <c r="B872" s="7"/>
      <c r="C872" s="7"/>
      <c r="D872" s="7"/>
      <c r="E872" s="7"/>
      <c r="F872" s="7"/>
      <c r="G872" s="7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spans="1:25" ht="16.8" x14ac:dyDescent="0.45">
      <c r="A873" s="7"/>
      <c r="B873" s="7"/>
      <c r="C873" s="7"/>
      <c r="D873" s="7"/>
      <c r="E873" s="7"/>
      <c r="F873" s="7"/>
      <c r="G873" s="7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spans="1:25" ht="16.8" x14ac:dyDescent="0.45">
      <c r="A874" s="7"/>
      <c r="B874" s="7"/>
      <c r="C874" s="7"/>
      <c r="D874" s="7"/>
      <c r="E874" s="7"/>
      <c r="F874" s="7"/>
      <c r="G874" s="7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spans="1:25" ht="16.8" x14ac:dyDescent="0.45">
      <c r="A875" s="7"/>
      <c r="B875" s="7"/>
      <c r="C875" s="7"/>
      <c r="D875" s="7"/>
      <c r="E875" s="7"/>
      <c r="F875" s="7"/>
      <c r="G875" s="7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spans="1:25" ht="16.8" x14ac:dyDescent="0.45">
      <c r="A876" s="7"/>
      <c r="B876" s="7"/>
      <c r="C876" s="7"/>
      <c r="D876" s="7"/>
      <c r="E876" s="7"/>
      <c r="F876" s="7"/>
      <c r="G876" s="7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spans="1:25" ht="16.8" x14ac:dyDescent="0.45">
      <c r="A877" s="7"/>
      <c r="B877" s="7"/>
      <c r="C877" s="7"/>
      <c r="D877" s="7"/>
      <c r="E877" s="7"/>
      <c r="F877" s="7"/>
      <c r="G877" s="7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spans="1:25" ht="16.8" x14ac:dyDescent="0.45">
      <c r="A878" s="7"/>
      <c r="B878" s="7"/>
      <c r="C878" s="7"/>
      <c r="D878" s="7"/>
      <c r="E878" s="7"/>
      <c r="F878" s="7"/>
      <c r="G878" s="7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spans="1:25" ht="16.8" x14ac:dyDescent="0.45">
      <c r="A879" s="7"/>
      <c r="B879" s="7"/>
      <c r="C879" s="7"/>
      <c r="D879" s="7"/>
      <c r="E879" s="7"/>
      <c r="F879" s="7"/>
      <c r="G879" s="7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spans="1:25" ht="16.8" x14ac:dyDescent="0.45">
      <c r="A880" s="7"/>
      <c r="B880" s="7"/>
      <c r="C880" s="7"/>
      <c r="D880" s="7"/>
      <c r="E880" s="7"/>
      <c r="F880" s="7"/>
      <c r="G880" s="7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spans="1:25" ht="16.8" x14ac:dyDescent="0.45">
      <c r="A881" s="7"/>
      <c r="B881" s="7"/>
      <c r="C881" s="7"/>
      <c r="D881" s="7"/>
      <c r="E881" s="7"/>
      <c r="F881" s="7"/>
      <c r="G881" s="7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spans="1:25" ht="16.8" x14ac:dyDescent="0.45">
      <c r="A882" s="7"/>
      <c r="B882" s="7"/>
      <c r="C882" s="7"/>
      <c r="D882" s="7"/>
      <c r="E882" s="7"/>
      <c r="F882" s="7"/>
      <c r="G882" s="7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spans="1:25" ht="16.8" x14ac:dyDescent="0.45">
      <c r="A883" s="7"/>
      <c r="B883" s="7"/>
      <c r="C883" s="7"/>
      <c r="D883" s="7"/>
      <c r="E883" s="7"/>
      <c r="F883" s="7"/>
      <c r="G883" s="7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spans="1:25" ht="16.8" x14ac:dyDescent="0.45">
      <c r="A884" s="7"/>
      <c r="B884" s="7"/>
      <c r="C884" s="7"/>
      <c r="D884" s="7"/>
      <c r="E884" s="7"/>
      <c r="F884" s="7"/>
      <c r="G884" s="7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spans="1:25" ht="16.8" x14ac:dyDescent="0.45">
      <c r="A885" s="7"/>
      <c r="B885" s="7"/>
      <c r="C885" s="7"/>
      <c r="D885" s="7"/>
      <c r="E885" s="7"/>
      <c r="F885" s="7"/>
      <c r="G885" s="7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spans="1:25" ht="16.8" x14ac:dyDescent="0.45">
      <c r="A886" s="7"/>
      <c r="B886" s="7"/>
      <c r="C886" s="7"/>
      <c r="D886" s="7"/>
      <c r="E886" s="7"/>
      <c r="F886" s="7"/>
      <c r="G886" s="7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spans="1:25" ht="16.8" x14ac:dyDescent="0.45">
      <c r="A887" s="7"/>
      <c r="B887" s="7"/>
      <c r="C887" s="7"/>
      <c r="D887" s="7"/>
      <c r="E887" s="7"/>
      <c r="F887" s="7"/>
      <c r="G887" s="7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spans="1:25" ht="16.8" x14ac:dyDescent="0.45">
      <c r="A888" s="7"/>
      <c r="B888" s="7"/>
      <c r="C888" s="7"/>
      <c r="D888" s="7"/>
      <c r="E888" s="7"/>
      <c r="F888" s="7"/>
      <c r="G888" s="7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spans="1:25" ht="16.8" x14ac:dyDescent="0.45">
      <c r="A889" s="7"/>
      <c r="B889" s="7"/>
      <c r="C889" s="7"/>
      <c r="D889" s="7"/>
      <c r="E889" s="7"/>
      <c r="F889" s="7"/>
      <c r="G889" s="7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spans="1:25" ht="16.8" x14ac:dyDescent="0.45">
      <c r="A890" s="7"/>
      <c r="B890" s="7"/>
      <c r="C890" s="7"/>
      <c r="D890" s="7"/>
      <c r="E890" s="7"/>
      <c r="F890" s="7"/>
      <c r="G890" s="7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spans="1:25" ht="16.8" x14ac:dyDescent="0.45">
      <c r="A891" s="7"/>
      <c r="B891" s="7"/>
      <c r="C891" s="7"/>
      <c r="D891" s="7"/>
      <c r="E891" s="7"/>
      <c r="F891" s="7"/>
      <c r="G891" s="7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spans="1:25" ht="16.8" x14ac:dyDescent="0.45">
      <c r="A892" s="7"/>
      <c r="B892" s="7"/>
      <c r="C892" s="7"/>
      <c r="D892" s="7"/>
      <c r="E892" s="7"/>
      <c r="F892" s="7"/>
      <c r="G892" s="7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spans="1:25" ht="16.8" x14ac:dyDescent="0.45">
      <c r="A893" s="7"/>
      <c r="B893" s="7"/>
      <c r="C893" s="7"/>
      <c r="D893" s="7"/>
      <c r="E893" s="7"/>
      <c r="F893" s="7"/>
      <c r="G893" s="7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spans="1:25" ht="16.8" x14ac:dyDescent="0.45">
      <c r="A894" s="7"/>
      <c r="B894" s="7"/>
      <c r="C894" s="7"/>
      <c r="D894" s="7"/>
      <c r="E894" s="7"/>
      <c r="F894" s="7"/>
      <c r="G894" s="7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spans="1:25" ht="16.8" x14ac:dyDescent="0.45">
      <c r="A895" s="7"/>
      <c r="B895" s="7"/>
      <c r="C895" s="7"/>
      <c r="D895" s="7"/>
      <c r="E895" s="7"/>
      <c r="F895" s="7"/>
      <c r="G895" s="7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spans="1:25" ht="16.8" x14ac:dyDescent="0.45">
      <c r="A896" s="7"/>
      <c r="B896" s="7"/>
      <c r="C896" s="7"/>
      <c r="D896" s="7"/>
      <c r="E896" s="7"/>
      <c r="F896" s="7"/>
      <c r="G896" s="7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spans="1:25" ht="16.8" x14ac:dyDescent="0.45">
      <c r="A897" s="7"/>
      <c r="B897" s="7"/>
      <c r="C897" s="7"/>
      <c r="D897" s="7"/>
      <c r="E897" s="7"/>
      <c r="F897" s="7"/>
      <c r="G897" s="7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spans="1:25" ht="16.8" x14ac:dyDescent="0.45">
      <c r="A898" s="7"/>
      <c r="B898" s="7"/>
      <c r="C898" s="7"/>
      <c r="D898" s="7"/>
      <c r="E898" s="7"/>
      <c r="F898" s="7"/>
      <c r="G898" s="7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spans="1:25" ht="16.8" x14ac:dyDescent="0.45">
      <c r="A899" s="7"/>
      <c r="B899" s="7"/>
      <c r="C899" s="7"/>
      <c r="D899" s="7"/>
      <c r="E899" s="7"/>
      <c r="F899" s="7"/>
      <c r="G899" s="7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spans="1:25" ht="16.8" x14ac:dyDescent="0.45">
      <c r="A900" s="7"/>
      <c r="B900" s="7"/>
      <c r="C900" s="7"/>
      <c r="D900" s="7"/>
      <c r="E900" s="7"/>
      <c r="F900" s="7"/>
      <c r="G900" s="7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spans="1:25" ht="16.8" x14ac:dyDescent="0.45">
      <c r="A901" s="7"/>
      <c r="B901" s="7"/>
      <c r="C901" s="7"/>
      <c r="D901" s="7"/>
      <c r="E901" s="7"/>
      <c r="F901" s="7"/>
      <c r="G901" s="7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spans="1:25" ht="16.8" x14ac:dyDescent="0.45">
      <c r="A902" s="7"/>
      <c r="B902" s="7"/>
      <c r="C902" s="7"/>
      <c r="D902" s="7"/>
      <c r="E902" s="7"/>
      <c r="F902" s="7"/>
      <c r="G902" s="7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spans="1:25" ht="16.8" x14ac:dyDescent="0.45">
      <c r="A903" s="7"/>
      <c r="B903" s="7"/>
      <c r="C903" s="7"/>
      <c r="D903" s="7"/>
      <c r="E903" s="7"/>
      <c r="F903" s="7"/>
      <c r="G903" s="7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spans="1:25" ht="16.8" x14ac:dyDescent="0.45">
      <c r="A904" s="7"/>
      <c r="B904" s="7"/>
      <c r="C904" s="7"/>
      <c r="D904" s="7"/>
      <c r="E904" s="7"/>
      <c r="F904" s="7"/>
      <c r="G904" s="7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spans="1:25" ht="16.8" x14ac:dyDescent="0.45">
      <c r="A905" s="7"/>
      <c r="B905" s="7"/>
      <c r="C905" s="7"/>
      <c r="D905" s="7"/>
      <c r="E905" s="7"/>
      <c r="F905" s="7"/>
      <c r="G905" s="7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spans="1:25" ht="16.8" x14ac:dyDescent="0.45">
      <c r="A906" s="7"/>
      <c r="B906" s="7"/>
      <c r="C906" s="7"/>
      <c r="D906" s="7"/>
      <c r="E906" s="7"/>
      <c r="F906" s="7"/>
      <c r="G906" s="7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spans="1:25" ht="16.8" x14ac:dyDescent="0.45">
      <c r="A907" s="7"/>
      <c r="B907" s="7"/>
      <c r="C907" s="7"/>
      <c r="D907" s="7"/>
      <c r="E907" s="7"/>
      <c r="F907" s="7"/>
      <c r="G907" s="7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spans="1:25" ht="16.8" x14ac:dyDescent="0.45">
      <c r="A908" s="7"/>
      <c r="B908" s="7"/>
      <c r="C908" s="7"/>
      <c r="D908" s="7"/>
      <c r="E908" s="7"/>
      <c r="F908" s="7"/>
      <c r="G908" s="7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spans="1:25" ht="16.8" x14ac:dyDescent="0.45">
      <c r="A909" s="7"/>
      <c r="B909" s="7"/>
      <c r="C909" s="7"/>
      <c r="D909" s="7"/>
      <c r="E909" s="7"/>
      <c r="F909" s="7"/>
      <c r="G909" s="7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spans="1:25" ht="16.8" x14ac:dyDescent="0.45">
      <c r="A910" s="7"/>
      <c r="B910" s="7"/>
      <c r="C910" s="7"/>
      <c r="D910" s="7"/>
      <c r="E910" s="7"/>
      <c r="F910" s="7"/>
      <c r="G910" s="7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spans="1:25" ht="16.8" x14ac:dyDescent="0.45">
      <c r="A911" s="7"/>
      <c r="B911" s="7"/>
      <c r="C911" s="7"/>
      <c r="D911" s="7"/>
      <c r="E911" s="7"/>
      <c r="F911" s="7"/>
      <c r="G911" s="7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spans="1:25" ht="16.8" x14ac:dyDescent="0.45">
      <c r="A912" s="7"/>
      <c r="B912" s="7"/>
      <c r="C912" s="7"/>
      <c r="D912" s="7"/>
      <c r="E912" s="7"/>
      <c r="F912" s="7"/>
      <c r="G912" s="7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spans="1:25" ht="16.8" x14ac:dyDescent="0.45">
      <c r="A913" s="7"/>
      <c r="B913" s="7"/>
      <c r="C913" s="7"/>
      <c r="D913" s="7"/>
      <c r="E913" s="7"/>
      <c r="F913" s="7"/>
      <c r="G913" s="7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spans="1:25" ht="16.8" x14ac:dyDescent="0.45">
      <c r="A914" s="7"/>
      <c r="B914" s="7"/>
      <c r="C914" s="7"/>
      <c r="D914" s="7"/>
      <c r="E914" s="7"/>
      <c r="F914" s="7"/>
      <c r="G914" s="7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spans="1:25" ht="16.8" x14ac:dyDescent="0.45">
      <c r="A915" s="7"/>
      <c r="B915" s="7"/>
      <c r="C915" s="7"/>
      <c r="D915" s="7"/>
      <c r="E915" s="7"/>
      <c r="F915" s="7"/>
      <c r="G915" s="7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spans="1:25" ht="16.8" x14ac:dyDescent="0.45">
      <c r="A916" s="7"/>
      <c r="B916" s="7"/>
      <c r="C916" s="7"/>
      <c r="D916" s="7"/>
      <c r="E916" s="7"/>
      <c r="F916" s="7"/>
      <c r="G916" s="7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spans="1:25" ht="16.8" x14ac:dyDescent="0.45">
      <c r="A917" s="7"/>
      <c r="B917" s="7"/>
      <c r="C917" s="7"/>
      <c r="D917" s="7"/>
      <c r="E917" s="7"/>
      <c r="F917" s="7"/>
      <c r="G917" s="7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spans="1:25" ht="16.8" x14ac:dyDescent="0.45">
      <c r="A918" s="7"/>
      <c r="B918" s="7"/>
      <c r="C918" s="7"/>
      <c r="D918" s="7"/>
      <c r="E918" s="7"/>
      <c r="F918" s="7"/>
      <c r="G918" s="7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spans="1:25" ht="16.8" x14ac:dyDescent="0.45">
      <c r="A919" s="7"/>
      <c r="B919" s="7"/>
      <c r="C919" s="7"/>
      <c r="D919" s="7"/>
      <c r="E919" s="7"/>
      <c r="F919" s="7"/>
      <c r="G919" s="7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spans="1:25" ht="16.8" x14ac:dyDescent="0.45">
      <c r="A920" s="7"/>
      <c r="B920" s="7"/>
      <c r="C920" s="7"/>
      <c r="D920" s="7"/>
      <c r="E920" s="7"/>
      <c r="F920" s="7"/>
      <c r="G920" s="7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spans="1:25" ht="16.8" x14ac:dyDescent="0.45">
      <c r="A921" s="7"/>
      <c r="B921" s="7"/>
      <c r="C921" s="7"/>
      <c r="D921" s="7"/>
      <c r="E921" s="7"/>
      <c r="F921" s="7"/>
      <c r="G921" s="7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spans="1:25" ht="16.8" x14ac:dyDescent="0.45">
      <c r="A922" s="7"/>
      <c r="B922" s="7"/>
      <c r="C922" s="7"/>
      <c r="D922" s="7"/>
      <c r="E922" s="7"/>
      <c r="F922" s="7"/>
      <c r="G922" s="7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spans="1:25" ht="16.8" x14ac:dyDescent="0.45">
      <c r="A923" s="7"/>
      <c r="B923" s="7"/>
      <c r="C923" s="7"/>
      <c r="D923" s="7"/>
      <c r="E923" s="7"/>
      <c r="F923" s="7"/>
      <c r="G923" s="7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spans="1:25" ht="16.8" x14ac:dyDescent="0.45">
      <c r="A924" s="7"/>
      <c r="B924" s="7"/>
      <c r="C924" s="7"/>
      <c r="D924" s="7"/>
      <c r="E924" s="7"/>
      <c r="F924" s="7"/>
      <c r="G924" s="7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spans="1:25" ht="16.8" x14ac:dyDescent="0.45">
      <c r="A925" s="7"/>
      <c r="B925" s="7"/>
      <c r="C925" s="7"/>
      <c r="D925" s="7"/>
      <c r="E925" s="7"/>
      <c r="F925" s="7"/>
      <c r="G925" s="7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spans="1:25" ht="16.8" x14ac:dyDescent="0.45">
      <c r="A926" s="7"/>
      <c r="B926" s="7"/>
      <c r="C926" s="7"/>
      <c r="D926" s="7"/>
      <c r="E926" s="7"/>
      <c r="F926" s="7"/>
      <c r="G926" s="7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spans="1:25" ht="16.8" x14ac:dyDescent="0.45">
      <c r="A927" s="7"/>
      <c r="B927" s="7"/>
      <c r="C927" s="7"/>
      <c r="D927" s="7"/>
      <c r="E927" s="7"/>
      <c r="F927" s="7"/>
      <c r="G927" s="7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spans="1:25" ht="16.8" x14ac:dyDescent="0.45">
      <c r="A928" s="7"/>
      <c r="B928" s="7"/>
      <c r="C928" s="7"/>
      <c r="D928" s="7"/>
      <c r="E928" s="7"/>
      <c r="F928" s="7"/>
      <c r="G928" s="7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spans="1:25" ht="16.8" x14ac:dyDescent="0.45">
      <c r="A929" s="7"/>
      <c r="B929" s="7"/>
      <c r="C929" s="7"/>
      <c r="D929" s="7"/>
      <c r="E929" s="7"/>
      <c r="F929" s="7"/>
      <c r="G929" s="7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spans="1:25" ht="16.8" x14ac:dyDescent="0.45">
      <c r="A930" s="7"/>
      <c r="B930" s="7"/>
      <c r="C930" s="7"/>
      <c r="D930" s="7"/>
      <c r="E930" s="7"/>
      <c r="F930" s="7"/>
      <c r="G930" s="7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spans="1:25" ht="16.8" x14ac:dyDescent="0.45">
      <c r="A931" s="7"/>
      <c r="B931" s="7"/>
      <c r="C931" s="7"/>
      <c r="D931" s="7"/>
      <c r="E931" s="7"/>
      <c r="F931" s="7"/>
      <c r="G931" s="7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spans="1:25" ht="16.8" x14ac:dyDescent="0.45">
      <c r="A932" s="7"/>
      <c r="B932" s="7"/>
      <c r="C932" s="7"/>
      <c r="D932" s="7"/>
      <c r="E932" s="7"/>
      <c r="F932" s="7"/>
      <c r="G932" s="7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spans="1:25" ht="16.8" x14ac:dyDescent="0.45">
      <c r="A933" s="7"/>
      <c r="B933" s="7"/>
      <c r="C933" s="7"/>
      <c r="D933" s="7"/>
      <c r="E933" s="7"/>
      <c r="F933" s="7"/>
      <c r="G933" s="7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spans="1:25" ht="16.8" x14ac:dyDescent="0.45">
      <c r="A934" s="7"/>
      <c r="B934" s="7"/>
      <c r="C934" s="7"/>
      <c r="D934" s="7"/>
      <c r="E934" s="7"/>
      <c r="F934" s="7"/>
      <c r="G934" s="7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spans="1:25" ht="16.8" x14ac:dyDescent="0.45">
      <c r="A935" s="7"/>
      <c r="B935" s="7"/>
      <c r="C935" s="7"/>
      <c r="D935" s="7"/>
      <c r="E935" s="7"/>
      <c r="F935" s="7"/>
      <c r="G935" s="7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spans="1:25" ht="16.8" x14ac:dyDescent="0.45">
      <c r="A936" s="7"/>
      <c r="B936" s="7"/>
      <c r="C936" s="7"/>
      <c r="D936" s="7"/>
      <c r="E936" s="7"/>
      <c r="F936" s="7"/>
      <c r="G936" s="7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spans="1:25" ht="16.8" x14ac:dyDescent="0.45">
      <c r="A937" s="7"/>
      <c r="B937" s="7"/>
      <c r="C937" s="7"/>
      <c r="D937" s="7"/>
      <c r="E937" s="7"/>
      <c r="F937" s="7"/>
      <c r="G937" s="7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spans="1:25" ht="16.8" x14ac:dyDescent="0.45">
      <c r="A938" s="7"/>
      <c r="B938" s="7"/>
      <c r="C938" s="7"/>
      <c r="D938" s="7"/>
      <c r="E938" s="7"/>
      <c r="F938" s="7"/>
      <c r="G938" s="7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spans="1:25" ht="16.8" x14ac:dyDescent="0.45">
      <c r="A939" s="7"/>
      <c r="B939" s="7"/>
      <c r="C939" s="7"/>
      <c r="D939" s="7"/>
      <c r="E939" s="7"/>
      <c r="F939" s="7"/>
      <c r="G939" s="7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spans="1:25" ht="16.8" x14ac:dyDescent="0.45">
      <c r="A940" s="7"/>
      <c r="B940" s="7"/>
      <c r="C940" s="7"/>
      <c r="D940" s="7"/>
      <c r="E940" s="7"/>
      <c r="F940" s="7"/>
      <c r="G940" s="7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spans="1:25" ht="16.8" x14ac:dyDescent="0.45">
      <c r="A941" s="7"/>
      <c r="B941" s="7"/>
      <c r="C941" s="7"/>
      <c r="D941" s="7"/>
      <c r="E941" s="7"/>
      <c r="F941" s="7"/>
      <c r="G941" s="7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spans="1:25" ht="16.8" x14ac:dyDescent="0.45">
      <c r="A942" s="7"/>
      <c r="B942" s="7"/>
      <c r="C942" s="7"/>
      <c r="D942" s="7"/>
      <c r="E942" s="7"/>
      <c r="F942" s="7"/>
      <c r="G942" s="7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spans="1:25" ht="16.8" x14ac:dyDescent="0.45">
      <c r="A943" s="7"/>
      <c r="B943" s="7"/>
      <c r="C943" s="7"/>
      <c r="D943" s="7"/>
      <c r="E943" s="7"/>
      <c r="F943" s="7"/>
      <c r="G943" s="7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spans="1:25" ht="16.8" x14ac:dyDescent="0.45">
      <c r="A944" s="7"/>
      <c r="B944" s="7"/>
      <c r="C944" s="7"/>
      <c r="D944" s="7"/>
      <c r="E944" s="7"/>
      <c r="F944" s="7"/>
      <c r="G944" s="7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spans="1:25" ht="16.8" x14ac:dyDescent="0.45">
      <c r="A945" s="7"/>
      <c r="B945" s="7"/>
      <c r="C945" s="7"/>
      <c r="D945" s="7"/>
      <c r="E945" s="7"/>
      <c r="F945" s="7"/>
      <c r="G945" s="7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spans="1:25" ht="16.8" x14ac:dyDescent="0.45">
      <c r="A946" s="7"/>
      <c r="B946" s="7"/>
      <c r="C946" s="7"/>
      <c r="D946" s="7"/>
      <c r="E946" s="7"/>
      <c r="F946" s="7"/>
      <c r="G946" s="7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spans="1:25" ht="16.8" x14ac:dyDescent="0.45">
      <c r="A947" s="7"/>
      <c r="B947" s="7"/>
      <c r="C947" s="7"/>
      <c r="D947" s="7"/>
      <c r="E947" s="7"/>
      <c r="F947" s="7"/>
      <c r="G947" s="7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spans="1:25" ht="16.8" x14ac:dyDescent="0.45">
      <c r="A948" s="7"/>
      <c r="B948" s="7"/>
      <c r="C948" s="7"/>
      <c r="D948" s="7"/>
      <c r="E948" s="7"/>
      <c r="F948" s="7"/>
      <c r="G948" s="7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spans="1:25" ht="16.8" x14ac:dyDescent="0.45">
      <c r="A949" s="7"/>
      <c r="B949" s="7"/>
      <c r="C949" s="7"/>
      <c r="D949" s="7"/>
      <c r="E949" s="7"/>
      <c r="F949" s="7"/>
      <c r="G949" s="7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spans="1:25" ht="16.8" x14ac:dyDescent="0.45">
      <c r="A950" s="7"/>
      <c r="B950" s="7"/>
      <c r="C950" s="7"/>
      <c r="D950" s="7"/>
      <c r="E950" s="7"/>
      <c r="F950" s="7"/>
      <c r="G950" s="7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spans="1:25" ht="16.8" x14ac:dyDescent="0.45">
      <c r="A951" s="7"/>
      <c r="B951" s="7"/>
      <c r="C951" s="7"/>
      <c r="D951" s="7"/>
      <c r="E951" s="7"/>
      <c r="F951" s="7"/>
      <c r="G951" s="7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spans="1:25" ht="16.8" x14ac:dyDescent="0.45">
      <c r="A952" s="7"/>
      <c r="B952" s="7"/>
      <c r="C952" s="7"/>
      <c r="D952" s="7"/>
      <c r="E952" s="7"/>
      <c r="F952" s="7"/>
      <c r="G952" s="7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spans="1:25" ht="16.8" x14ac:dyDescent="0.45">
      <c r="A953" s="7"/>
      <c r="B953" s="7"/>
      <c r="C953" s="7"/>
      <c r="D953" s="7"/>
      <c r="E953" s="7"/>
      <c r="F953" s="7"/>
      <c r="G953" s="7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spans="1:25" ht="16.8" x14ac:dyDescent="0.45">
      <c r="A954" s="7"/>
      <c r="B954" s="7"/>
      <c r="C954" s="7"/>
      <c r="D954" s="7"/>
      <c r="E954" s="7"/>
      <c r="F954" s="7"/>
      <c r="G954" s="7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spans="1:25" ht="16.8" x14ac:dyDescent="0.45">
      <c r="A955" s="7"/>
      <c r="B955" s="7"/>
      <c r="C955" s="7"/>
      <c r="D955" s="7"/>
      <c r="E955" s="7"/>
      <c r="F955" s="7"/>
      <c r="G955" s="7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spans="1:25" ht="16.8" x14ac:dyDescent="0.45">
      <c r="A956" s="7"/>
      <c r="B956" s="7"/>
      <c r="C956" s="7"/>
      <c r="D956" s="7"/>
      <c r="E956" s="7"/>
      <c r="F956" s="7"/>
      <c r="G956" s="7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spans="1:25" ht="16.8" x14ac:dyDescent="0.45">
      <c r="A957" s="7"/>
      <c r="B957" s="7"/>
      <c r="C957" s="7"/>
      <c r="D957" s="7"/>
      <c r="E957" s="7"/>
      <c r="F957" s="7"/>
      <c r="G957" s="7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spans="1:25" ht="16.8" x14ac:dyDescent="0.45">
      <c r="A958" s="7"/>
      <c r="B958" s="7"/>
      <c r="C958" s="7"/>
      <c r="D958" s="7"/>
      <c r="E958" s="7"/>
      <c r="F958" s="7"/>
      <c r="G958" s="7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spans="1:25" ht="16.8" x14ac:dyDescent="0.45">
      <c r="A959" s="7"/>
      <c r="B959" s="7"/>
      <c r="C959" s="7"/>
      <c r="D959" s="7"/>
      <c r="E959" s="7"/>
      <c r="F959" s="7"/>
      <c r="G959" s="7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spans="1:25" ht="16.8" x14ac:dyDescent="0.45">
      <c r="A960" s="7"/>
      <c r="B960" s="7"/>
      <c r="C960" s="7"/>
      <c r="D960" s="7"/>
      <c r="E960" s="7"/>
      <c r="F960" s="7"/>
      <c r="G960" s="7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spans="1:25" ht="16.8" x14ac:dyDescent="0.45">
      <c r="A961" s="7"/>
      <c r="B961" s="7"/>
      <c r="C961" s="7"/>
      <c r="D961" s="7"/>
      <c r="E961" s="7"/>
      <c r="F961" s="7"/>
      <c r="G961" s="7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spans="1:25" ht="16.8" x14ac:dyDescent="0.45">
      <c r="A962" s="7"/>
      <c r="B962" s="7"/>
      <c r="C962" s="7"/>
      <c r="D962" s="7"/>
      <c r="E962" s="7"/>
      <c r="F962" s="7"/>
      <c r="G962" s="7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spans="1:25" ht="16.8" x14ac:dyDescent="0.45">
      <c r="A963" s="7"/>
      <c r="B963" s="7"/>
      <c r="C963" s="7"/>
      <c r="D963" s="7"/>
      <c r="E963" s="7"/>
      <c r="F963" s="7"/>
      <c r="G963" s="7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spans="1:25" ht="16.8" x14ac:dyDescent="0.45">
      <c r="A964" s="7"/>
      <c r="B964" s="7"/>
      <c r="C964" s="7"/>
      <c r="D964" s="7"/>
      <c r="E964" s="7"/>
      <c r="F964" s="7"/>
      <c r="G964" s="7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spans="1:25" ht="16.8" x14ac:dyDescent="0.45">
      <c r="A965" s="7"/>
      <c r="B965" s="7"/>
      <c r="C965" s="7"/>
      <c r="D965" s="7"/>
      <c r="E965" s="7"/>
      <c r="F965" s="7"/>
      <c r="G965" s="7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spans="1:25" ht="16.8" x14ac:dyDescent="0.45">
      <c r="A966" s="7"/>
      <c r="B966" s="7"/>
      <c r="C966" s="7"/>
      <c r="D966" s="7"/>
      <c r="E966" s="7"/>
      <c r="F966" s="7"/>
      <c r="G966" s="7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spans="1:25" ht="16.8" x14ac:dyDescent="0.45">
      <c r="A967" s="7"/>
      <c r="B967" s="7"/>
      <c r="C967" s="7"/>
      <c r="D967" s="7"/>
      <c r="E967" s="7"/>
      <c r="F967" s="7"/>
      <c r="G967" s="7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spans="1:25" ht="16.8" x14ac:dyDescent="0.45">
      <c r="A968" s="7"/>
      <c r="B968" s="7"/>
      <c r="C968" s="7"/>
      <c r="D968" s="7"/>
      <c r="E968" s="7"/>
      <c r="F968" s="7"/>
      <c r="G968" s="7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spans="1:25" ht="16.8" x14ac:dyDescent="0.45">
      <c r="A969" s="7"/>
      <c r="B969" s="7"/>
      <c r="C969" s="7"/>
      <c r="D969" s="7"/>
      <c r="E969" s="7"/>
      <c r="F969" s="7"/>
      <c r="G969" s="7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spans="1:25" ht="16.8" x14ac:dyDescent="0.45">
      <c r="A970" s="7"/>
      <c r="B970" s="7"/>
      <c r="C970" s="7"/>
      <c r="D970" s="7"/>
      <c r="E970" s="7"/>
      <c r="F970" s="7"/>
      <c r="G970" s="7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spans="1:25" ht="16.8" x14ac:dyDescent="0.45">
      <c r="A971" s="7"/>
      <c r="B971" s="7"/>
      <c r="C971" s="7"/>
      <c r="D971" s="7"/>
      <c r="E971" s="7"/>
      <c r="F971" s="7"/>
      <c r="G971" s="7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spans="1:25" ht="16.8" x14ac:dyDescent="0.45">
      <c r="A972" s="7"/>
      <c r="B972" s="7"/>
      <c r="C972" s="7"/>
      <c r="D972" s="7"/>
      <c r="E972" s="7"/>
      <c r="F972" s="7"/>
      <c r="G972" s="7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spans="1:25" ht="16.8" x14ac:dyDescent="0.45">
      <c r="A973" s="7"/>
      <c r="B973" s="7"/>
      <c r="C973" s="7"/>
      <c r="D973" s="7"/>
      <c r="E973" s="7"/>
      <c r="F973" s="7"/>
      <c r="G973" s="7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spans="1:25" ht="16.8" x14ac:dyDescent="0.45">
      <c r="A974" s="7"/>
      <c r="B974" s="7"/>
      <c r="C974" s="7"/>
      <c r="D974" s="7"/>
      <c r="E974" s="7"/>
      <c r="F974" s="7"/>
      <c r="G974" s="7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spans="1:25" ht="16.8" x14ac:dyDescent="0.45">
      <c r="A975" s="7"/>
      <c r="B975" s="7"/>
      <c r="C975" s="7"/>
      <c r="D975" s="7"/>
      <c r="E975" s="7"/>
      <c r="F975" s="7"/>
      <c r="G975" s="7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spans="1:25" ht="16.8" x14ac:dyDescent="0.45">
      <c r="A976" s="7"/>
      <c r="B976" s="7"/>
      <c r="C976" s="7"/>
      <c r="D976" s="7"/>
      <c r="E976" s="7"/>
      <c r="F976" s="7"/>
      <c r="G976" s="7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spans="1:25" ht="16.8" x14ac:dyDescent="0.45">
      <c r="A977" s="7"/>
      <c r="B977" s="7"/>
      <c r="C977" s="7"/>
      <c r="D977" s="7"/>
      <c r="E977" s="7"/>
      <c r="F977" s="7"/>
      <c r="G977" s="7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spans="1:25" ht="16.8" x14ac:dyDescent="0.45">
      <c r="A978" s="7"/>
      <c r="B978" s="7"/>
      <c r="C978" s="7"/>
      <c r="D978" s="7"/>
      <c r="E978" s="7"/>
      <c r="F978" s="7"/>
      <c r="G978" s="7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spans="1:25" ht="16.8" x14ac:dyDescent="0.45">
      <c r="A979" s="7"/>
      <c r="B979" s="7"/>
      <c r="C979" s="7"/>
      <c r="D979" s="7"/>
      <c r="E979" s="7"/>
      <c r="F979" s="7"/>
      <c r="G979" s="7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spans="1:25" ht="16.8" x14ac:dyDescent="0.45">
      <c r="A980" s="7"/>
      <c r="B980" s="7"/>
      <c r="C980" s="7"/>
      <c r="D980" s="7"/>
      <c r="E980" s="7"/>
      <c r="F980" s="7"/>
      <c r="G980" s="7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spans="1:25" ht="16.8" x14ac:dyDescent="0.45">
      <c r="A981" s="7"/>
      <c r="B981" s="7"/>
      <c r="C981" s="7"/>
      <c r="D981" s="7"/>
      <c r="E981" s="7"/>
      <c r="F981" s="7"/>
      <c r="G981" s="7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spans="1:25" ht="16.8" x14ac:dyDescent="0.45">
      <c r="A982" s="7"/>
      <c r="B982" s="7"/>
      <c r="C982" s="7"/>
      <c r="D982" s="7"/>
      <c r="E982" s="7"/>
      <c r="F982" s="7"/>
      <c r="G982" s="7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spans="1:25" ht="16.8" x14ac:dyDescent="0.45">
      <c r="A983" s="7"/>
      <c r="B983" s="7"/>
      <c r="C983" s="7"/>
      <c r="D983" s="7"/>
      <c r="E983" s="7"/>
      <c r="F983" s="7"/>
      <c r="G983" s="7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spans="1:25" ht="16.8" x14ac:dyDescent="0.45">
      <c r="A984" s="7"/>
      <c r="B984" s="7"/>
      <c r="C984" s="7"/>
      <c r="D984" s="7"/>
      <c r="E984" s="7"/>
      <c r="F984" s="7"/>
      <c r="G984" s="7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spans="1:25" ht="16.8" x14ac:dyDescent="0.45">
      <c r="A985" s="7"/>
      <c r="B985" s="7"/>
      <c r="C985" s="7"/>
      <c r="D985" s="7"/>
      <c r="E985" s="7"/>
      <c r="F985" s="7"/>
      <c r="G985" s="7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spans="1:25" ht="16.8" x14ac:dyDescent="0.45">
      <c r="A986" s="7"/>
      <c r="B986" s="7"/>
      <c r="C986" s="7"/>
      <c r="D986" s="7"/>
      <c r="E986" s="7"/>
      <c r="F986" s="7"/>
      <c r="G986" s="7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spans="1:25" ht="16.8" x14ac:dyDescent="0.45">
      <c r="A987" s="7"/>
      <c r="B987" s="7"/>
      <c r="C987" s="7"/>
      <c r="D987" s="7"/>
      <c r="E987" s="7"/>
      <c r="F987" s="7"/>
      <c r="G987" s="7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spans="1:25" ht="16.8" x14ac:dyDescent="0.45">
      <c r="A988" s="7"/>
      <c r="B988" s="7"/>
      <c r="C988" s="7"/>
      <c r="D988" s="7"/>
      <c r="E988" s="7"/>
      <c r="F988" s="7"/>
      <c r="G988" s="7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spans="1:25" ht="16.8" x14ac:dyDescent="0.45">
      <c r="A989" s="7"/>
      <c r="B989" s="7"/>
      <c r="C989" s="7"/>
      <c r="D989" s="7"/>
      <c r="E989" s="7"/>
      <c r="F989" s="7"/>
      <c r="G989" s="7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spans="1:25" ht="16.8" x14ac:dyDescent="0.45">
      <c r="A990" s="7"/>
      <c r="B990" s="7"/>
      <c r="C990" s="7"/>
      <c r="D990" s="7"/>
      <c r="E990" s="7"/>
      <c r="F990" s="7"/>
      <c r="G990" s="7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spans="1:25" ht="16.8" x14ac:dyDescent="0.45">
      <c r="A991" s="7"/>
      <c r="B991" s="7"/>
      <c r="C991" s="7"/>
      <c r="D991" s="7"/>
      <c r="E991" s="7"/>
      <c r="F991" s="7"/>
      <c r="G991" s="7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 spans="1:25" ht="16.8" x14ac:dyDescent="0.45">
      <c r="A992" s="7"/>
      <c r="B992" s="7"/>
      <c r="C992" s="7"/>
      <c r="D992" s="7"/>
      <c r="E992" s="7"/>
      <c r="F992" s="7"/>
      <c r="G992" s="7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 spans="1:25" ht="16.8" x14ac:dyDescent="0.45">
      <c r="A993" s="7"/>
      <c r="B993" s="7"/>
      <c r="C993" s="7"/>
      <c r="D993" s="7"/>
      <c r="E993" s="7"/>
      <c r="F993" s="7"/>
      <c r="G993" s="7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 spans="1:25" ht="16.8" x14ac:dyDescent="0.45">
      <c r="A994" s="7"/>
      <c r="B994" s="7"/>
      <c r="C994" s="7"/>
      <c r="D994" s="7"/>
      <c r="E994" s="7"/>
      <c r="F994" s="7"/>
      <c r="G994" s="7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 spans="1:25" ht="16.8" x14ac:dyDescent="0.45">
      <c r="A995" s="7"/>
      <c r="B995" s="7"/>
      <c r="C995" s="7"/>
      <c r="D995" s="7"/>
      <c r="E995" s="7"/>
      <c r="F995" s="7"/>
      <c r="G995" s="7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 spans="1:25" ht="16.8" x14ac:dyDescent="0.45">
      <c r="A996" s="7"/>
      <c r="B996" s="7"/>
      <c r="C996" s="7"/>
      <c r="D996" s="7"/>
      <c r="E996" s="7"/>
      <c r="F996" s="7"/>
      <c r="G996" s="7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 spans="1:25" ht="16.8" x14ac:dyDescent="0.45">
      <c r="A997" s="7"/>
      <c r="B997" s="7"/>
      <c r="C997" s="7"/>
      <c r="D997" s="7"/>
      <c r="E997" s="7"/>
      <c r="F997" s="7"/>
      <c r="G997" s="7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 spans="1:25" ht="16.8" x14ac:dyDescent="0.45">
      <c r="A998" s="7"/>
      <c r="B998" s="7"/>
      <c r="C998" s="7"/>
      <c r="D998" s="7"/>
      <c r="E998" s="7"/>
      <c r="F998" s="7"/>
      <c r="G998" s="7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 spans="1:25" ht="16.8" x14ac:dyDescent="0.45">
      <c r="A999" s="7"/>
      <c r="B999" s="7"/>
      <c r="C999" s="7"/>
      <c r="D999" s="7"/>
      <c r="E999" s="7"/>
      <c r="F999" s="7"/>
      <c r="G999" s="7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 spans="1:25" ht="16.8" x14ac:dyDescent="0.45">
      <c r="A1000" s="7"/>
      <c r="B1000" s="7"/>
      <c r="C1000" s="7"/>
      <c r="D1000" s="7"/>
      <c r="E1000" s="7"/>
      <c r="F1000" s="7"/>
      <c r="G1000" s="7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2"/>
  <sheetViews>
    <sheetView workbookViewId="0"/>
  </sheetViews>
  <sheetFormatPr defaultColWidth="12.6640625" defaultRowHeight="15.75" customHeight="1" x14ac:dyDescent="0.25"/>
  <cols>
    <col min="1" max="7" width="12.6640625" customWidth="1"/>
  </cols>
  <sheetData>
    <row r="1" spans="1:26" ht="15.75" customHeight="1" x14ac:dyDescent="0.45">
      <c r="A1" s="8" t="s">
        <v>193</v>
      </c>
      <c r="B1" s="8"/>
      <c r="C1" s="8"/>
      <c r="D1" s="8"/>
      <c r="E1" s="8"/>
      <c r="F1" s="8"/>
      <c r="G1" s="8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 x14ac:dyDescent="0.45">
      <c r="A2" s="8" t="s">
        <v>22</v>
      </c>
      <c r="B2" s="8" t="s">
        <v>23</v>
      </c>
      <c r="C2" s="8" t="s">
        <v>24</v>
      </c>
      <c r="D2" s="8" t="s">
        <v>25</v>
      </c>
      <c r="E2" s="8" t="s">
        <v>26</v>
      </c>
      <c r="F2" s="8" t="s">
        <v>27</v>
      </c>
      <c r="G2" s="8" t="s">
        <v>28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 x14ac:dyDescent="0.45">
      <c r="A3" s="9">
        <v>1</v>
      </c>
      <c r="B3" s="9" t="s">
        <v>29</v>
      </c>
      <c r="C3" s="9">
        <v>1994</v>
      </c>
      <c r="D3" s="9" t="s">
        <v>30</v>
      </c>
      <c r="E3" s="9">
        <v>142</v>
      </c>
      <c r="F3" s="9" t="s">
        <v>31</v>
      </c>
      <c r="G3" s="9">
        <v>9.3000000000000007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 x14ac:dyDescent="0.45">
      <c r="A4" s="9">
        <v>2</v>
      </c>
      <c r="B4" s="9" t="s">
        <v>32</v>
      </c>
      <c r="C4" s="9">
        <v>1972</v>
      </c>
      <c r="D4" s="9" t="s">
        <v>30</v>
      </c>
      <c r="E4" s="9">
        <v>175</v>
      </c>
      <c r="F4" s="9" t="s">
        <v>33</v>
      </c>
      <c r="G4" s="9">
        <v>9.1999999999999993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 x14ac:dyDescent="0.45">
      <c r="A5" s="9">
        <v>3</v>
      </c>
      <c r="B5" s="9" t="s">
        <v>34</v>
      </c>
      <c r="C5" s="9">
        <v>2008</v>
      </c>
      <c r="D5" s="9" t="s">
        <v>35</v>
      </c>
      <c r="E5" s="9">
        <v>152</v>
      </c>
      <c r="F5" s="9" t="s">
        <v>36</v>
      </c>
      <c r="G5" s="9">
        <v>9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 x14ac:dyDescent="0.45">
      <c r="A6" s="9">
        <v>4</v>
      </c>
      <c r="B6" s="9" t="s">
        <v>37</v>
      </c>
      <c r="C6" s="9">
        <v>1974</v>
      </c>
      <c r="D6" s="9" t="s">
        <v>30</v>
      </c>
      <c r="E6" s="9">
        <v>202</v>
      </c>
      <c r="F6" s="9" t="s">
        <v>33</v>
      </c>
      <c r="G6" s="9">
        <v>9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 x14ac:dyDescent="0.45">
      <c r="A7" s="9">
        <v>5</v>
      </c>
      <c r="B7" s="9" t="s">
        <v>38</v>
      </c>
      <c r="C7" s="9">
        <v>2003</v>
      </c>
      <c r="D7" s="9" t="s">
        <v>35</v>
      </c>
      <c r="E7" s="9">
        <v>201</v>
      </c>
      <c r="F7" s="9" t="s">
        <v>39</v>
      </c>
      <c r="G7" s="9">
        <v>8.9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 x14ac:dyDescent="0.4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 x14ac:dyDescent="0.45">
      <c r="A9" s="10" t="s">
        <v>194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 x14ac:dyDescent="0.45">
      <c r="A10" s="6" t="s">
        <v>194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 x14ac:dyDescent="0.45">
      <c r="A11" s="6" t="str">
        <f ca="1">IFERROR(__xludf.DUMMYFUNCTION("QUERY(IMDB,""Select B,C,D limit 5"")"),"MOVIE_NAME")</f>
        <v>MOVIE_NAME</v>
      </c>
      <c r="B11" s="6" t="str">
        <f ca="1">IFERROR(__xludf.DUMMYFUNCTION("""COMPUTED_VALUE"""),"YEAR")</f>
        <v>YEAR</v>
      </c>
      <c r="C11" s="6" t="str">
        <f ca="1">IFERROR(__xludf.DUMMYFUNCTION("""COMPUTED_VALUE"""),"RATING")</f>
        <v>RATING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 x14ac:dyDescent="0.45">
      <c r="A12" s="6" t="str">
        <f ca="1">IFERROR(__xludf.DUMMYFUNCTION("""COMPUTED_VALUE"""),"The Shawshank Redemption")</f>
        <v>The Shawshank Redemption</v>
      </c>
      <c r="B12" s="6">
        <f ca="1">IFERROR(__xludf.DUMMYFUNCTION("""COMPUTED_VALUE"""),1994)</f>
        <v>1994</v>
      </c>
      <c r="C12" s="6" t="str">
        <f ca="1">IFERROR(__xludf.DUMMYFUNCTION("""COMPUTED_VALUE"""),"R")</f>
        <v>R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 x14ac:dyDescent="0.45">
      <c r="A13" s="6" t="str">
        <f ca="1">IFERROR(__xludf.DUMMYFUNCTION("""COMPUTED_VALUE"""),"The Godfather")</f>
        <v>The Godfather</v>
      </c>
      <c r="B13" s="6">
        <f ca="1">IFERROR(__xludf.DUMMYFUNCTION("""COMPUTED_VALUE"""),1972)</f>
        <v>1972</v>
      </c>
      <c r="C13" s="6" t="str">
        <f ca="1">IFERROR(__xludf.DUMMYFUNCTION("""COMPUTED_VALUE"""),"R")</f>
        <v>R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 x14ac:dyDescent="0.45">
      <c r="A14" s="6" t="str">
        <f ca="1">IFERROR(__xludf.DUMMYFUNCTION("""COMPUTED_VALUE"""),"The Dark Knight")</f>
        <v>The Dark Knight</v>
      </c>
      <c r="B14" s="6">
        <f ca="1">IFERROR(__xludf.DUMMYFUNCTION("""COMPUTED_VALUE"""),2008)</f>
        <v>2008</v>
      </c>
      <c r="C14" s="6" t="str">
        <f ca="1">IFERROR(__xludf.DUMMYFUNCTION("""COMPUTED_VALUE"""),"PG-13")</f>
        <v>PG-13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 x14ac:dyDescent="0.45">
      <c r="A15" s="6" t="str">
        <f ca="1">IFERROR(__xludf.DUMMYFUNCTION("""COMPUTED_VALUE"""),"The Godfather: Part II")</f>
        <v>The Godfather: Part II</v>
      </c>
      <c r="B15" s="6">
        <f ca="1">IFERROR(__xludf.DUMMYFUNCTION("""COMPUTED_VALUE"""),1974)</f>
        <v>1974</v>
      </c>
      <c r="C15" s="6" t="str">
        <f ca="1">IFERROR(__xludf.DUMMYFUNCTION("""COMPUTED_VALUE"""),"R")</f>
        <v>R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 x14ac:dyDescent="0.45">
      <c r="A16" s="6" t="str">
        <f ca="1">IFERROR(__xludf.DUMMYFUNCTION("""COMPUTED_VALUE"""),"The Lord of the Rings: The Return of the King")</f>
        <v>The Lord of the Rings: The Return of the King</v>
      </c>
      <c r="B16" s="6">
        <f ca="1">IFERROR(__xludf.DUMMYFUNCTION("""COMPUTED_VALUE"""),2003)</f>
        <v>2003</v>
      </c>
      <c r="C16" s="6" t="str">
        <f ca="1">IFERROR(__xludf.DUMMYFUNCTION("""COMPUTED_VALUE"""),"PG-13")</f>
        <v>PG-13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 x14ac:dyDescent="0.4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 x14ac:dyDescent="0.4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 x14ac:dyDescent="0.4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 x14ac:dyDescent="0.4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4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4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4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4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4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4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6.8" x14ac:dyDescent="0.4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6.8" x14ac:dyDescent="0.4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6.8" x14ac:dyDescent="0.4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6.8" x14ac:dyDescent="0.4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6.8" x14ac:dyDescent="0.4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6.8" x14ac:dyDescent="0.4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6.8" x14ac:dyDescent="0.4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6.8" x14ac:dyDescent="0.4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6.8" x14ac:dyDescent="0.4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6.8" x14ac:dyDescent="0.4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6.8" x14ac:dyDescent="0.4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6.8" x14ac:dyDescent="0.4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6.8" x14ac:dyDescent="0.4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6.8" x14ac:dyDescent="0.4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6.8" x14ac:dyDescent="0.4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6.8" x14ac:dyDescent="0.4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6.8" x14ac:dyDescent="0.4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6.8" x14ac:dyDescent="0.4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6.8" x14ac:dyDescent="0.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6.8" x14ac:dyDescent="0.4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6.8" x14ac:dyDescent="0.4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6.8" x14ac:dyDescent="0.4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6.8" x14ac:dyDescent="0.4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6.8" x14ac:dyDescent="0.4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6.8" x14ac:dyDescent="0.4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6.8" x14ac:dyDescent="0.4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6.8" x14ac:dyDescent="0.4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6.8" x14ac:dyDescent="0.4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6.8" x14ac:dyDescent="0.4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6.8" x14ac:dyDescent="0.4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6.8" x14ac:dyDescent="0.4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6.8" x14ac:dyDescent="0.4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6.8" x14ac:dyDescent="0.4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6.8" x14ac:dyDescent="0.4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6.8" x14ac:dyDescent="0.4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6.8" x14ac:dyDescent="0.4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6.8" x14ac:dyDescent="0.4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6.8" x14ac:dyDescent="0.4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6.8" x14ac:dyDescent="0.4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6.8" x14ac:dyDescent="0.4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6.8" x14ac:dyDescent="0.4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6.8" x14ac:dyDescent="0.4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6.8" x14ac:dyDescent="0.4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6.8" x14ac:dyDescent="0.4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6.8" x14ac:dyDescent="0.4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6.8" x14ac:dyDescent="0.4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6.8" x14ac:dyDescent="0.4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6.8" x14ac:dyDescent="0.4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6.8" x14ac:dyDescent="0.4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6.8" x14ac:dyDescent="0.4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6.8" x14ac:dyDescent="0.4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6.8" x14ac:dyDescent="0.4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6.8" x14ac:dyDescent="0.4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6.8" x14ac:dyDescent="0.4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6.8" x14ac:dyDescent="0.4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6.8" x14ac:dyDescent="0.4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6.8" x14ac:dyDescent="0.4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6.8" x14ac:dyDescent="0.4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6.8" x14ac:dyDescent="0.4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6.8" x14ac:dyDescent="0.4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6.8" x14ac:dyDescent="0.4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6.8" x14ac:dyDescent="0.4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6.8" x14ac:dyDescent="0.4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6.8" x14ac:dyDescent="0.4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6.8" x14ac:dyDescent="0.4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6.8" x14ac:dyDescent="0.4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6.8" x14ac:dyDescent="0.4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6.8" x14ac:dyDescent="0.4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6.8" x14ac:dyDescent="0.4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6.8" x14ac:dyDescent="0.4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6.8" x14ac:dyDescent="0.4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6.8" x14ac:dyDescent="0.4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6.8" x14ac:dyDescent="0.4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6.8" x14ac:dyDescent="0.4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6.8" x14ac:dyDescent="0.4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6.8" x14ac:dyDescent="0.4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6.8" x14ac:dyDescent="0.4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6.8" x14ac:dyDescent="0.4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6.8" x14ac:dyDescent="0.4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6.8" x14ac:dyDescent="0.4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6.8" x14ac:dyDescent="0.4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6.8" x14ac:dyDescent="0.4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6.8" x14ac:dyDescent="0.4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6.8" x14ac:dyDescent="0.4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6.8" x14ac:dyDescent="0.4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6.8" x14ac:dyDescent="0.4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6.8" x14ac:dyDescent="0.4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6.8" x14ac:dyDescent="0.4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6.8" x14ac:dyDescent="0.4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6.8" x14ac:dyDescent="0.4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6.8" x14ac:dyDescent="0.4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6.8" x14ac:dyDescent="0.4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6.8" x14ac:dyDescent="0.4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6.8" x14ac:dyDescent="0.4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6.8" x14ac:dyDescent="0.4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6.8" x14ac:dyDescent="0.4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6.8" x14ac:dyDescent="0.4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6.8" x14ac:dyDescent="0.4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6.8" x14ac:dyDescent="0.4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6.8" x14ac:dyDescent="0.4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6.8" x14ac:dyDescent="0.4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6.8" x14ac:dyDescent="0.4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6.8" x14ac:dyDescent="0.4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6.8" x14ac:dyDescent="0.4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6.8" x14ac:dyDescent="0.4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6.8" x14ac:dyDescent="0.4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6.8" x14ac:dyDescent="0.4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6.8" x14ac:dyDescent="0.4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6.8" x14ac:dyDescent="0.4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6.8" x14ac:dyDescent="0.4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6.8" x14ac:dyDescent="0.4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6.8" x14ac:dyDescent="0.4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6.8" x14ac:dyDescent="0.4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6.8" x14ac:dyDescent="0.4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6.8" x14ac:dyDescent="0.4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6.8" x14ac:dyDescent="0.4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6.8" x14ac:dyDescent="0.4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6.8" x14ac:dyDescent="0.4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6.8" x14ac:dyDescent="0.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6.8" x14ac:dyDescent="0.4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6.8" x14ac:dyDescent="0.4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6.8" x14ac:dyDescent="0.4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6.8" x14ac:dyDescent="0.4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6.8" x14ac:dyDescent="0.4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6.8" x14ac:dyDescent="0.4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6.8" x14ac:dyDescent="0.4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6.8" x14ac:dyDescent="0.4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6.8" x14ac:dyDescent="0.4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6.8" x14ac:dyDescent="0.4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6.8" x14ac:dyDescent="0.4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6.8" x14ac:dyDescent="0.4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6.8" x14ac:dyDescent="0.4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6.8" x14ac:dyDescent="0.4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6.8" x14ac:dyDescent="0.4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6.8" x14ac:dyDescent="0.4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6.8" x14ac:dyDescent="0.4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6.8" x14ac:dyDescent="0.4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6.8" x14ac:dyDescent="0.4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6.8" x14ac:dyDescent="0.4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6.8" x14ac:dyDescent="0.4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6.8" x14ac:dyDescent="0.4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6.8" x14ac:dyDescent="0.4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6.8" x14ac:dyDescent="0.4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6.8" x14ac:dyDescent="0.4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6.8" x14ac:dyDescent="0.4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6.8" x14ac:dyDescent="0.4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6.8" x14ac:dyDescent="0.4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6.8" x14ac:dyDescent="0.4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6.8" x14ac:dyDescent="0.4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6.8" x14ac:dyDescent="0.4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6.8" x14ac:dyDescent="0.4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6.8" x14ac:dyDescent="0.4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6.8" x14ac:dyDescent="0.4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6.8" x14ac:dyDescent="0.4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6.8" x14ac:dyDescent="0.4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6.8" x14ac:dyDescent="0.4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6.8" x14ac:dyDescent="0.4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6.8" x14ac:dyDescent="0.4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6.8" x14ac:dyDescent="0.4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6.8" x14ac:dyDescent="0.4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6.8" x14ac:dyDescent="0.4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6.8" x14ac:dyDescent="0.4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6.8" x14ac:dyDescent="0.4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6.8" x14ac:dyDescent="0.4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6.8" x14ac:dyDescent="0.4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6.8" x14ac:dyDescent="0.4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6.8" x14ac:dyDescent="0.4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6.8" x14ac:dyDescent="0.4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6.8" x14ac:dyDescent="0.4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6.8" x14ac:dyDescent="0.4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6.8" x14ac:dyDescent="0.4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6.8" x14ac:dyDescent="0.4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6.8" x14ac:dyDescent="0.4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6.8" x14ac:dyDescent="0.4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6.8" x14ac:dyDescent="0.4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6.8" x14ac:dyDescent="0.4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6.8" x14ac:dyDescent="0.4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6.8" x14ac:dyDescent="0.4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6.8" x14ac:dyDescent="0.4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6.8" x14ac:dyDescent="0.4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6.8" x14ac:dyDescent="0.4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6.8" x14ac:dyDescent="0.4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6.8" x14ac:dyDescent="0.4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6.8" x14ac:dyDescent="0.4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6.8" x14ac:dyDescent="0.4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6.8" x14ac:dyDescent="0.4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6.8" x14ac:dyDescent="0.4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6.8" x14ac:dyDescent="0.4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6.8" x14ac:dyDescent="0.4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6.8" x14ac:dyDescent="0.4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6.8" x14ac:dyDescent="0.4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6.8" x14ac:dyDescent="0.4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6.8" x14ac:dyDescent="0.4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6.8" x14ac:dyDescent="0.4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6.8" x14ac:dyDescent="0.4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6.8" x14ac:dyDescent="0.4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6.8" x14ac:dyDescent="0.4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6.8" x14ac:dyDescent="0.4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6.8" x14ac:dyDescent="0.4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6.8" x14ac:dyDescent="0.4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6.8" x14ac:dyDescent="0.4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6.8" x14ac:dyDescent="0.4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6.8" x14ac:dyDescent="0.4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6.8" x14ac:dyDescent="0.4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6.8" x14ac:dyDescent="0.4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6.8" x14ac:dyDescent="0.4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6.8" x14ac:dyDescent="0.4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6.8" x14ac:dyDescent="0.4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6.8" x14ac:dyDescent="0.4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6.8" x14ac:dyDescent="0.4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6.8" x14ac:dyDescent="0.4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6.8" x14ac:dyDescent="0.4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6.8" x14ac:dyDescent="0.4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6.8" x14ac:dyDescent="0.4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6.8" x14ac:dyDescent="0.4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6.8" x14ac:dyDescent="0.4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6.8" x14ac:dyDescent="0.4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6.8" x14ac:dyDescent="0.4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6.8" x14ac:dyDescent="0.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6.8" x14ac:dyDescent="0.4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6.8" x14ac:dyDescent="0.4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6.8" x14ac:dyDescent="0.4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6.8" x14ac:dyDescent="0.4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6.8" x14ac:dyDescent="0.4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6.8" x14ac:dyDescent="0.4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6.8" x14ac:dyDescent="0.4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6.8" x14ac:dyDescent="0.4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6.8" x14ac:dyDescent="0.4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6.8" x14ac:dyDescent="0.4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6.8" x14ac:dyDescent="0.4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6.8" x14ac:dyDescent="0.4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6.8" x14ac:dyDescent="0.4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6.8" x14ac:dyDescent="0.4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6.8" x14ac:dyDescent="0.4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6.8" x14ac:dyDescent="0.4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6.8" x14ac:dyDescent="0.4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6.8" x14ac:dyDescent="0.4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6.8" x14ac:dyDescent="0.4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6.8" x14ac:dyDescent="0.4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6.8" x14ac:dyDescent="0.4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6.8" x14ac:dyDescent="0.4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6.8" x14ac:dyDescent="0.4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6.8" x14ac:dyDescent="0.4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6.8" x14ac:dyDescent="0.4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6.8" x14ac:dyDescent="0.4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6.8" x14ac:dyDescent="0.4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6.8" x14ac:dyDescent="0.4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6.8" x14ac:dyDescent="0.4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6.8" x14ac:dyDescent="0.4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6.8" x14ac:dyDescent="0.4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6.8" x14ac:dyDescent="0.4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6.8" x14ac:dyDescent="0.4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6.8" x14ac:dyDescent="0.4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6.8" x14ac:dyDescent="0.4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6.8" x14ac:dyDescent="0.4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6.8" x14ac:dyDescent="0.4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6.8" x14ac:dyDescent="0.4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6.8" x14ac:dyDescent="0.4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6.8" x14ac:dyDescent="0.4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6.8" x14ac:dyDescent="0.4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6.8" x14ac:dyDescent="0.4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6.8" x14ac:dyDescent="0.4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6.8" x14ac:dyDescent="0.4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6.8" x14ac:dyDescent="0.4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6.8" x14ac:dyDescent="0.4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6.8" x14ac:dyDescent="0.4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6.8" x14ac:dyDescent="0.4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6.8" x14ac:dyDescent="0.4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6.8" x14ac:dyDescent="0.4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6.8" x14ac:dyDescent="0.4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6.8" x14ac:dyDescent="0.4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6.8" x14ac:dyDescent="0.4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6.8" x14ac:dyDescent="0.4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6.8" x14ac:dyDescent="0.4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6.8" x14ac:dyDescent="0.4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6.8" x14ac:dyDescent="0.4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6.8" x14ac:dyDescent="0.4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6.8" x14ac:dyDescent="0.4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6.8" x14ac:dyDescent="0.4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6.8" x14ac:dyDescent="0.4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6.8" x14ac:dyDescent="0.4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6.8" x14ac:dyDescent="0.4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6.8" x14ac:dyDescent="0.4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6.8" x14ac:dyDescent="0.4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6.8" x14ac:dyDescent="0.4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6.8" x14ac:dyDescent="0.4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6.8" x14ac:dyDescent="0.4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6.8" x14ac:dyDescent="0.4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6.8" x14ac:dyDescent="0.4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6.8" x14ac:dyDescent="0.4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6.8" x14ac:dyDescent="0.4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6.8" x14ac:dyDescent="0.4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6.8" x14ac:dyDescent="0.4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6.8" x14ac:dyDescent="0.4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6.8" x14ac:dyDescent="0.4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6.8" x14ac:dyDescent="0.4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6.8" x14ac:dyDescent="0.4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6.8" x14ac:dyDescent="0.4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6.8" x14ac:dyDescent="0.4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6.8" x14ac:dyDescent="0.4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6.8" x14ac:dyDescent="0.4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6.8" x14ac:dyDescent="0.4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6.8" x14ac:dyDescent="0.4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6.8" x14ac:dyDescent="0.4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6.8" x14ac:dyDescent="0.4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6.8" x14ac:dyDescent="0.4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6.8" x14ac:dyDescent="0.4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6.8" x14ac:dyDescent="0.4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6.8" x14ac:dyDescent="0.4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6.8" x14ac:dyDescent="0.4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6.8" x14ac:dyDescent="0.4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6.8" x14ac:dyDescent="0.4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6.8" x14ac:dyDescent="0.4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6.8" x14ac:dyDescent="0.4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6.8" x14ac:dyDescent="0.4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6.8" x14ac:dyDescent="0.4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6.8" x14ac:dyDescent="0.4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6.8" x14ac:dyDescent="0.4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6.8" x14ac:dyDescent="0.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6.8" x14ac:dyDescent="0.4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6.8" x14ac:dyDescent="0.4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6.8" x14ac:dyDescent="0.4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6.8" x14ac:dyDescent="0.4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6.8" x14ac:dyDescent="0.4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6.8" x14ac:dyDescent="0.4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6.8" x14ac:dyDescent="0.4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6.8" x14ac:dyDescent="0.4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6.8" x14ac:dyDescent="0.4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6.8" x14ac:dyDescent="0.4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6.8" x14ac:dyDescent="0.4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6.8" x14ac:dyDescent="0.4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6.8" x14ac:dyDescent="0.4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6.8" x14ac:dyDescent="0.4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6.8" x14ac:dyDescent="0.4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6.8" x14ac:dyDescent="0.4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6.8" x14ac:dyDescent="0.4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6.8" x14ac:dyDescent="0.4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6.8" x14ac:dyDescent="0.4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6.8" x14ac:dyDescent="0.4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6.8" x14ac:dyDescent="0.4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6.8" x14ac:dyDescent="0.4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6.8" x14ac:dyDescent="0.4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6.8" x14ac:dyDescent="0.4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6.8" x14ac:dyDescent="0.4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6.8" x14ac:dyDescent="0.4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6.8" x14ac:dyDescent="0.4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6.8" x14ac:dyDescent="0.4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6.8" x14ac:dyDescent="0.4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6.8" x14ac:dyDescent="0.4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6.8" x14ac:dyDescent="0.4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6.8" x14ac:dyDescent="0.4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6.8" x14ac:dyDescent="0.4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6.8" x14ac:dyDescent="0.4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6.8" x14ac:dyDescent="0.4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6.8" x14ac:dyDescent="0.4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6.8" x14ac:dyDescent="0.4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6.8" x14ac:dyDescent="0.4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6.8" x14ac:dyDescent="0.4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6.8" x14ac:dyDescent="0.4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6.8" x14ac:dyDescent="0.4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6.8" x14ac:dyDescent="0.4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6.8" x14ac:dyDescent="0.4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6.8" x14ac:dyDescent="0.4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6.8" x14ac:dyDescent="0.4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6.8" x14ac:dyDescent="0.4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6.8" x14ac:dyDescent="0.4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6.8" x14ac:dyDescent="0.4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6.8" x14ac:dyDescent="0.4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6.8" x14ac:dyDescent="0.4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6.8" x14ac:dyDescent="0.4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6.8" x14ac:dyDescent="0.4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6.8" x14ac:dyDescent="0.4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6.8" x14ac:dyDescent="0.4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6.8" x14ac:dyDescent="0.4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6.8" x14ac:dyDescent="0.4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6.8" x14ac:dyDescent="0.4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6.8" x14ac:dyDescent="0.4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6.8" x14ac:dyDescent="0.4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6.8" x14ac:dyDescent="0.4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6.8" x14ac:dyDescent="0.4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6.8" x14ac:dyDescent="0.4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6.8" x14ac:dyDescent="0.4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6.8" x14ac:dyDescent="0.4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6.8" x14ac:dyDescent="0.4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6.8" x14ac:dyDescent="0.4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6.8" x14ac:dyDescent="0.4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6.8" x14ac:dyDescent="0.4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6.8" x14ac:dyDescent="0.4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6.8" x14ac:dyDescent="0.4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6.8" x14ac:dyDescent="0.4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6.8" x14ac:dyDescent="0.4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6.8" x14ac:dyDescent="0.4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6.8" x14ac:dyDescent="0.4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6.8" x14ac:dyDescent="0.4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6.8" x14ac:dyDescent="0.4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6.8" x14ac:dyDescent="0.4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6.8" x14ac:dyDescent="0.4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6.8" x14ac:dyDescent="0.4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6.8" x14ac:dyDescent="0.4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6.8" x14ac:dyDescent="0.4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6.8" x14ac:dyDescent="0.4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6.8" x14ac:dyDescent="0.4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6.8" x14ac:dyDescent="0.4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6.8" x14ac:dyDescent="0.4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6.8" x14ac:dyDescent="0.4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6.8" x14ac:dyDescent="0.4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6.8" x14ac:dyDescent="0.4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6.8" x14ac:dyDescent="0.4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6.8" x14ac:dyDescent="0.4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6.8" x14ac:dyDescent="0.4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6.8" x14ac:dyDescent="0.4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6.8" x14ac:dyDescent="0.4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6.8" x14ac:dyDescent="0.4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6.8" x14ac:dyDescent="0.4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6.8" x14ac:dyDescent="0.4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6.8" x14ac:dyDescent="0.4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6.8" x14ac:dyDescent="0.4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6.8" x14ac:dyDescent="0.4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6.8" x14ac:dyDescent="0.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6.8" x14ac:dyDescent="0.4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6.8" x14ac:dyDescent="0.4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6.8" x14ac:dyDescent="0.4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6.8" x14ac:dyDescent="0.4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6.8" x14ac:dyDescent="0.4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6.8" x14ac:dyDescent="0.4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6.8" x14ac:dyDescent="0.4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6.8" x14ac:dyDescent="0.4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6.8" x14ac:dyDescent="0.4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6.8" x14ac:dyDescent="0.4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6.8" x14ac:dyDescent="0.4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6.8" x14ac:dyDescent="0.4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6.8" x14ac:dyDescent="0.4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6.8" x14ac:dyDescent="0.4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6.8" x14ac:dyDescent="0.4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6.8" x14ac:dyDescent="0.4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6.8" x14ac:dyDescent="0.4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6.8" x14ac:dyDescent="0.4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6.8" x14ac:dyDescent="0.4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6.8" x14ac:dyDescent="0.4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6.8" x14ac:dyDescent="0.4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6.8" x14ac:dyDescent="0.4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6.8" x14ac:dyDescent="0.4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6.8" x14ac:dyDescent="0.4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6.8" x14ac:dyDescent="0.4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6.8" x14ac:dyDescent="0.4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6.8" x14ac:dyDescent="0.4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6.8" x14ac:dyDescent="0.4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6.8" x14ac:dyDescent="0.4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6.8" x14ac:dyDescent="0.4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6.8" x14ac:dyDescent="0.4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6.8" x14ac:dyDescent="0.4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6.8" x14ac:dyDescent="0.4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6.8" x14ac:dyDescent="0.4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6.8" x14ac:dyDescent="0.4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6.8" x14ac:dyDescent="0.4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6.8" x14ac:dyDescent="0.4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6.8" x14ac:dyDescent="0.4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6.8" x14ac:dyDescent="0.4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6.8" x14ac:dyDescent="0.4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6.8" x14ac:dyDescent="0.4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6.8" x14ac:dyDescent="0.4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6.8" x14ac:dyDescent="0.4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6.8" x14ac:dyDescent="0.4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6.8" x14ac:dyDescent="0.4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6.8" x14ac:dyDescent="0.4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6.8" x14ac:dyDescent="0.4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6.8" x14ac:dyDescent="0.4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6.8" x14ac:dyDescent="0.4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6.8" x14ac:dyDescent="0.4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6.8" x14ac:dyDescent="0.4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6.8" x14ac:dyDescent="0.4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6.8" x14ac:dyDescent="0.4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6.8" x14ac:dyDescent="0.4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6.8" x14ac:dyDescent="0.4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6.8" x14ac:dyDescent="0.4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6.8" x14ac:dyDescent="0.4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6.8" x14ac:dyDescent="0.4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6.8" x14ac:dyDescent="0.4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6.8" x14ac:dyDescent="0.4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6.8" x14ac:dyDescent="0.4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6.8" x14ac:dyDescent="0.4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6.8" x14ac:dyDescent="0.4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6.8" x14ac:dyDescent="0.4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6.8" x14ac:dyDescent="0.4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6.8" x14ac:dyDescent="0.4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6.8" x14ac:dyDescent="0.4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6.8" x14ac:dyDescent="0.4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6.8" x14ac:dyDescent="0.4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6.8" x14ac:dyDescent="0.4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6.8" x14ac:dyDescent="0.4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6.8" x14ac:dyDescent="0.4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6.8" x14ac:dyDescent="0.4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6.8" x14ac:dyDescent="0.4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6.8" x14ac:dyDescent="0.4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6.8" x14ac:dyDescent="0.4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6.8" x14ac:dyDescent="0.4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6.8" x14ac:dyDescent="0.4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6.8" x14ac:dyDescent="0.4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6.8" x14ac:dyDescent="0.4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6.8" x14ac:dyDescent="0.4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6.8" x14ac:dyDescent="0.4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6.8" x14ac:dyDescent="0.4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6.8" x14ac:dyDescent="0.4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6.8" x14ac:dyDescent="0.4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6.8" x14ac:dyDescent="0.4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6.8" x14ac:dyDescent="0.4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6.8" x14ac:dyDescent="0.4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6.8" x14ac:dyDescent="0.4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6.8" x14ac:dyDescent="0.4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6.8" x14ac:dyDescent="0.4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6.8" x14ac:dyDescent="0.4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6.8" x14ac:dyDescent="0.4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6.8" x14ac:dyDescent="0.4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6.8" x14ac:dyDescent="0.4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6.8" x14ac:dyDescent="0.4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6.8" x14ac:dyDescent="0.4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6.8" x14ac:dyDescent="0.4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6.8" x14ac:dyDescent="0.4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6.8" x14ac:dyDescent="0.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6.8" x14ac:dyDescent="0.4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6.8" x14ac:dyDescent="0.4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6.8" x14ac:dyDescent="0.4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6.8" x14ac:dyDescent="0.4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6.8" x14ac:dyDescent="0.4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6.8" x14ac:dyDescent="0.4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6.8" x14ac:dyDescent="0.4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6.8" x14ac:dyDescent="0.4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6.8" x14ac:dyDescent="0.4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6.8" x14ac:dyDescent="0.4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6.8" x14ac:dyDescent="0.4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6.8" x14ac:dyDescent="0.4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6.8" x14ac:dyDescent="0.4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6.8" x14ac:dyDescent="0.4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6.8" x14ac:dyDescent="0.4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6.8" x14ac:dyDescent="0.4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6.8" x14ac:dyDescent="0.4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6.8" x14ac:dyDescent="0.4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6.8" x14ac:dyDescent="0.4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6.8" x14ac:dyDescent="0.4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6.8" x14ac:dyDescent="0.4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6.8" x14ac:dyDescent="0.4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6.8" x14ac:dyDescent="0.4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6.8" x14ac:dyDescent="0.4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6.8" x14ac:dyDescent="0.4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6.8" x14ac:dyDescent="0.4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6.8" x14ac:dyDescent="0.4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6.8" x14ac:dyDescent="0.4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6.8" x14ac:dyDescent="0.4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6.8" x14ac:dyDescent="0.4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6.8" x14ac:dyDescent="0.4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6.8" x14ac:dyDescent="0.4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6.8" x14ac:dyDescent="0.4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6.8" x14ac:dyDescent="0.4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6.8" x14ac:dyDescent="0.4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6.8" x14ac:dyDescent="0.4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6.8" x14ac:dyDescent="0.4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6.8" x14ac:dyDescent="0.4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6.8" x14ac:dyDescent="0.4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6.8" x14ac:dyDescent="0.4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6.8" x14ac:dyDescent="0.4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6.8" x14ac:dyDescent="0.4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6.8" x14ac:dyDescent="0.4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6.8" x14ac:dyDescent="0.4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6.8" x14ac:dyDescent="0.4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6.8" x14ac:dyDescent="0.4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6.8" x14ac:dyDescent="0.4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6.8" x14ac:dyDescent="0.4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6.8" x14ac:dyDescent="0.4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6.8" x14ac:dyDescent="0.4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6.8" x14ac:dyDescent="0.4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6.8" x14ac:dyDescent="0.4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6.8" x14ac:dyDescent="0.4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6.8" x14ac:dyDescent="0.4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6.8" x14ac:dyDescent="0.4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6.8" x14ac:dyDescent="0.4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6.8" x14ac:dyDescent="0.4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6.8" x14ac:dyDescent="0.4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6.8" x14ac:dyDescent="0.4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6.8" x14ac:dyDescent="0.4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6.8" x14ac:dyDescent="0.4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6.8" x14ac:dyDescent="0.4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6.8" x14ac:dyDescent="0.4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6.8" x14ac:dyDescent="0.4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6.8" x14ac:dyDescent="0.4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6.8" x14ac:dyDescent="0.4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6.8" x14ac:dyDescent="0.4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6.8" x14ac:dyDescent="0.4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6.8" x14ac:dyDescent="0.4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6.8" x14ac:dyDescent="0.4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6.8" x14ac:dyDescent="0.4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6.8" x14ac:dyDescent="0.4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6.8" x14ac:dyDescent="0.4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6.8" x14ac:dyDescent="0.4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6.8" x14ac:dyDescent="0.4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6.8" x14ac:dyDescent="0.4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6.8" x14ac:dyDescent="0.4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6.8" x14ac:dyDescent="0.4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6.8" x14ac:dyDescent="0.4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6.8" x14ac:dyDescent="0.4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6.8" x14ac:dyDescent="0.4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6.8" x14ac:dyDescent="0.4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6.8" x14ac:dyDescent="0.4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6.8" x14ac:dyDescent="0.4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6.8" x14ac:dyDescent="0.4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6.8" x14ac:dyDescent="0.4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6.8" x14ac:dyDescent="0.4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6.8" x14ac:dyDescent="0.4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6.8" x14ac:dyDescent="0.4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6.8" x14ac:dyDescent="0.4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6.8" x14ac:dyDescent="0.4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6.8" x14ac:dyDescent="0.4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6.8" x14ac:dyDescent="0.4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6.8" x14ac:dyDescent="0.4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6.8" x14ac:dyDescent="0.4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6.8" x14ac:dyDescent="0.4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6.8" x14ac:dyDescent="0.4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6.8" x14ac:dyDescent="0.4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6.8" x14ac:dyDescent="0.4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6.8" x14ac:dyDescent="0.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6.8" x14ac:dyDescent="0.4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6.8" x14ac:dyDescent="0.4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6.8" x14ac:dyDescent="0.4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6.8" x14ac:dyDescent="0.4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6.8" x14ac:dyDescent="0.4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6.8" x14ac:dyDescent="0.4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6.8" x14ac:dyDescent="0.4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6.8" x14ac:dyDescent="0.4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6.8" x14ac:dyDescent="0.4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6.8" x14ac:dyDescent="0.4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6.8" x14ac:dyDescent="0.4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6.8" x14ac:dyDescent="0.4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6.8" x14ac:dyDescent="0.4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6.8" x14ac:dyDescent="0.4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6.8" x14ac:dyDescent="0.4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6.8" x14ac:dyDescent="0.4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6.8" x14ac:dyDescent="0.4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6.8" x14ac:dyDescent="0.4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6.8" x14ac:dyDescent="0.4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6.8" x14ac:dyDescent="0.4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6.8" x14ac:dyDescent="0.4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6.8" x14ac:dyDescent="0.4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6.8" x14ac:dyDescent="0.4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6.8" x14ac:dyDescent="0.4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6.8" x14ac:dyDescent="0.4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6.8" x14ac:dyDescent="0.4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6.8" x14ac:dyDescent="0.4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6.8" x14ac:dyDescent="0.4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6.8" x14ac:dyDescent="0.4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6.8" x14ac:dyDescent="0.4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6.8" x14ac:dyDescent="0.4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6.8" x14ac:dyDescent="0.4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6.8" x14ac:dyDescent="0.4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6.8" x14ac:dyDescent="0.4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6.8" x14ac:dyDescent="0.4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6.8" x14ac:dyDescent="0.4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6.8" x14ac:dyDescent="0.4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6.8" x14ac:dyDescent="0.4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6.8" x14ac:dyDescent="0.4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6.8" x14ac:dyDescent="0.4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6.8" x14ac:dyDescent="0.4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6.8" x14ac:dyDescent="0.4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6.8" x14ac:dyDescent="0.4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6.8" x14ac:dyDescent="0.4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6.8" x14ac:dyDescent="0.4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6.8" x14ac:dyDescent="0.4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6.8" x14ac:dyDescent="0.4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6.8" x14ac:dyDescent="0.4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6.8" x14ac:dyDescent="0.4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6.8" x14ac:dyDescent="0.4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6.8" x14ac:dyDescent="0.4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6.8" x14ac:dyDescent="0.4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6.8" x14ac:dyDescent="0.4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6.8" x14ac:dyDescent="0.4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6.8" x14ac:dyDescent="0.4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6.8" x14ac:dyDescent="0.4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6.8" x14ac:dyDescent="0.4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6.8" x14ac:dyDescent="0.4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6.8" x14ac:dyDescent="0.4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6.8" x14ac:dyDescent="0.4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6.8" x14ac:dyDescent="0.4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6.8" x14ac:dyDescent="0.4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6.8" x14ac:dyDescent="0.4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6.8" x14ac:dyDescent="0.4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6.8" x14ac:dyDescent="0.4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6.8" x14ac:dyDescent="0.4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6.8" x14ac:dyDescent="0.4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6.8" x14ac:dyDescent="0.4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6.8" x14ac:dyDescent="0.4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6.8" x14ac:dyDescent="0.4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6.8" x14ac:dyDescent="0.4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6.8" x14ac:dyDescent="0.4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6.8" x14ac:dyDescent="0.4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6.8" x14ac:dyDescent="0.4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6.8" x14ac:dyDescent="0.4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6.8" x14ac:dyDescent="0.4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6.8" x14ac:dyDescent="0.4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6.8" x14ac:dyDescent="0.4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6.8" x14ac:dyDescent="0.4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6.8" x14ac:dyDescent="0.4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6.8" x14ac:dyDescent="0.4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6.8" x14ac:dyDescent="0.4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6.8" x14ac:dyDescent="0.4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6.8" x14ac:dyDescent="0.4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6.8" x14ac:dyDescent="0.4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6.8" x14ac:dyDescent="0.4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6.8" x14ac:dyDescent="0.4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6.8" x14ac:dyDescent="0.4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6.8" x14ac:dyDescent="0.4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6.8" x14ac:dyDescent="0.4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6.8" x14ac:dyDescent="0.4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6.8" x14ac:dyDescent="0.4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6.8" x14ac:dyDescent="0.4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6.8" x14ac:dyDescent="0.4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6.8" x14ac:dyDescent="0.4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6.8" x14ac:dyDescent="0.4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6.8" x14ac:dyDescent="0.4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6.8" x14ac:dyDescent="0.4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6.8" x14ac:dyDescent="0.4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6.8" x14ac:dyDescent="0.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6.8" x14ac:dyDescent="0.4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6.8" x14ac:dyDescent="0.4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6.8" x14ac:dyDescent="0.4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6.8" x14ac:dyDescent="0.4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6.8" x14ac:dyDescent="0.4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6.8" x14ac:dyDescent="0.4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6.8" x14ac:dyDescent="0.4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6.8" x14ac:dyDescent="0.4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6.8" x14ac:dyDescent="0.4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6.8" x14ac:dyDescent="0.4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6.8" x14ac:dyDescent="0.4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6.8" x14ac:dyDescent="0.4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6.8" x14ac:dyDescent="0.4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6.8" x14ac:dyDescent="0.4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6.8" x14ac:dyDescent="0.4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6.8" x14ac:dyDescent="0.4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6.8" x14ac:dyDescent="0.4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6.8" x14ac:dyDescent="0.4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6.8" x14ac:dyDescent="0.4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6.8" x14ac:dyDescent="0.4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6.8" x14ac:dyDescent="0.4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6.8" x14ac:dyDescent="0.4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6.8" x14ac:dyDescent="0.4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6.8" x14ac:dyDescent="0.4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6.8" x14ac:dyDescent="0.4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6.8" x14ac:dyDescent="0.4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6.8" x14ac:dyDescent="0.4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6.8" x14ac:dyDescent="0.4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6.8" x14ac:dyDescent="0.4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6.8" x14ac:dyDescent="0.4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6.8" x14ac:dyDescent="0.4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6.8" x14ac:dyDescent="0.4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6.8" x14ac:dyDescent="0.4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6.8" x14ac:dyDescent="0.4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6.8" x14ac:dyDescent="0.4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6.8" x14ac:dyDescent="0.4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6.8" x14ac:dyDescent="0.4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6.8" x14ac:dyDescent="0.4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6.8" x14ac:dyDescent="0.4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6.8" x14ac:dyDescent="0.4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6.8" x14ac:dyDescent="0.4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6.8" x14ac:dyDescent="0.4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6.8" x14ac:dyDescent="0.4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6.8" x14ac:dyDescent="0.4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6.8" x14ac:dyDescent="0.4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6.8" x14ac:dyDescent="0.4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6.8" x14ac:dyDescent="0.4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6.8" x14ac:dyDescent="0.4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6.8" x14ac:dyDescent="0.4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6.8" x14ac:dyDescent="0.4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6.8" x14ac:dyDescent="0.4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6.8" x14ac:dyDescent="0.4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6.8" x14ac:dyDescent="0.4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6.8" x14ac:dyDescent="0.4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6.8" x14ac:dyDescent="0.4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6.8" x14ac:dyDescent="0.4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6.8" x14ac:dyDescent="0.4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6.8" x14ac:dyDescent="0.4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6.8" x14ac:dyDescent="0.4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6.8" x14ac:dyDescent="0.4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6.8" x14ac:dyDescent="0.4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6.8" x14ac:dyDescent="0.4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6.8" x14ac:dyDescent="0.4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6.8" x14ac:dyDescent="0.4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6.8" x14ac:dyDescent="0.4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6.8" x14ac:dyDescent="0.4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6.8" x14ac:dyDescent="0.4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6.8" x14ac:dyDescent="0.4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6.8" x14ac:dyDescent="0.4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6.8" x14ac:dyDescent="0.4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6.8" x14ac:dyDescent="0.4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6.8" x14ac:dyDescent="0.4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6.8" x14ac:dyDescent="0.4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6.8" x14ac:dyDescent="0.4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6.8" x14ac:dyDescent="0.4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6.8" x14ac:dyDescent="0.4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6.8" x14ac:dyDescent="0.4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6.8" x14ac:dyDescent="0.4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6.8" x14ac:dyDescent="0.4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6.8" x14ac:dyDescent="0.4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6.8" x14ac:dyDescent="0.4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6.8" x14ac:dyDescent="0.4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6.8" x14ac:dyDescent="0.4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6.8" x14ac:dyDescent="0.4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6.8" x14ac:dyDescent="0.4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6.8" x14ac:dyDescent="0.4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6.8" x14ac:dyDescent="0.4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6.8" x14ac:dyDescent="0.4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6.8" x14ac:dyDescent="0.4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6.8" x14ac:dyDescent="0.4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6.8" x14ac:dyDescent="0.4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6.8" x14ac:dyDescent="0.4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6.8" x14ac:dyDescent="0.4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6.8" x14ac:dyDescent="0.4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6.8" x14ac:dyDescent="0.4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6.8" x14ac:dyDescent="0.4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6.8" x14ac:dyDescent="0.4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6.8" x14ac:dyDescent="0.4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6.8" x14ac:dyDescent="0.4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6.8" x14ac:dyDescent="0.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6.8" x14ac:dyDescent="0.4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6.8" x14ac:dyDescent="0.4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6.8" x14ac:dyDescent="0.4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6.8" x14ac:dyDescent="0.4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6.8" x14ac:dyDescent="0.4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6.8" x14ac:dyDescent="0.4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6.8" x14ac:dyDescent="0.4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6.8" x14ac:dyDescent="0.4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6.8" x14ac:dyDescent="0.4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6.8" x14ac:dyDescent="0.4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6.8" x14ac:dyDescent="0.4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6.8" x14ac:dyDescent="0.4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6.8" x14ac:dyDescent="0.4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6.8" x14ac:dyDescent="0.4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6.8" x14ac:dyDescent="0.4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6.8" x14ac:dyDescent="0.4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6.8" x14ac:dyDescent="0.4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6.8" x14ac:dyDescent="0.4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6.8" x14ac:dyDescent="0.4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6.8" x14ac:dyDescent="0.4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6.8" x14ac:dyDescent="0.4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6.8" x14ac:dyDescent="0.4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6.8" x14ac:dyDescent="0.4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6.8" x14ac:dyDescent="0.4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6.8" x14ac:dyDescent="0.4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6.8" x14ac:dyDescent="0.4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6.8" x14ac:dyDescent="0.4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6.8" x14ac:dyDescent="0.4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6.8" x14ac:dyDescent="0.4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6.8" x14ac:dyDescent="0.4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6.8" x14ac:dyDescent="0.4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6.8" x14ac:dyDescent="0.4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6.8" x14ac:dyDescent="0.4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6.8" x14ac:dyDescent="0.4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6.8" x14ac:dyDescent="0.4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6.8" x14ac:dyDescent="0.4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6.8" x14ac:dyDescent="0.4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6.8" x14ac:dyDescent="0.4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6.8" x14ac:dyDescent="0.4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6.8" x14ac:dyDescent="0.4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6.8" x14ac:dyDescent="0.4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6.8" x14ac:dyDescent="0.4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6.8" x14ac:dyDescent="0.4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6.8" x14ac:dyDescent="0.4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6.8" x14ac:dyDescent="0.4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6.8" x14ac:dyDescent="0.4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6.8" x14ac:dyDescent="0.4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6.8" x14ac:dyDescent="0.4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6.8" x14ac:dyDescent="0.4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6.8" x14ac:dyDescent="0.4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6.8" x14ac:dyDescent="0.4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6.8" x14ac:dyDescent="0.4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6.8" x14ac:dyDescent="0.4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6.8" x14ac:dyDescent="0.4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6.8" x14ac:dyDescent="0.4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6.8" x14ac:dyDescent="0.4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6.8" x14ac:dyDescent="0.4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6.8" x14ac:dyDescent="0.4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6.8" x14ac:dyDescent="0.4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6.8" x14ac:dyDescent="0.4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6.8" x14ac:dyDescent="0.4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6.8" x14ac:dyDescent="0.4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6.8" x14ac:dyDescent="0.4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6.8" x14ac:dyDescent="0.4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6.8" x14ac:dyDescent="0.4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6.8" x14ac:dyDescent="0.4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6.8" x14ac:dyDescent="0.4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6.8" x14ac:dyDescent="0.4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6.8" x14ac:dyDescent="0.4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6.8" x14ac:dyDescent="0.4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6.8" x14ac:dyDescent="0.4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6.8" x14ac:dyDescent="0.4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6.8" x14ac:dyDescent="0.4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6.8" x14ac:dyDescent="0.4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6.8" x14ac:dyDescent="0.4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6.8" x14ac:dyDescent="0.4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6.8" x14ac:dyDescent="0.4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6.8" x14ac:dyDescent="0.4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6.8" x14ac:dyDescent="0.4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6.8" x14ac:dyDescent="0.4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6.8" x14ac:dyDescent="0.4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6.8" x14ac:dyDescent="0.4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6.8" x14ac:dyDescent="0.4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6.8" x14ac:dyDescent="0.4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6.8" x14ac:dyDescent="0.4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6.8" x14ac:dyDescent="0.4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6.8" x14ac:dyDescent="0.4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6.8" x14ac:dyDescent="0.4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6.8" x14ac:dyDescent="0.4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6.8" x14ac:dyDescent="0.4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6.8" x14ac:dyDescent="0.4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6.8" x14ac:dyDescent="0.4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6.8" x14ac:dyDescent="0.4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6.8" x14ac:dyDescent="0.4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6.8" x14ac:dyDescent="0.4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6.8" x14ac:dyDescent="0.4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6.8" x14ac:dyDescent="0.4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6.8" x14ac:dyDescent="0.4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6.8" x14ac:dyDescent="0.4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6.8" x14ac:dyDescent="0.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6.8" x14ac:dyDescent="0.4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6.8" x14ac:dyDescent="0.4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6.8" x14ac:dyDescent="0.4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6.8" x14ac:dyDescent="0.4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6.8" x14ac:dyDescent="0.4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6.8" x14ac:dyDescent="0.4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6.8" x14ac:dyDescent="0.4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6.8" x14ac:dyDescent="0.4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6.8" x14ac:dyDescent="0.4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6.8" x14ac:dyDescent="0.4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6.8" x14ac:dyDescent="0.4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6.8" x14ac:dyDescent="0.4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6.8" x14ac:dyDescent="0.4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6.8" x14ac:dyDescent="0.4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6.8" x14ac:dyDescent="0.4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6.8" x14ac:dyDescent="0.4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6.8" x14ac:dyDescent="0.4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6.8" x14ac:dyDescent="0.4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6.8" x14ac:dyDescent="0.4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6.8" x14ac:dyDescent="0.4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6.8" x14ac:dyDescent="0.4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6.8" x14ac:dyDescent="0.4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6.8" x14ac:dyDescent="0.4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6.8" x14ac:dyDescent="0.4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6.8" x14ac:dyDescent="0.4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6.8" x14ac:dyDescent="0.4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6.8" x14ac:dyDescent="0.4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6.8" x14ac:dyDescent="0.4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6.8" x14ac:dyDescent="0.4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6.8" x14ac:dyDescent="0.4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6.8" x14ac:dyDescent="0.4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6.8" x14ac:dyDescent="0.4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6.8" x14ac:dyDescent="0.4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6.8" x14ac:dyDescent="0.4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6.8" x14ac:dyDescent="0.4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6.8" x14ac:dyDescent="0.4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6.8" x14ac:dyDescent="0.4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6.8" x14ac:dyDescent="0.4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6.8" x14ac:dyDescent="0.4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6.8" x14ac:dyDescent="0.4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6.8" x14ac:dyDescent="0.4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6.8" x14ac:dyDescent="0.4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6.8" x14ac:dyDescent="0.4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6.8" x14ac:dyDescent="0.4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6.8" x14ac:dyDescent="0.4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6.8" x14ac:dyDescent="0.4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6.8" x14ac:dyDescent="0.4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6.8" x14ac:dyDescent="0.4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6.8" x14ac:dyDescent="0.4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6.8" x14ac:dyDescent="0.4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6.8" x14ac:dyDescent="0.4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6.8" x14ac:dyDescent="0.4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6.8" x14ac:dyDescent="0.4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6.8" x14ac:dyDescent="0.4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6.8" x14ac:dyDescent="0.4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6.8" x14ac:dyDescent="0.4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ht="16.8" x14ac:dyDescent="0.45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2"/>
  <sheetViews>
    <sheetView workbookViewId="0"/>
  </sheetViews>
  <sheetFormatPr defaultColWidth="12.6640625" defaultRowHeight="15.75" customHeight="1" x14ac:dyDescent="0.25"/>
  <cols>
    <col min="1" max="5" width="12.6640625" customWidth="1"/>
    <col min="6" max="6" width="22" customWidth="1"/>
    <col min="7" max="7" width="12.6640625" customWidth="1"/>
  </cols>
  <sheetData>
    <row r="1" spans="1:26" ht="15.75" customHeight="1" x14ac:dyDescent="0.45">
      <c r="A1" s="8" t="s">
        <v>193</v>
      </c>
      <c r="B1" s="8"/>
      <c r="C1" s="8"/>
      <c r="D1" s="8"/>
      <c r="E1" s="8"/>
      <c r="F1" s="8"/>
      <c r="G1" s="8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 x14ac:dyDescent="0.45">
      <c r="A2" s="8" t="s">
        <v>22</v>
      </c>
      <c r="B2" s="8" t="s">
        <v>23</v>
      </c>
      <c r="C2" s="8" t="s">
        <v>24</v>
      </c>
      <c r="D2" s="8" t="s">
        <v>25</v>
      </c>
      <c r="E2" s="8" t="s">
        <v>26</v>
      </c>
      <c r="F2" s="8" t="s">
        <v>27</v>
      </c>
      <c r="G2" s="8" t="s">
        <v>28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 x14ac:dyDescent="0.45">
      <c r="A3" s="9">
        <v>1</v>
      </c>
      <c r="B3" s="9" t="s">
        <v>29</v>
      </c>
      <c r="C3" s="9">
        <v>1994</v>
      </c>
      <c r="D3" s="9" t="s">
        <v>30</v>
      </c>
      <c r="E3" s="9">
        <v>142</v>
      </c>
      <c r="F3" s="9" t="s">
        <v>31</v>
      </c>
      <c r="G3" s="9">
        <v>9.3000000000000007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 x14ac:dyDescent="0.45">
      <c r="A4" s="9">
        <v>2</v>
      </c>
      <c r="B4" s="9" t="s">
        <v>32</v>
      </c>
      <c r="C4" s="9">
        <v>1972</v>
      </c>
      <c r="D4" s="9" t="s">
        <v>30</v>
      </c>
      <c r="E4" s="9">
        <v>175</v>
      </c>
      <c r="F4" s="9" t="s">
        <v>33</v>
      </c>
      <c r="G4" s="9">
        <v>9.1999999999999993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 x14ac:dyDescent="0.45">
      <c r="A5" s="9">
        <v>3</v>
      </c>
      <c r="B5" s="9" t="s">
        <v>34</v>
      </c>
      <c r="C5" s="9">
        <v>2008</v>
      </c>
      <c r="D5" s="9" t="s">
        <v>35</v>
      </c>
      <c r="E5" s="9">
        <v>152</v>
      </c>
      <c r="F5" s="9" t="s">
        <v>36</v>
      </c>
      <c r="G5" s="9">
        <v>9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 x14ac:dyDescent="0.45">
      <c r="A6" s="9">
        <v>4</v>
      </c>
      <c r="B6" s="9" t="s">
        <v>37</v>
      </c>
      <c r="C6" s="9">
        <v>1974</v>
      </c>
      <c r="D6" s="9" t="s">
        <v>30</v>
      </c>
      <c r="E6" s="9">
        <v>202</v>
      </c>
      <c r="F6" s="9" t="s">
        <v>33</v>
      </c>
      <c r="G6" s="9">
        <v>9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 x14ac:dyDescent="0.45">
      <c r="A7" s="9">
        <v>5</v>
      </c>
      <c r="B7" s="9" t="s">
        <v>38</v>
      </c>
      <c r="C7" s="9">
        <v>2003</v>
      </c>
      <c r="D7" s="9" t="s">
        <v>35</v>
      </c>
      <c r="E7" s="9">
        <v>201</v>
      </c>
      <c r="F7" s="9" t="s">
        <v>39</v>
      </c>
      <c r="G7" s="9">
        <v>8.9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 x14ac:dyDescent="0.4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 x14ac:dyDescent="0.45">
      <c r="A9" s="10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 x14ac:dyDescent="0.45">
      <c r="A10" s="6" t="str">
        <f ca="1">IFERROR(__xludf.DUMMYFUNCTION("QUERY(IMDB,""where G&gt;=9 and D = 'PG-13' "")"),"NO")</f>
        <v>NO</v>
      </c>
      <c r="B10" s="6" t="str">
        <f ca="1">IFERROR(__xludf.DUMMYFUNCTION("""COMPUTED_VALUE"""),"MOVIE_NAME")</f>
        <v>MOVIE_NAME</v>
      </c>
      <c r="C10" s="6" t="str">
        <f ca="1">IFERROR(__xludf.DUMMYFUNCTION("""COMPUTED_VALUE"""),"YEAR")</f>
        <v>YEAR</v>
      </c>
      <c r="D10" s="6" t="str">
        <f ca="1">IFERROR(__xludf.DUMMYFUNCTION("""COMPUTED_VALUE"""),"RATING")</f>
        <v>RATING</v>
      </c>
      <c r="E10" s="6" t="str">
        <f ca="1">IFERROR(__xludf.DUMMYFUNCTION("""COMPUTED_VALUE"""),"LENGTH")</f>
        <v>LENGTH</v>
      </c>
      <c r="F10" s="6" t="str">
        <f ca="1">IFERROR(__xludf.DUMMYFUNCTION("""COMPUTED_VALUE"""),"GENRE")</f>
        <v>GENRE</v>
      </c>
      <c r="G10" s="6" t="str">
        <f ca="1">IFERROR(__xludf.DUMMYFUNCTION("""COMPUTED_VALUE"""),"SCORE")</f>
        <v>SCORE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 x14ac:dyDescent="0.45">
      <c r="A11" s="6">
        <f ca="1">IFERROR(__xludf.DUMMYFUNCTION("""COMPUTED_VALUE"""),3)</f>
        <v>3</v>
      </c>
      <c r="B11" s="6" t="str">
        <f ca="1">IFERROR(__xludf.DUMMYFUNCTION("""COMPUTED_VALUE"""),"The Dark Knight")</f>
        <v>The Dark Knight</v>
      </c>
      <c r="C11" s="6">
        <f ca="1">IFERROR(__xludf.DUMMYFUNCTION("""COMPUTED_VALUE"""),2008)</f>
        <v>2008</v>
      </c>
      <c r="D11" s="6" t="str">
        <f ca="1">IFERROR(__xludf.DUMMYFUNCTION("""COMPUTED_VALUE"""),"PG-13")</f>
        <v>PG-13</v>
      </c>
      <c r="E11" s="6">
        <f ca="1">IFERROR(__xludf.DUMMYFUNCTION("""COMPUTED_VALUE"""),152)</f>
        <v>152</v>
      </c>
      <c r="F11" s="6" t="str">
        <f ca="1">IFERROR(__xludf.DUMMYFUNCTION("""COMPUTED_VALUE"""),"Action, Crime, Drama")</f>
        <v>Action, Crime, Drama</v>
      </c>
      <c r="G11" s="6">
        <f ca="1">IFERROR(__xludf.DUMMYFUNCTION("""COMPUTED_VALUE"""),9)</f>
        <v>9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 x14ac:dyDescent="0.4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 x14ac:dyDescent="0.45">
      <c r="A13" s="11" t="s">
        <v>195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 x14ac:dyDescent="0.45">
      <c r="A14" s="12" t="s">
        <v>196</v>
      </c>
      <c r="B14" s="6"/>
      <c r="C14" s="6"/>
      <c r="D14" s="13" t="s">
        <v>197</v>
      </c>
      <c r="E14" s="6"/>
      <c r="F14" s="6"/>
      <c r="G14" s="14" t="s">
        <v>198</v>
      </c>
      <c r="H14" s="6"/>
      <c r="I14" s="6"/>
      <c r="J14" s="15" t="s">
        <v>199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 x14ac:dyDescent="0.45">
      <c r="A15" s="6" t="str">
        <f ca="1">IFERROR(__xludf.DUMMYFUNCTION("QUERY(IMDB,""select B,F where F like '%Drama%'"")"),"MOVIE_NAME")</f>
        <v>MOVIE_NAME</v>
      </c>
      <c r="B15" s="6" t="str">
        <f ca="1">IFERROR(__xludf.DUMMYFUNCTION("""COMPUTED_VALUE"""),"GENRE")</f>
        <v>GENRE</v>
      </c>
      <c r="C15" s="6"/>
      <c r="D15" s="6" t="str">
        <f ca="1">IFERROR(__xludf.DUMMYFUNCTION("QUERY(IMDB,""select B,F where F like '%Drama'"")"),"MOVIE_NAME")</f>
        <v>MOVIE_NAME</v>
      </c>
      <c r="E15" s="6" t="str">
        <f ca="1">IFERROR(__xludf.DUMMYFUNCTION("""COMPUTED_VALUE"""),"GENRE")</f>
        <v>GENRE</v>
      </c>
      <c r="F15" s="6"/>
      <c r="G15" s="6" t="str">
        <f ca="1">IFERROR(__xludf.DUMMYFUNCTION("QUERY(IMDB,""select B,F where F like 'Drama%'"")"),"MOVIE_NAME")</f>
        <v>MOVIE_NAME</v>
      </c>
      <c r="H15" s="6" t="str">
        <f ca="1">IFERROR(__xludf.DUMMYFUNCTION("""COMPUTED_VALUE"""),"GENRE")</f>
        <v>GENRE</v>
      </c>
      <c r="I15" s="6"/>
      <c r="J15" s="6" t="str">
        <f ca="1">IFERROR(__xludf.DUMMYFUNCTION("QUERY(IMDB,""select B,F where B like 'F__ht Club'"")"),"MOVIE_NAME")</f>
        <v>MOVIE_NAME</v>
      </c>
      <c r="K15" s="6" t="str">
        <f ca="1">IFERROR(__xludf.DUMMYFUNCTION("""COMPUTED_VALUE"""),"GENRE")</f>
        <v>GENRE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 x14ac:dyDescent="0.45">
      <c r="A16" s="6" t="str">
        <f ca="1">IFERROR(__xludf.DUMMYFUNCTION("""COMPUTED_VALUE"""),"The Shawshank Redemption")</f>
        <v>The Shawshank Redemption</v>
      </c>
      <c r="B16" s="6" t="str">
        <f ca="1">IFERROR(__xludf.DUMMYFUNCTION("""COMPUTED_VALUE"""),"Drama")</f>
        <v>Drama</v>
      </c>
      <c r="C16" s="6"/>
      <c r="D16" s="6" t="str">
        <f ca="1">IFERROR(__xludf.DUMMYFUNCTION("""COMPUTED_VALUE"""),"The Shawshank Redemption")</f>
        <v>The Shawshank Redemption</v>
      </c>
      <c r="E16" s="6" t="str">
        <f ca="1">IFERROR(__xludf.DUMMYFUNCTION("""COMPUTED_VALUE"""),"Drama")</f>
        <v>Drama</v>
      </c>
      <c r="F16" s="6"/>
      <c r="G16" s="6" t="str">
        <f ca="1">IFERROR(__xludf.DUMMYFUNCTION("""COMPUTED_VALUE"""),"The Shawshank Redemption")</f>
        <v>The Shawshank Redemption</v>
      </c>
      <c r="H16" s="6" t="str">
        <f ca="1">IFERROR(__xludf.DUMMYFUNCTION("""COMPUTED_VALUE"""),"Drama")</f>
        <v>Drama</v>
      </c>
      <c r="I16" s="6"/>
      <c r="J16" s="6" t="str">
        <f ca="1">IFERROR(__xludf.DUMMYFUNCTION("""COMPUTED_VALUE"""),"Fight Club")</f>
        <v>Fight Club</v>
      </c>
      <c r="K16" s="6" t="str">
        <f ca="1">IFERROR(__xludf.DUMMYFUNCTION("""COMPUTED_VALUE"""),"Drama")</f>
        <v>Drama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 x14ac:dyDescent="0.45">
      <c r="A17" s="6" t="str">
        <f ca="1">IFERROR(__xludf.DUMMYFUNCTION("""COMPUTED_VALUE"""),"The Godfather")</f>
        <v>The Godfather</v>
      </c>
      <c r="B17" s="6" t="str">
        <f ca="1">IFERROR(__xludf.DUMMYFUNCTION("""COMPUTED_VALUE"""),"Crime, Drama")</f>
        <v>Crime, Drama</v>
      </c>
      <c r="C17" s="6"/>
      <c r="D17" s="6" t="str">
        <f ca="1">IFERROR(__xludf.DUMMYFUNCTION("""COMPUTED_VALUE"""),"The Godfather")</f>
        <v>The Godfather</v>
      </c>
      <c r="E17" s="6" t="str">
        <f ca="1">IFERROR(__xludf.DUMMYFUNCTION("""COMPUTED_VALUE"""),"Crime, Drama")</f>
        <v>Crime, Drama</v>
      </c>
      <c r="F17" s="6"/>
      <c r="G17" s="6" t="str">
        <f ca="1">IFERROR(__xludf.DUMMYFUNCTION("""COMPUTED_VALUE"""),"Fight Club")</f>
        <v>Fight Club</v>
      </c>
      <c r="H17" s="6" t="str">
        <f ca="1">IFERROR(__xludf.DUMMYFUNCTION("""COMPUTED_VALUE"""),"Drama")</f>
        <v>Drama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 x14ac:dyDescent="0.45">
      <c r="A18" s="6" t="str">
        <f ca="1">IFERROR(__xludf.DUMMYFUNCTION("""COMPUTED_VALUE"""),"The Dark Knight")</f>
        <v>The Dark Knight</v>
      </c>
      <c r="B18" s="6" t="str">
        <f ca="1">IFERROR(__xludf.DUMMYFUNCTION("""COMPUTED_VALUE"""),"Action, Crime, Drama")</f>
        <v>Action, Crime, Drama</v>
      </c>
      <c r="C18" s="6"/>
      <c r="D18" s="6" t="str">
        <f ca="1">IFERROR(__xludf.DUMMYFUNCTION("""COMPUTED_VALUE"""),"The Dark Knight")</f>
        <v>The Dark Knight</v>
      </c>
      <c r="E18" s="6" t="str">
        <f ca="1">IFERROR(__xludf.DUMMYFUNCTION("""COMPUTED_VALUE"""),"Action, Crime, Drama")</f>
        <v>Action, Crime, Drama</v>
      </c>
      <c r="F18" s="6"/>
      <c r="G18" s="6" t="str">
        <f ca="1">IFERROR(__xludf.DUMMYFUNCTION("""COMPUTED_VALUE"""),"Forrest Gump")</f>
        <v>Forrest Gump</v>
      </c>
      <c r="H18" s="6" t="str">
        <f ca="1">IFERROR(__xludf.DUMMYFUNCTION("""COMPUTED_VALUE"""),"Drama, Romance")</f>
        <v>Drama, Romance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 x14ac:dyDescent="0.45">
      <c r="A19" s="6" t="str">
        <f ca="1">IFERROR(__xludf.DUMMYFUNCTION("""COMPUTED_VALUE"""),"The Godfather: Part II")</f>
        <v>The Godfather: Part II</v>
      </c>
      <c r="B19" s="6" t="str">
        <f ca="1">IFERROR(__xludf.DUMMYFUNCTION("""COMPUTED_VALUE"""),"Crime, Drama")</f>
        <v>Crime, Drama</v>
      </c>
      <c r="C19" s="6"/>
      <c r="D19" s="6" t="str">
        <f ca="1">IFERROR(__xludf.DUMMYFUNCTION("""COMPUTED_VALUE"""),"The Godfather: Part II")</f>
        <v>The Godfather: Part II</v>
      </c>
      <c r="E19" s="6" t="str">
        <f ca="1">IFERROR(__xludf.DUMMYFUNCTION("""COMPUTED_VALUE"""),"Crime, Drama")</f>
        <v>Crime, Drama</v>
      </c>
      <c r="F19" s="6"/>
      <c r="G19" s="6" t="str">
        <f ca="1">IFERROR(__xludf.DUMMYFUNCTION("""COMPUTED_VALUE"""),"One Flew Over the Cuckoo's Nest")</f>
        <v>One Flew Over the Cuckoo's Nest</v>
      </c>
      <c r="H19" s="6" t="str">
        <f ca="1">IFERROR(__xludf.DUMMYFUNCTION("""COMPUTED_VALUE"""),"Drama")</f>
        <v>Drama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 x14ac:dyDescent="0.45">
      <c r="A20" s="6" t="str">
        <f ca="1">IFERROR(__xludf.DUMMYFUNCTION("""COMPUTED_VALUE"""),"The Lord of the Rings: The Return of the King")</f>
        <v>The Lord of the Rings: The Return of the King</v>
      </c>
      <c r="B20" s="6" t="str">
        <f ca="1">IFERROR(__xludf.DUMMYFUNCTION("""COMPUTED_VALUE"""),"Action, Adventure, Drama")</f>
        <v>Action, Adventure, Drama</v>
      </c>
      <c r="C20" s="6"/>
      <c r="D20" s="6" t="str">
        <f ca="1">IFERROR(__xludf.DUMMYFUNCTION("""COMPUTED_VALUE"""),"The Lord of the Rings: The Return of the King")</f>
        <v>The Lord of the Rings: The Return of the King</v>
      </c>
      <c r="E20" s="6" t="str">
        <f ca="1">IFERROR(__xludf.DUMMYFUNCTION("""COMPUTED_VALUE"""),"Action, Adventure, Drama")</f>
        <v>Action, Adventure, Drama</v>
      </c>
      <c r="F20" s="6"/>
      <c r="G20" s="6" t="str">
        <f ca="1">IFERROR(__xludf.DUMMYFUNCTION("""COMPUTED_VALUE"""),"Saving Private Ryan")</f>
        <v>Saving Private Ryan</v>
      </c>
      <c r="H20" s="6" t="str">
        <f ca="1">IFERROR(__xludf.DUMMYFUNCTION("""COMPUTED_VALUE"""),"Drama, War")</f>
        <v>Drama, War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45">
      <c r="A21" s="6" t="str">
        <f ca="1">IFERROR(__xludf.DUMMYFUNCTION("""COMPUTED_VALUE"""),"Pulp Fiction")</f>
        <v>Pulp Fiction</v>
      </c>
      <c r="B21" s="6" t="str">
        <f ca="1">IFERROR(__xludf.DUMMYFUNCTION("""COMPUTED_VALUE"""),"Crime, Drama")</f>
        <v>Crime, Drama</v>
      </c>
      <c r="C21" s="6"/>
      <c r="D21" s="6" t="str">
        <f ca="1">IFERROR(__xludf.DUMMYFUNCTION("""COMPUTED_VALUE"""),"Pulp Fiction")</f>
        <v>Pulp Fiction</v>
      </c>
      <c r="E21" s="6" t="str">
        <f ca="1">IFERROR(__xludf.DUMMYFUNCTION("""COMPUTED_VALUE"""),"Crime, Drama")</f>
        <v>Crime, Drama</v>
      </c>
      <c r="F21" s="6"/>
      <c r="G21" s="6" t="str">
        <f ca="1">IFERROR(__xludf.DUMMYFUNCTION("""COMPUTED_VALUE"""),"It's a Wonderful Life")</f>
        <v>It's a Wonderful Life</v>
      </c>
      <c r="H21" s="6" t="str">
        <f ca="1">IFERROR(__xludf.DUMMYFUNCTION("""COMPUTED_VALUE"""),"Drama, Family, Fantasy")</f>
        <v>Drama, Family, Fantasy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45">
      <c r="A22" s="6" t="str">
        <f ca="1">IFERROR(__xludf.DUMMYFUNCTION("""COMPUTED_VALUE"""),"Schindler's List")</f>
        <v>Schindler's List</v>
      </c>
      <c r="B22" s="6" t="str">
        <f ca="1">IFERROR(__xludf.DUMMYFUNCTION("""COMPUTED_VALUE"""),"Biography, Drama, History")</f>
        <v>Biography, Drama, History</v>
      </c>
      <c r="C22" s="6"/>
      <c r="D22" s="6" t="str">
        <f ca="1">IFERROR(__xludf.DUMMYFUNCTION("""COMPUTED_VALUE"""),"12 Angry Men")</f>
        <v>12 Angry Men</v>
      </c>
      <c r="E22" s="6" t="str">
        <f ca="1">IFERROR(__xludf.DUMMYFUNCTION("""COMPUTED_VALUE"""),"Crime, Drama")</f>
        <v>Crime, Drama</v>
      </c>
      <c r="F22" s="6"/>
      <c r="G22" s="6" t="str">
        <f ca="1">IFERROR(__xludf.DUMMYFUNCTION("""COMPUTED_VALUE"""),"Whiplash")</f>
        <v>Whiplash</v>
      </c>
      <c r="H22" s="6" t="str">
        <f ca="1">IFERROR(__xludf.DUMMYFUNCTION("""COMPUTED_VALUE"""),"Drama, Music")</f>
        <v>Drama, Music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45">
      <c r="A23" s="6" t="str">
        <f ca="1">IFERROR(__xludf.DUMMYFUNCTION("""COMPUTED_VALUE"""),"12 Angry Men")</f>
        <v>12 Angry Men</v>
      </c>
      <c r="B23" s="6" t="str">
        <f ca="1">IFERROR(__xludf.DUMMYFUNCTION("""COMPUTED_VALUE"""),"Crime, Drama")</f>
        <v>Crime, Drama</v>
      </c>
      <c r="C23" s="6"/>
      <c r="D23" s="6" t="str">
        <f ca="1">IFERROR(__xludf.DUMMYFUNCTION("""COMPUTED_VALUE"""),"Fight Club")</f>
        <v>Fight Club</v>
      </c>
      <c r="E23" s="6" t="str">
        <f ca="1">IFERROR(__xludf.DUMMYFUNCTION("""COMPUTED_VALUE"""),"Drama")</f>
        <v>Drama</v>
      </c>
      <c r="F23" s="6"/>
      <c r="G23" s="6" t="str">
        <f ca="1">IFERROR(__xludf.DUMMYFUNCTION("""COMPUTED_VALUE"""),"The Prestige")</f>
        <v>The Prestige</v>
      </c>
      <c r="H23" s="6" t="str">
        <f ca="1">IFERROR(__xludf.DUMMYFUNCTION("""COMPUTED_VALUE"""),"Drama, Mystery, Sci-Fi")</f>
        <v>Drama, Mystery, Sci-Fi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45">
      <c r="A24" s="6" t="str">
        <f ca="1">IFERROR(__xludf.DUMMYFUNCTION("""COMPUTED_VALUE"""),"Fight Club")</f>
        <v>Fight Club</v>
      </c>
      <c r="B24" s="6" t="str">
        <f ca="1">IFERROR(__xludf.DUMMYFUNCTION("""COMPUTED_VALUE"""),"Drama")</f>
        <v>Drama</v>
      </c>
      <c r="C24" s="6"/>
      <c r="D24" s="6" t="str">
        <f ca="1">IFERROR(__xludf.DUMMYFUNCTION("""COMPUTED_VALUE"""),"The Lord of the Rings: The Fellowship of the Ring")</f>
        <v>The Lord of the Rings: The Fellowship of the Ring</v>
      </c>
      <c r="E24" s="6" t="str">
        <f ca="1">IFERROR(__xludf.DUMMYFUNCTION("""COMPUTED_VALUE"""),"Action, Adventure, Drama")</f>
        <v>Action, Adventure, Drama</v>
      </c>
      <c r="F24" s="6"/>
      <c r="G24" s="6" t="str">
        <f ca="1">IFERROR(__xludf.DUMMYFUNCTION("""COMPUTED_VALUE"""),"American History X")</f>
        <v>American History X</v>
      </c>
      <c r="H24" s="6" t="str">
        <f ca="1">IFERROR(__xludf.DUMMYFUNCTION("""COMPUTED_VALUE"""),"Drama")</f>
        <v>Drama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45">
      <c r="A25" s="6" t="str">
        <f ca="1">IFERROR(__xludf.DUMMYFUNCTION("""COMPUTED_VALUE"""),"The Lord of the Rings: The Fellowship of the Ring")</f>
        <v>The Lord of the Rings: The Fellowship of the Ring</v>
      </c>
      <c r="B25" s="6" t="str">
        <f ca="1">IFERROR(__xludf.DUMMYFUNCTION("""COMPUTED_VALUE"""),"Action, Adventure, Drama")</f>
        <v>Action, Adventure, Drama</v>
      </c>
      <c r="C25" s="6"/>
      <c r="D25" s="6" t="str">
        <f ca="1">IFERROR(__xludf.DUMMYFUNCTION("""COMPUTED_VALUE"""),"The Lord of the Rings: The Two Towers")</f>
        <v>The Lord of the Rings: The Two Towers</v>
      </c>
      <c r="E25" s="6" t="str">
        <f ca="1">IFERROR(__xludf.DUMMYFUNCTION("""COMPUTED_VALUE"""),"Action, Adventure, Drama")</f>
        <v>Action, Adventure, Drama</v>
      </c>
      <c r="F25" s="6"/>
      <c r="G25" s="6" t="str">
        <f ca="1">IFERROR(__xludf.DUMMYFUNCTION("""COMPUTED_VALUE"""),"Cinema Paradiso")</f>
        <v>Cinema Paradiso</v>
      </c>
      <c r="H25" s="6" t="str">
        <f ca="1">IFERROR(__xludf.DUMMYFUNCTION("""COMPUTED_VALUE"""),"Drama")</f>
        <v>Drama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45">
      <c r="A26" s="6" t="str">
        <f ca="1">IFERROR(__xludf.DUMMYFUNCTION("""COMPUTED_VALUE"""),"Forrest Gump")</f>
        <v>Forrest Gump</v>
      </c>
      <c r="B26" s="6" t="str">
        <f ca="1">IFERROR(__xludf.DUMMYFUNCTION("""COMPUTED_VALUE"""),"Drama, Romance")</f>
        <v>Drama, Romance</v>
      </c>
      <c r="C26" s="6"/>
      <c r="D26" s="6" t="str">
        <f ca="1">IFERROR(__xludf.DUMMYFUNCTION("""COMPUTED_VALUE"""),"Goodfellas")</f>
        <v>Goodfellas</v>
      </c>
      <c r="E26" s="6" t="str">
        <f ca="1">IFERROR(__xludf.DUMMYFUNCTION("""COMPUTED_VALUE"""),"Biography, Crime, Drama")</f>
        <v>Biography, Crime, Drama</v>
      </c>
      <c r="F26" s="6"/>
      <c r="G26" s="6" t="str">
        <f ca="1">IFERROR(__xludf.DUMMYFUNCTION("""COMPUTED_VALUE"""),"Anand")</f>
        <v>Anand</v>
      </c>
      <c r="H26" s="6" t="str">
        <f ca="1">IFERROR(__xludf.DUMMYFUNCTION("""COMPUTED_VALUE"""),"Drama, Musical")</f>
        <v>Drama, Musical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6.8" x14ac:dyDescent="0.45">
      <c r="A27" s="6" t="str">
        <f ca="1">IFERROR(__xludf.DUMMYFUNCTION("""COMPUTED_VALUE"""),"Hamilton")</f>
        <v>Hamilton</v>
      </c>
      <c r="B27" s="6" t="str">
        <f ca="1">IFERROR(__xludf.DUMMYFUNCTION("""COMPUTED_VALUE"""),"Biography, Drama, History")</f>
        <v>Biography, Drama, History</v>
      </c>
      <c r="C27" s="6"/>
      <c r="D27" s="6" t="str">
        <f ca="1">IFERROR(__xludf.DUMMYFUNCTION("""COMPUTED_VALUE"""),"One Flew Over the Cuckoo's Nest")</f>
        <v>One Flew Over the Cuckoo's Nest</v>
      </c>
      <c r="E27" s="6" t="str">
        <f ca="1">IFERROR(__xludf.DUMMYFUNCTION("""COMPUTED_VALUE"""),"Drama")</f>
        <v>Drama</v>
      </c>
      <c r="F27" s="6"/>
      <c r="G27" s="6" t="str">
        <f ca="1">IFERROR(__xludf.DUMMYFUNCTION("""COMPUTED_VALUE"""),"Casablanca")</f>
        <v>Casablanca</v>
      </c>
      <c r="H27" s="6" t="str">
        <f ca="1">IFERROR(__xludf.DUMMYFUNCTION("""COMPUTED_VALUE"""),"Drama, Romance, War")</f>
        <v>Drama, Romance, War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6.8" x14ac:dyDescent="0.45">
      <c r="A28" s="6" t="str">
        <f ca="1">IFERROR(__xludf.DUMMYFUNCTION("""COMPUTED_VALUE"""),"The Lord of the Rings: The Two Towers")</f>
        <v>The Lord of the Rings: The Two Towers</v>
      </c>
      <c r="B28" s="6" t="str">
        <f ca="1">IFERROR(__xludf.DUMMYFUNCTION("""COMPUTED_VALUE"""),"Action, Adventure, Drama")</f>
        <v>Action, Adventure, Drama</v>
      </c>
      <c r="C28" s="6"/>
      <c r="D28" s="6" t="str">
        <f ca="1">IFERROR(__xludf.DUMMYFUNCTION("""COMPUTED_VALUE"""),"City of God")</f>
        <v>City of God</v>
      </c>
      <c r="E28" s="6" t="str">
        <f ca="1">IFERROR(__xludf.DUMMYFUNCTION("""COMPUTED_VALUE"""),"Crime, Drama")</f>
        <v>Crime, Drama</v>
      </c>
      <c r="F28" s="6"/>
      <c r="G28" s="6" t="str">
        <f ca="1">IFERROR(__xludf.DUMMYFUNCTION("""COMPUTED_VALUE"""),"Capharnaüm")</f>
        <v>Capharnaüm</v>
      </c>
      <c r="H28" s="6" t="str">
        <f ca="1">IFERROR(__xludf.DUMMYFUNCTION("""COMPUTED_VALUE"""),"Drama")</f>
        <v>Drama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6.8" x14ac:dyDescent="0.45">
      <c r="A29" s="6" t="str">
        <f ca="1">IFERROR(__xludf.DUMMYFUNCTION("""COMPUTED_VALUE"""),"Goodfellas")</f>
        <v>Goodfellas</v>
      </c>
      <c r="B29" s="6" t="str">
        <f ca="1">IFERROR(__xludf.DUMMYFUNCTION("""COMPUTED_VALUE"""),"Biography, Crime, Drama")</f>
        <v>Biography, Crime, Drama</v>
      </c>
      <c r="C29" s="6"/>
      <c r="D29" s="6" t="str">
        <f ca="1">IFERROR(__xludf.DUMMYFUNCTION("""COMPUTED_VALUE"""),"Seven Samurai")</f>
        <v>Seven Samurai</v>
      </c>
      <c r="E29" s="6" t="str">
        <f ca="1">IFERROR(__xludf.DUMMYFUNCTION("""COMPUTED_VALUE"""),"Action, Adventure, Drama")</f>
        <v>Action, Adventure, Drama</v>
      </c>
      <c r="F29" s="6"/>
      <c r="G29" s="6" t="str">
        <f ca="1">IFERROR(__xludf.DUMMYFUNCTION("""COMPUTED_VALUE"""),"Django Unchained")</f>
        <v>Django Unchained</v>
      </c>
      <c r="H29" s="6" t="str">
        <f ca="1">IFERROR(__xludf.DUMMYFUNCTION("""COMPUTED_VALUE"""),"Drama, Western")</f>
        <v>Drama, Western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6.8" x14ac:dyDescent="0.45">
      <c r="A30" s="6" t="str">
        <f ca="1">IFERROR(__xludf.DUMMYFUNCTION("""COMPUTED_VALUE"""),"One Flew Over the Cuckoo's Nest")</f>
        <v>One Flew Over the Cuckoo's Nest</v>
      </c>
      <c r="B30" s="6" t="str">
        <f ca="1">IFERROR(__xludf.DUMMYFUNCTION("""COMPUTED_VALUE"""),"Drama")</f>
        <v>Drama</v>
      </c>
      <c r="C30" s="6"/>
      <c r="D30" s="6" t="str">
        <f ca="1">IFERROR(__xludf.DUMMYFUNCTION("""COMPUTED_VALUE"""),"The Intouchables")</f>
        <v>The Intouchables</v>
      </c>
      <c r="E30" s="6" t="str">
        <f ca="1">IFERROR(__xludf.DUMMYFUNCTION("""COMPUTED_VALUE"""),"Biography, Comedy, Drama")</f>
        <v>Biography, Comedy, Drama</v>
      </c>
      <c r="F30" s="6"/>
      <c r="G30" s="6" t="str">
        <f ca="1">IFERROR(__xludf.DUMMYFUNCTION("""COMPUTED_VALUE"""),"Taare Zameen Par")</f>
        <v>Taare Zameen Par</v>
      </c>
      <c r="H30" s="6" t="str">
        <f ca="1">IFERROR(__xludf.DUMMYFUNCTION("""COMPUTED_VALUE"""),"Drama, Family")</f>
        <v>Drama, Family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6.8" x14ac:dyDescent="0.45">
      <c r="A31" s="6" t="str">
        <f ca="1">IFERROR(__xludf.DUMMYFUNCTION("""COMPUTED_VALUE"""),"Parasite")</f>
        <v>Parasite</v>
      </c>
      <c r="B31" s="6" t="str">
        <f ca="1">IFERROR(__xludf.DUMMYFUNCTION("""COMPUTED_VALUE"""),"Comedy, Drama, Thriller")</f>
        <v>Comedy, Drama, Thriller</v>
      </c>
      <c r="C31" s="6"/>
      <c r="D31" s="6" t="str">
        <f ca="1">IFERROR(__xludf.DUMMYFUNCTION("""COMPUTED_VALUE"""),"Gladiator")</f>
        <v>Gladiator</v>
      </c>
      <c r="E31" s="6" t="str">
        <f ca="1">IFERROR(__xludf.DUMMYFUNCTION("""COMPUTED_VALUE"""),"Action, Adventure, Drama")</f>
        <v>Action, Adventure, Drama</v>
      </c>
      <c r="F31" s="6"/>
      <c r="G31" s="6" t="str">
        <f ca="1">IFERROR(__xludf.DUMMYFUNCTION("""COMPUTED_VALUE"""),"The Lives of Others")</f>
        <v>The Lives of Others</v>
      </c>
      <c r="H31" s="6" t="str">
        <f ca="1">IFERROR(__xludf.DUMMYFUNCTION("""COMPUTED_VALUE"""),"Drama, Mystery, Thriller")</f>
        <v>Drama, Mystery, Thriller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6.8" x14ac:dyDescent="0.45">
      <c r="A32" s="6" t="str">
        <f ca="1">IFERROR(__xludf.DUMMYFUNCTION("""COMPUTED_VALUE"""),"Interstellar")</f>
        <v>Interstellar</v>
      </c>
      <c r="B32" s="6" t="str">
        <f ca="1">IFERROR(__xludf.DUMMYFUNCTION("""COMPUTED_VALUE"""),"Adventure, Drama, Sci-Fi")</f>
        <v>Adventure, Drama, Sci-Fi</v>
      </c>
      <c r="C32" s="6"/>
      <c r="D32" s="6" t="str">
        <f ca="1">IFERROR(__xludf.DUMMYFUNCTION("""COMPUTED_VALUE"""),"American History X")</f>
        <v>American History X</v>
      </c>
      <c r="E32" s="6" t="str">
        <f ca="1">IFERROR(__xludf.DUMMYFUNCTION("""COMPUTED_VALUE"""),"Drama")</f>
        <v>Drama</v>
      </c>
      <c r="F32" s="6"/>
      <c r="G32" s="6" t="str">
        <f ca="1">IFERROR(__xludf.DUMMYFUNCTION("""COMPUTED_VALUE"""),"The Shining")</f>
        <v>The Shining</v>
      </c>
      <c r="H32" s="6" t="str">
        <f ca="1">IFERROR(__xludf.DUMMYFUNCTION("""COMPUTED_VALUE"""),"Drama, Horror")</f>
        <v>Drama, Horror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6.8" x14ac:dyDescent="0.45">
      <c r="A33" s="6" t="str">
        <f ca="1">IFERROR(__xludf.DUMMYFUNCTION("""COMPUTED_VALUE"""),"City of God")</f>
        <v>City of God</v>
      </c>
      <c r="B33" s="6" t="str">
        <f ca="1">IFERROR(__xludf.DUMMYFUNCTION("""COMPUTED_VALUE"""),"Crime, Drama")</f>
        <v>Crime, Drama</v>
      </c>
      <c r="C33" s="6"/>
      <c r="D33" s="6" t="str">
        <f ca="1">IFERROR(__xludf.DUMMYFUNCTION("""COMPUTED_VALUE"""),"Léon: The Professional")</f>
        <v>Léon: The Professional</v>
      </c>
      <c r="E33" s="6" t="str">
        <f ca="1">IFERROR(__xludf.DUMMYFUNCTION("""COMPUTED_VALUE"""),"Action, Crime, Drama")</f>
        <v>Action, Crime, Drama</v>
      </c>
      <c r="F33" s="6"/>
      <c r="G33" s="6" t="str">
        <f ca="1">IFERROR(__xludf.DUMMYFUNCTION("""COMPUTED_VALUE"""),"Apocalypse Now")</f>
        <v>Apocalypse Now</v>
      </c>
      <c r="H33" s="6" t="str">
        <f ca="1">IFERROR(__xludf.DUMMYFUNCTION("""COMPUTED_VALUE"""),"Drama, Mystery, War")</f>
        <v>Drama, Mystery, War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6.8" x14ac:dyDescent="0.45">
      <c r="A34" s="6" t="str">
        <f ca="1">IFERROR(__xludf.DUMMYFUNCTION("""COMPUTED_VALUE"""),"Saving Private Ryan")</f>
        <v>Saving Private Ryan</v>
      </c>
      <c r="B34" s="6" t="str">
        <f ca="1">IFERROR(__xludf.DUMMYFUNCTION("""COMPUTED_VALUE"""),"Drama, War")</f>
        <v>Drama, War</v>
      </c>
      <c r="C34" s="6"/>
      <c r="D34" s="6" t="str">
        <f ca="1">IFERROR(__xludf.DUMMYFUNCTION("""COMPUTED_VALUE"""),"The Lion King")</f>
        <v>The Lion King</v>
      </c>
      <c r="E34" s="6" t="str">
        <f ca="1">IFERROR(__xludf.DUMMYFUNCTION("""COMPUTED_VALUE"""),"Animation, Adventure, Drama")</f>
        <v>Animation, Adventure, Drama</v>
      </c>
      <c r="F34" s="6"/>
      <c r="G34" s="6" t="str">
        <f ca="1">IFERROR(__xludf.DUMMYFUNCTION("""COMPUTED_VALUE"""),"Paths of Glory")</f>
        <v>Paths of Glory</v>
      </c>
      <c r="H34" s="6" t="str">
        <f ca="1">IFERROR(__xludf.DUMMYFUNCTION("""COMPUTED_VALUE"""),"Drama, War")</f>
        <v>Drama, War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6.8" x14ac:dyDescent="0.45">
      <c r="A35" s="6" t="str">
        <f ca="1">IFERROR(__xludf.DUMMYFUNCTION("""COMPUTED_VALUE"""),"The Green Mile")</f>
        <v>The Green Mile</v>
      </c>
      <c r="B35" s="6" t="str">
        <f ca="1">IFERROR(__xludf.DUMMYFUNCTION("""COMPUTED_VALUE"""),"Crime, Drama, Fantasy")</f>
        <v>Crime, Drama, Fantasy</v>
      </c>
      <c r="C35" s="6"/>
      <c r="D35" s="6" t="str">
        <f ca="1">IFERROR(__xludf.DUMMYFUNCTION("""COMPUTED_VALUE"""),"Cinema Paradiso")</f>
        <v>Cinema Paradiso</v>
      </c>
      <c r="E35" s="6" t="str">
        <f ca="1">IFERROR(__xludf.DUMMYFUNCTION("""COMPUTED_VALUE"""),"Drama")</f>
        <v>Drama</v>
      </c>
      <c r="F35" s="6"/>
      <c r="G35" s="6" t="str">
        <f ca="1">IFERROR(__xludf.DUMMYFUNCTION("""COMPUTED_VALUE"""),"Sunset Blvd.")</f>
        <v>Sunset Blvd.</v>
      </c>
      <c r="H35" s="6" t="str">
        <f ca="1">IFERROR(__xludf.DUMMYFUNCTION("""COMPUTED_VALUE"""),"Drama, Film-Noir")</f>
        <v>Drama, Film-Noir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6.8" x14ac:dyDescent="0.45">
      <c r="A36" s="6" t="str">
        <f ca="1">IFERROR(__xludf.DUMMYFUNCTION("""COMPUTED_VALUE"""),"Life Is Beautiful")</f>
        <v>Life Is Beautiful</v>
      </c>
      <c r="B36" s="6" t="str">
        <f ca="1">IFERROR(__xludf.DUMMYFUNCTION("""COMPUTED_VALUE"""),"Comedy, Drama, Romance")</f>
        <v>Comedy, Drama, Romance</v>
      </c>
      <c r="C36" s="6"/>
      <c r="D36" s="6" t="str">
        <f ca="1">IFERROR(__xludf.DUMMYFUNCTION("""COMPUTED_VALUE"""),"Capharnaüm")</f>
        <v>Capharnaüm</v>
      </c>
      <c r="E36" s="6" t="str">
        <f ca="1">IFERROR(__xludf.DUMMYFUNCTION("""COMPUTED_VALUE"""),"Drama")</f>
        <v>Drama</v>
      </c>
      <c r="F36" s="6"/>
      <c r="G36" s="6" t="str">
        <f ca="1">IFERROR(__xludf.DUMMYFUNCTION("""COMPUTED_VALUE"""),"1917")</f>
        <v>1917</v>
      </c>
      <c r="H36" s="6" t="str">
        <f ca="1">IFERROR(__xludf.DUMMYFUNCTION("""COMPUTED_VALUE"""),"Drama, War")</f>
        <v>Drama, War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6.8" x14ac:dyDescent="0.45">
      <c r="A37" s="6" t="str">
        <f ca="1">IFERROR(__xludf.DUMMYFUNCTION("""COMPUTED_VALUE"""),"Se7en")</f>
        <v>Se7en</v>
      </c>
      <c r="B37" s="6" t="str">
        <f ca="1">IFERROR(__xludf.DUMMYFUNCTION("""COMPUTED_VALUE"""),"Crime, Drama, Mystery")</f>
        <v>Crime, Drama, Mystery</v>
      </c>
      <c r="C37" s="6"/>
      <c r="D37" s="6" t="str">
        <f ca="1">IFERROR(__xludf.DUMMYFUNCTION("""COMPUTED_VALUE"""),"Dangal")</f>
        <v>Dangal</v>
      </c>
      <c r="E37" s="6" t="str">
        <f ca="1">IFERROR(__xludf.DUMMYFUNCTION("""COMPUTED_VALUE"""),"Action, Biography, Drama")</f>
        <v>Action, Biography, Drama</v>
      </c>
      <c r="F37" s="6"/>
      <c r="G37" s="6" t="str">
        <f ca="1">IFERROR(__xludf.DUMMYFUNCTION("""COMPUTED_VALUE"""),"Tumbbad")</f>
        <v>Tumbbad</v>
      </c>
      <c r="H37" s="6" t="str">
        <f ca="1">IFERROR(__xludf.DUMMYFUNCTION("""COMPUTED_VALUE"""),"Drama, Fantasy, Horror")</f>
        <v>Drama, Fantasy, Horror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6.8" x14ac:dyDescent="0.45">
      <c r="A38" s="6" t="str">
        <f ca="1">IFERROR(__xludf.DUMMYFUNCTION("""COMPUTED_VALUE"""),"The Silence of the Lambs")</f>
        <v>The Silence of the Lambs</v>
      </c>
      <c r="B38" s="6" t="str">
        <f ca="1">IFERROR(__xludf.DUMMYFUNCTION("""COMPUTED_VALUE"""),"Crime, Drama, Thriller")</f>
        <v>Crime, Drama, Thriller</v>
      </c>
      <c r="C38" s="6"/>
      <c r="D38" s="6" t="str">
        <f ca="1">IFERROR(__xludf.DUMMYFUNCTION("""COMPUTED_VALUE"""),"Avengers: Endgame")</f>
        <v>Avengers: Endgame</v>
      </c>
      <c r="E38" s="6" t="str">
        <f ca="1">IFERROR(__xludf.DUMMYFUNCTION("""COMPUTED_VALUE"""),"Action, Adventure, Drama")</f>
        <v>Action, Adventure, Drama</v>
      </c>
      <c r="F38" s="6"/>
      <c r="G38" s="6" t="str">
        <f ca="1">IFERROR(__xludf.DUMMYFUNCTION("""COMPUTED_VALUE"""),"The Hunt")</f>
        <v>The Hunt</v>
      </c>
      <c r="H38" s="6" t="str">
        <f ca="1">IFERROR(__xludf.DUMMYFUNCTION("""COMPUTED_VALUE"""),"Drama")</f>
        <v>Drama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6.8" x14ac:dyDescent="0.45">
      <c r="A39" s="6" t="str">
        <f ca="1">IFERROR(__xludf.DUMMYFUNCTION("""COMPUTED_VALUE"""),"Harakiri")</f>
        <v>Harakiri</v>
      </c>
      <c r="B39" s="6" t="str">
        <f ca="1">IFERROR(__xludf.DUMMYFUNCTION("""COMPUTED_VALUE"""),"Action, Drama, Mystery")</f>
        <v>Action, Drama, Mystery</v>
      </c>
      <c r="C39" s="6"/>
      <c r="D39" s="6" t="str">
        <f ca="1">IFERROR(__xludf.DUMMYFUNCTION("""COMPUTED_VALUE"""),"3 Idiots")</f>
        <v>3 Idiots</v>
      </c>
      <c r="E39" s="6" t="str">
        <f ca="1">IFERROR(__xludf.DUMMYFUNCTION("""COMPUTED_VALUE"""),"Comedy, Drama")</f>
        <v>Comedy, Drama</v>
      </c>
      <c r="F39" s="6"/>
      <c r="G39" s="6" t="str">
        <f ca="1">IFERROR(__xludf.DUMMYFUNCTION("""COMPUTED_VALUE"""),"A Separation")</f>
        <v>A Separation</v>
      </c>
      <c r="H39" s="6" t="str">
        <f ca="1">IFERROR(__xludf.DUMMYFUNCTION("""COMPUTED_VALUE"""),"Drama, Thriller")</f>
        <v>Drama, Thriller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6.8" x14ac:dyDescent="0.45">
      <c r="A40" s="6" t="str">
        <f ca="1">IFERROR(__xludf.DUMMYFUNCTION("""COMPUTED_VALUE"""),"Seven Samurai")</f>
        <v>Seven Samurai</v>
      </c>
      <c r="B40" s="6" t="str">
        <f ca="1">IFERROR(__xludf.DUMMYFUNCTION("""COMPUTED_VALUE"""),"Action, Adventure, Drama")</f>
        <v>Action, Adventure, Drama</v>
      </c>
      <c r="C40" s="6"/>
      <c r="D40" s="6" t="str">
        <f ca="1">IFERROR(__xludf.DUMMYFUNCTION("""COMPUTED_VALUE"""),"Once Upon a Time in America")</f>
        <v>Once Upon a Time in America</v>
      </c>
      <c r="E40" s="6" t="str">
        <f ca="1">IFERROR(__xludf.DUMMYFUNCTION("""COMPUTED_VALUE"""),"Crime, Drama")</f>
        <v>Crime, Drama</v>
      </c>
      <c r="F40" s="6"/>
      <c r="G40" s="6" t="str">
        <f ca="1">IFERROR(__xludf.DUMMYFUNCTION("""COMPUTED_VALUE"""),"Incendies")</f>
        <v>Incendies</v>
      </c>
      <c r="H40" s="6" t="str">
        <f ca="1">IFERROR(__xludf.DUMMYFUNCTION("""COMPUTED_VALUE"""),"Drama, Mystery, War")</f>
        <v>Drama, Mystery, War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6.8" x14ac:dyDescent="0.45">
      <c r="A41" s="6" t="str">
        <f ca="1">IFERROR(__xludf.DUMMYFUNCTION("""COMPUTED_VALUE"""),"It's a Wonderful Life")</f>
        <v>It's a Wonderful Life</v>
      </c>
      <c r="B41" s="6" t="str">
        <f ca="1">IFERROR(__xludf.DUMMYFUNCTION("""COMPUTED_VALUE"""),"Drama, Family, Fantasy")</f>
        <v>Drama, Family, Fantasy</v>
      </c>
      <c r="C41" s="6"/>
      <c r="D41" s="6" t="str">
        <f ca="1">IFERROR(__xludf.DUMMYFUNCTION("""COMPUTED_VALUE"""),"The Hunt")</f>
        <v>The Hunt</v>
      </c>
      <c r="E41" s="6" t="str">
        <f ca="1">IFERROR(__xludf.DUMMYFUNCTION("""COMPUTED_VALUE"""),"Drama")</f>
        <v>Drama</v>
      </c>
      <c r="F41" s="6"/>
      <c r="G41" s="6" t="str">
        <f ca="1">IFERROR(__xludf.DUMMYFUNCTION("""COMPUTED_VALUE"""),"Yedinci Kogustaki Mucize")</f>
        <v>Yedinci Kogustaki Mucize</v>
      </c>
      <c r="H41" s="6" t="str">
        <f ca="1">IFERROR(__xludf.DUMMYFUNCTION("""COMPUTED_VALUE"""),"Drama")</f>
        <v>Drama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6.8" x14ac:dyDescent="0.45">
      <c r="A42" s="6" t="str">
        <f ca="1">IFERROR(__xludf.DUMMYFUNCTION("""COMPUTED_VALUE"""),"Joker")</f>
        <v>Joker</v>
      </c>
      <c r="B42" s="6" t="str">
        <f ca="1">IFERROR(__xludf.DUMMYFUNCTION("""COMPUTED_VALUE"""),"Crime, Drama, Thriller")</f>
        <v>Crime, Drama, Thriller</v>
      </c>
      <c r="C42" s="6"/>
      <c r="D42" s="6" t="str">
        <f ca="1">IFERROR(__xludf.DUMMYFUNCTION("""COMPUTED_VALUE"""),"Yedinci Kogustaki Mucize")</f>
        <v>Yedinci Kogustaki Mucize</v>
      </c>
      <c r="E42" s="6" t="str">
        <f ca="1">IFERROR(__xludf.DUMMYFUNCTION("""COMPUTED_VALUE"""),"Drama")</f>
        <v>Drama</v>
      </c>
      <c r="F42" s="6"/>
      <c r="G42" s="6" t="str">
        <f ca="1">IFERROR(__xludf.DUMMYFUNCTION("""COMPUTED_VALUE"""),"Babam ve Oglum")</f>
        <v>Babam ve Oglum</v>
      </c>
      <c r="H42" s="6" t="str">
        <f ca="1">IFERROR(__xludf.DUMMYFUNCTION("""COMPUTED_VALUE"""),"Drama, Family")</f>
        <v>Drama, Family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6.8" x14ac:dyDescent="0.45">
      <c r="A43" s="6" t="str">
        <f ca="1">IFERROR(__xludf.DUMMYFUNCTION("""COMPUTED_VALUE"""),"Whiplash")</f>
        <v>Whiplash</v>
      </c>
      <c r="B43" s="6" t="str">
        <f ca="1">IFERROR(__xludf.DUMMYFUNCTION("""COMPUTED_VALUE"""),"Drama, Music")</f>
        <v>Drama, Music</v>
      </c>
      <c r="C43" s="6"/>
      <c r="D43" s="6" t="str">
        <f ca="1">IFERROR(__xludf.DUMMYFUNCTION("""COMPUTED_VALUE"""),"Requiem for a Dream")</f>
        <v>Requiem for a Dream</v>
      </c>
      <c r="E43" s="6" t="str">
        <f ca="1">IFERROR(__xludf.DUMMYFUNCTION("""COMPUTED_VALUE"""),"Drama")</f>
        <v>Drama</v>
      </c>
      <c r="F43" s="6"/>
      <c r="G43" s="6" t="str">
        <f ca="1">IFERROR(__xludf.DUMMYFUNCTION("""COMPUTED_VALUE"""),"Eternal Sunshine of the Spotless Mind")</f>
        <v>Eternal Sunshine of the Spotless Mind</v>
      </c>
      <c r="H43" s="6" t="str">
        <f ca="1">IFERROR(__xludf.DUMMYFUNCTION("""COMPUTED_VALUE"""),"Drama, Romance, Sci-Fi")</f>
        <v>Drama, Romance, Sci-Fi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6.8" x14ac:dyDescent="0.45">
      <c r="A44" s="6" t="str">
        <f ca="1">IFERROR(__xludf.DUMMYFUNCTION("""COMPUTED_VALUE"""),"The Intouchables")</f>
        <v>The Intouchables</v>
      </c>
      <c r="B44" s="6" t="str">
        <f ca="1">IFERROR(__xludf.DUMMYFUNCTION("""COMPUTED_VALUE"""),"Biography, Comedy, Drama")</f>
        <v>Biography, Comedy, Drama</v>
      </c>
      <c r="C44" s="6"/>
      <c r="D44" s="6" t="str">
        <f ca="1">IFERROR(__xludf.DUMMYFUNCTION("""COMPUTED_VALUE"""),"American Beauty")</f>
        <v>American Beauty</v>
      </c>
      <c r="E44" s="6" t="str">
        <f ca="1">IFERROR(__xludf.DUMMYFUNCTION("""COMPUTED_VALUE"""),"Drama")</f>
        <v>Drama</v>
      </c>
      <c r="F44" s="6"/>
      <c r="G44" s="6" t="str">
        <f ca="1">IFERROR(__xludf.DUMMYFUNCTION("""COMPUTED_VALUE"""),"Requiem for a Dream")</f>
        <v>Requiem for a Dream</v>
      </c>
      <c r="H44" s="6" t="str">
        <f ca="1">IFERROR(__xludf.DUMMYFUNCTION("""COMPUTED_VALUE"""),"Drama")</f>
        <v>Drama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6.8" x14ac:dyDescent="0.45">
      <c r="A45" s="6" t="str">
        <f ca="1">IFERROR(__xludf.DUMMYFUNCTION("""COMPUTED_VALUE"""),"The Prestige")</f>
        <v>The Prestige</v>
      </c>
      <c r="B45" s="6" t="str">
        <f ca="1">IFERROR(__xludf.DUMMYFUNCTION("""COMPUTED_VALUE"""),"Drama, Mystery, Sci-Fi")</f>
        <v>Drama, Mystery, Sci-Fi</v>
      </c>
      <c r="C45" s="6"/>
      <c r="D45" s="6"/>
      <c r="E45" s="6"/>
      <c r="F45" s="6"/>
      <c r="G45" s="6" t="str">
        <f ca="1">IFERROR(__xludf.DUMMYFUNCTION("""COMPUTED_VALUE"""),"American Beauty")</f>
        <v>American Beauty</v>
      </c>
      <c r="H45" s="6" t="str">
        <f ca="1">IFERROR(__xludf.DUMMYFUNCTION("""COMPUTED_VALUE"""),"Drama")</f>
        <v>Drama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6.8" x14ac:dyDescent="0.45">
      <c r="A46" s="6" t="str">
        <f ca="1">IFERROR(__xludf.DUMMYFUNCTION("""COMPUTED_VALUE"""),"The Departed")</f>
        <v>The Departed</v>
      </c>
      <c r="B46" s="6" t="str">
        <f ca="1">IFERROR(__xludf.DUMMYFUNCTION("""COMPUTED_VALUE"""),"Crime, Drama, Thriller")</f>
        <v>Crime, Drama, Thriller</v>
      </c>
      <c r="C46" s="6"/>
      <c r="D46" s="6"/>
      <c r="E46" s="6"/>
      <c r="F46" s="6"/>
      <c r="G46" s="6" t="str">
        <f ca="1">IFERROR(__xludf.DUMMYFUNCTION("""COMPUTED_VALUE"""),"Good Will Hunting")</f>
        <v>Good Will Hunting</v>
      </c>
      <c r="H46" s="6" t="str">
        <f ca="1">IFERROR(__xludf.DUMMYFUNCTION("""COMPUTED_VALUE"""),"Drama, Romance")</f>
        <v>Drama, Romance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6.8" x14ac:dyDescent="0.45">
      <c r="A47" s="6" t="str">
        <f ca="1">IFERROR(__xludf.DUMMYFUNCTION("""COMPUTED_VALUE"""),"The Pianist")</f>
        <v>The Pianist</v>
      </c>
      <c r="B47" s="6" t="str">
        <f ca="1">IFERROR(__xludf.DUMMYFUNCTION("""COMPUTED_VALUE"""),"Biography, Drama, Music")</f>
        <v>Biography, Drama, Music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6.8" x14ac:dyDescent="0.45">
      <c r="A48" s="6" t="str">
        <f ca="1">IFERROR(__xludf.DUMMYFUNCTION("""COMPUTED_VALUE"""),"Gladiator")</f>
        <v>Gladiator</v>
      </c>
      <c r="B48" s="6" t="str">
        <f ca="1">IFERROR(__xludf.DUMMYFUNCTION("""COMPUTED_VALUE"""),"Action, Adventure, Drama")</f>
        <v>Action, Adventure, Drama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6.8" x14ac:dyDescent="0.45">
      <c r="A49" s="6" t="str">
        <f ca="1">IFERROR(__xludf.DUMMYFUNCTION("""COMPUTED_VALUE"""),"American History X")</f>
        <v>American History X</v>
      </c>
      <c r="B49" s="6" t="str">
        <f ca="1">IFERROR(__xludf.DUMMYFUNCTION("""COMPUTED_VALUE"""),"Drama")</f>
        <v>Drama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6.8" x14ac:dyDescent="0.45">
      <c r="A50" s="6" t="str">
        <f ca="1">IFERROR(__xludf.DUMMYFUNCTION("""COMPUTED_VALUE"""),"Léon: The Professional")</f>
        <v>Léon: The Professional</v>
      </c>
      <c r="B50" s="6" t="str">
        <f ca="1">IFERROR(__xludf.DUMMYFUNCTION("""COMPUTED_VALUE"""),"Action, Crime, Drama")</f>
        <v>Action, Crime, Drama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6.8" x14ac:dyDescent="0.45">
      <c r="A51" s="6" t="str">
        <f ca="1">IFERROR(__xludf.DUMMYFUNCTION("""COMPUTED_VALUE"""),"The Lion King")</f>
        <v>The Lion King</v>
      </c>
      <c r="B51" s="6" t="str">
        <f ca="1">IFERROR(__xludf.DUMMYFUNCTION("""COMPUTED_VALUE"""),"Animation, Adventure, Drama")</f>
        <v>Animation, Adventure, Drama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6.8" x14ac:dyDescent="0.45">
      <c r="A52" s="6" t="str">
        <f ca="1">IFERROR(__xludf.DUMMYFUNCTION("""COMPUTED_VALUE"""),"Cinema Paradiso")</f>
        <v>Cinema Paradiso</v>
      </c>
      <c r="B52" s="6" t="str">
        <f ca="1">IFERROR(__xludf.DUMMYFUNCTION("""COMPUTED_VALUE"""),"Drama")</f>
        <v>Drama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6.8" x14ac:dyDescent="0.45">
      <c r="A53" s="6" t="str">
        <f ca="1">IFERROR(__xludf.DUMMYFUNCTION("""COMPUTED_VALUE"""),"Grave of the Fireflies")</f>
        <v>Grave of the Fireflies</v>
      </c>
      <c r="B53" s="6" t="str">
        <f ca="1">IFERROR(__xludf.DUMMYFUNCTION("""COMPUTED_VALUE"""),"Animation, Drama, War")</f>
        <v>Animation, Drama, War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6.8" x14ac:dyDescent="0.45">
      <c r="A54" s="6" t="str">
        <f ca="1">IFERROR(__xludf.DUMMYFUNCTION("""COMPUTED_VALUE"""),"Anand")</f>
        <v>Anand</v>
      </c>
      <c r="B54" s="6" t="str">
        <f ca="1">IFERROR(__xludf.DUMMYFUNCTION("""COMPUTED_VALUE"""),"Drama, Musical")</f>
        <v>Drama, Musical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6.8" x14ac:dyDescent="0.45">
      <c r="A55" s="6" t="str">
        <f ca="1">IFERROR(__xludf.DUMMYFUNCTION("""COMPUTED_VALUE"""),"Casablanca")</f>
        <v>Casablanca</v>
      </c>
      <c r="B55" s="6" t="str">
        <f ca="1">IFERROR(__xludf.DUMMYFUNCTION("""COMPUTED_VALUE"""),"Drama, Romance, War")</f>
        <v>Drama, Romance, War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6.8" x14ac:dyDescent="0.45">
      <c r="A56" s="6" t="str">
        <f ca="1">IFERROR(__xludf.DUMMYFUNCTION("""COMPUTED_VALUE"""),"Modern Times")</f>
        <v>Modern Times</v>
      </c>
      <c r="B56" s="6" t="str">
        <f ca="1">IFERROR(__xludf.DUMMYFUNCTION("""COMPUTED_VALUE"""),"Comedy, Drama, Family")</f>
        <v>Comedy, Drama, Family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6.8" x14ac:dyDescent="0.45">
      <c r="A57" s="6" t="str">
        <f ca="1">IFERROR(__xludf.DUMMYFUNCTION("""COMPUTED_VALUE"""),"City Lights")</f>
        <v>City Lights</v>
      </c>
      <c r="B57" s="6" t="str">
        <f ca="1">IFERROR(__xludf.DUMMYFUNCTION("""COMPUTED_VALUE"""),"Comedy, Drama, Romance")</f>
        <v>Comedy, Drama, Romance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6.8" x14ac:dyDescent="0.45">
      <c r="A58" s="6" t="str">
        <f ca="1">IFERROR(__xludf.DUMMYFUNCTION("""COMPUTED_VALUE"""),"Capharnaüm")</f>
        <v>Capharnaüm</v>
      </c>
      <c r="B58" s="6" t="str">
        <f ca="1">IFERROR(__xludf.DUMMYFUNCTION("""COMPUTED_VALUE"""),"Drama")</f>
        <v>Drama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6.8" x14ac:dyDescent="0.45">
      <c r="A59" s="6" t="str">
        <f ca="1">IFERROR(__xludf.DUMMYFUNCTION("""COMPUTED_VALUE"""),"Ayla: The Daughter of War")</f>
        <v>Ayla: The Daughter of War</v>
      </c>
      <c r="B59" s="6" t="str">
        <f ca="1">IFERROR(__xludf.DUMMYFUNCTION("""COMPUTED_VALUE"""),"Biography, Drama, History")</f>
        <v>Biography, Drama, History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6.8" x14ac:dyDescent="0.45">
      <c r="A60" s="6" t="str">
        <f ca="1">IFERROR(__xludf.DUMMYFUNCTION("""COMPUTED_VALUE"""),"Your Name.")</f>
        <v>Your Name.</v>
      </c>
      <c r="B60" s="6" t="str">
        <f ca="1">IFERROR(__xludf.DUMMYFUNCTION("""COMPUTED_VALUE"""),"Animation, Drama, Fantasy")</f>
        <v>Animation, Drama, Fantasy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6.8" x14ac:dyDescent="0.45">
      <c r="A61" s="6" t="str">
        <f ca="1">IFERROR(__xludf.DUMMYFUNCTION("""COMPUTED_VALUE"""),"Dangal")</f>
        <v>Dangal</v>
      </c>
      <c r="B61" s="6" t="str">
        <f ca="1">IFERROR(__xludf.DUMMYFUNCTION("""COMPUTED_VALUE"""),"Action, Biography, Drama")</f>
        <v>Action, Biography, Drama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6.8" x14ac:dyDescent="0.45">
      <c r="A62" s="6" t="str">
        <f ca="1">IFERROR(__xludf.DUMMYFUNCTION("""COMPUTED_VALUE"""),"Avengers: Endgame")</f>
        <v>Avengers: Endgame</v>
      </c>
      <c r="B62" s="6" t="str">
        <f ca="1">IFERROR(__xludf.DUMMYFUNCTION("""COMPUTED_VALUE"""),"Action, Adventure, Drama")</f>
        <v>Action, Adventure, Drama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6.8" x14ac:dyDescent="0.45">
      <c r="A63" s="6" t="str">
        <f ca="1">IFERROR(__xludf.DUMMYFUNCTION("""COMPUTED_VALUE"""),"Django Unchained")</f>
        <v>Django Unchained</v>
      </c>
      <c r="B63" s="6" t="str">
        <f ca="1">IFERROR(__xludf.DUMMYFUNCTION("""COMPUTED_VALUE"""),"Drama, Western")</f>
        <v>Drama, Western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6.8" x14ac:dyDescent="0.45">
      <c r="A64" s="6" t="str">
        <f ca="1">IFERROR(__xludf.DUMMYFUNCTION("""COMPUTED_VALUE"""),"3 Idiots")</f>
        <v>3 Idiots</v>
      </c>
      <c r="B64" s="6" t="str">
        <f ca="1">IFERROR(__xludf.DUMMYFUNCTION("""COMPUTED_VALUE"""),"Comedy, Drama")</f>
        <v>Comedy, Drama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6.8" x14ac:dyDescent="0.45">
      <c r="A65" s="6" t="str">
        <f ca="1">IFERROR(__xludf.DUMMYFUNCTION("""COMPUTED_VALUE"""),"Taare Zameen Par")</f>
        <v>Taare Zameen Par</v>
      </c>
      <c r="B65" s="6" t="str">
        <f ca="1">IFERROR(__xludf.DUMMYFUNCTION("""COMPUTED_VALUE"""),"Drama, Family")</f>
        <v>Drama, Family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6.8" x14ac:dyDescent="0.45">
      <c r="A66" s="6" t="str">
        <f ca="1">IFERROR(__xludf.DUMMYFUNCTION("""COMPUTED_VALUE"""),"The Lives of Others")</f>
        <v>The Lives of Others</v>
      </c>
      <c r="B66" s="6" t="str">
        <f ca="1">IFERROR(__xludf.DUMMYFUNCTION("""COMPUTED_VALUE"""),"Drama, Mystery, Thriller")</f>
        <v>Drama, Mystery, Thriller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6.8" x14ac:dyDescent="0.45">
      <c r="A67" s="6" t="str">
        <f ca="1">IFERROR(__xludf.DUMMYFUNCTION("""COMPUTED_VALUE"""),"Oldboy")</f>
        <v>Oldboy</v>
      </c>
      <c r="B67" s="6" t="str">
        <f ca="1">IFERROR(__xludf.DUMMYFUNCTION("""COMPUTED_VALUE"""),"Action, Drama, Mystery")</f>
        <v>Action, Drama, Mystery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6.8" x14ac:dyDescent="0.45">
      <c r="A68" s="6" t="str">
        <f ca="1">IFERROR(__xludf.DUMMYFUNCTION("""COMPUTED_VALUE"""),"Once Upon a Time in America")</f>
        <v>Once Upon a Time in America</v>
      </c>
      <c r="B68" s="6" t="str">
        <f ca="1">IFERROR(__xludf.DUMMYFUNCTION("""COMPUTED_VALUE"""),"Crime, Drama")</f>
        <v>Crime, Drama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6.8" x14ac:dyDescent="0.45">
      <c r="A69" s="6" t="str">
        <f ca="1">IFERROR(__xludf.DUMMYFUNCTION("""COMPUTED_VALUE"""),"The Shining")</f>
        <v>The Shining</v>
      </c>
      <c r="B69" s="6" t="str">
        <f ca="1">IFERROR(__xludf.DUMMYFUNCTION("""COMPUTED_VALUE"""),"Drama, Horror")</f>
        <v>Drama, Horror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6.8" x14ac:dyDescent="0.45">
      <c r="A70" s="6" t="str">
        <f ca="1">IFERROR(__xludf.DUMMYFUNCTION("""COMPUTED_VALUE"""),"Apocalypse Now")</f>
        <v>Apocalypse Now</v>
      </c>
      <c r="B70" s="6" t="str">
        <f ca="1">IFERROR(__xludf.DUMMYFUNCTION("""COMPUTED_VALUE"""),"Drama, Mystery, War")</f>
        <v>Drama, Mystery, War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6.8" x14ac:dyDescent="0.45">
      <c r="A71" s="6" t="str">
        <f ca="1">IFERROR(__xludf.DUMMYFUNCTION("""COMPUTED_VALUE"""),"High and Low")</f>
        <v>High and Low</v>
      </c>
      <c r="B71" s="6" t="str">
        <f ca="1">IFERROR(__xludf.DUMMYFUNCTION("""COMPUTED_VALUE"""),"Crime, Drama, Mystery")</f>
        <v>Crime, Drama, Mystery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6.8" x14ac:dyDescent="0.45">
      <c r="A72" s="6" t="str">
        <f ca="1">IFERROR(__xludf.DUMMYFUNCTION("""COMPUTED_VALUE"""),"Witness for the Prosecution")</f>
        <v>Witness for the Prosecution</v>
      </c>
      <c r="B72" s="6" t="str">
        <f ca="1">IFERROR(__xludf.DUMMYFUNCTION("""COMPUTED_VALUE"""),"Crime, Drama, Mystery")</f>
        <v>Crime, Drama, Mystery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6.8" x14ac:dyDescent="0.45">
      <c r="A73" s="6" t="str">
        <f ca="1">IFERROR(__xludf.DUMMYFUNCTION("""COMPUTED_VALUE"""),"Paths of Glory")</f>
        <v>Paths of Glory</v>
      </c>
      <c r="B73" s="6" t="str">
        <f ca="1">IFERROR(__xludf.DUMMYFUNCTION("""COMPUTED_VALUE"""),"Drama, War")</f>
        <v>Drama, War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6.8" x14ac:dyDescent="0.45">
      <c r="A74" s="6" t="str">
        <f ca="1">IFERROR(__xludf.DUMMYFUNCTION("""COMPUTED_VALUE"""),"Sunset Blvd.")</f>
        <v>Sunset Blvd.</v>
      </c>
      <c r="B74" s="6" t="str">
        <f ca="1">IFERROR(__xludf.DUMMYFUNCTION("""COMPUTED_VALUE"""),"Drama, Film-Noir")</f>
        <v>Drama, Film-Noir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6.8" x14ac:dyDescent="0.45">
      <c r="A75" s="6" t="str">
        <f ca="1">IFERROR(__xludf.DUMMYFUNCTION("""COMPUTED_VALUE"""),"The Great Dictator")</f>
        <v>The Great Dictator</v>
      </c>
      <c r="B75" s="6" t="str">
        <f ca="1">IFERROR(__xludf.DUMMYFUNCTION("""COMPUTED_VALUE"""),"Comedy, Drama, War")</f>
        <v>Comedy, Drama, War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6.8" x14ac:dyDescent="0.45">
      <c r="A76" s="6" t="str">
        <f ca="1">IFERROR(__xludf.DUMMYFUNCTION("""COMPUTED_VALUE"""),"1917")</f>
        <v>1917</v>
      </c>
      <c r="B76" s="6" t="str">
        <f ca="1">IFERROR(__xludf.DUMMYFUNCTION("""COMPUTED_VALUE"""),"Drama, War")</f>
        <v>Drama, War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6.8" x14ac:dyDescent="0.45">
      <c r="A77" s="6" t="str">
        <f ca="1">IFERROR(__xludf.DUMMYFUNCTION("""COMPUTED_VALUE"""),"Uri: The Surgical Strike")</f>
        <v>Uri: The Surgical Strike</v>
      </c>
      <c r="B77" s="6" t="str">
        <f ca="1">IFERROR(__xludf.DUMMYFUNCTION("""COMPUTED_VALUE"""),"Action, Drama, War")</f>
        <v>Action, Drama, War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6.8" x14ac:dyDescent="0.45">
      <c r="A78" s="6" t="str">
        <f ca="1">IFERROR(__xludf.DUMMYFUNCTION("""COMPUTED_VALUE"""),"Tumbbad")</f>
        <v>Tumbbad</v>
      </c>
      <c r="B78" s="6" t="str">
        <f ca="1">IFERROR(__xludf.DUMMYFUNCTION("""COMPUTED_VALUE"""),"Drama, Fantasy, Horror")</f>
        <v>Drama, Fantasy, Horror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6.8" x14ac:dyDescent="0.45">
      <c r="A79" s="6" t="str">
        <f ca="1">IFERROR(__xludf.DUMMYFUNCTION("""COMPUTED_VALUE"""),"Drishyam")</f>
        <v>Drishyam</v>
      </c>
      <c r="B79" s="6" t="str">
        <f ca="1">IFERROR(__xludf.DUMMYFUNCTION("""COMPUTED_VALUE"""),"Crime, Drama, Thriller")</f>
        <v>Crime, Drama, Thriller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6.8" x14ac:dyDescent="0.45">
      <c r="A80" s="6" t="str">
        <f ca="1">IFERROR(__xludf.DUMMYFUNCTION("""COMPUTED_VALUE"""),"The Hunt")</f>
        <v>The Hunt</v>
      </c>
      <c r="B80" s="6" t="str">
        <f ca="1">IFERROR(__xludf.DUMMYFUNCTION("""COMPUTED_VALUE"""),"Drama")</f>
        <v>Drama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6.8" x14ac:dyDescent="0.45">
      <c r="A81" s="6" t="str">
        <f ca="1">IFERROR(__xludf.DUMMYFUNCTION("""COMPUTED_VALUE"""),"A Separation")</f>
        <v>A Separation</v>
      </c>
      <c r="B81" s="6" t="str">
        <f ca="1">IFERROR(__xludf.DUMMYFUNCTION("""COMPUTED_VALUE"""),"Drama, Thriller")</f>
        <v>Drama, Thriller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6.8" x14ac:dyDescent="0.45">
      <c r="A82" s="6" t="str">
        <f ca="1">IFERROR(__xludf.DUMMYFUNCTION("""COMPUTED_VALUE"""),"Incendies")</f>
        <v>Incendies</v>
      </c>
      <c r="B82" s="6" t="str">
        <f ca="1">IFERROR(__xludf.DUMMYFUNCTION("""COMPUTED_VALUE"""),"Drama, Mystery, War")</f>
        <v>Drama, Mystery, War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6.8" x14ac:dyDescent="0.45">
      <c r="A83" s="6" t="str">
        <f ca="1">IFERROR(__xludf.DUMMYFUNCTION("""COMPUTED_VALUE"""),"Yedinci Kogustaki Mucize")</f>
        <v>Yedinci Kogustaki Mucize</v>
      </c>
      <c r="B83" s="6" t="str">
        <f ca="1">IFERROR(__xludf.DUMMYFUNCTION("""COMPUTED_VALUE"""),"Drama")</f>
        <v>Drama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6.8" x14ac:dyDescent="0.45">
      <c r="A84" s="6" t="str">
        <f ca="1">IFERROR(__xludf.DUMMYFUNCTION("""COMPUTED_VALUE"""),"Babam ve Oglum")</f>
        <v>Babam ve Oglum</v>
      </c>
      <c r="B84" s="6" t="str">
        <f ca="1">IFERROR(__xludf.DUMMYFUNCTION("""COMPUTED_VALUE"""),"Drama, Family")</f>
        <v>Drama, Family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6.8" x14ac:dyDescent="0.45">
      <c r="A85" s="6" t="str">
        <f ca="1">IFERROR(__xludf.DUMMYFUNCTION("""COMPUTED_VALUE"""),"Inglourious Basterds")</f>
        <v>Inglourious Basterds</v>
      </c>
      <c r="B85" s="6" t="str">
        <f ca="1">IFERROR(__xludf.DUMMYFUNCTION("""COMPUTED_VALUE"""),"Adventure, Drama, War")</f>
        <v>Adventure, Drama, War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6.8" x14ac:dyDescent="0.45">
      <c r="A86" s="6" t="str">
        <f ca="1">IFERROR(__xludf.DUMMYFUNCTION("""COMPUTED_VALUE"""),"Eternal Sunshine of the Spotless Mind")</f>
        <v>Eternal Sunshine of the Spotless Mind</v>
      </c>
      <c r="B86" s="6" t="str">
        <f ca="1">IFERROR(__xludf.DUMMYFUNCTION("""COMPUTED_VALUE"""),"Drama, Romance, Sci-Fi")</f>
        <v>Drama, Romance, Sci-Fi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6.8" x14ac:dyDescent="0.45">
      <c r="A87" s="6" t="str">
        <f ca="1">IFERROR(__xludf.DUMMYFUNCTION("""COMPUTED_VALUE"""),"Requiem for a Dream")</f>
        <v>Requiem for a Dream</v>
      </c>
      <c r="B87" s="6" t="str">
        <f ca="1">IFERROR(__xludf.DUMMYFUNCTION("""COMPUTED_VALUE"""),"Drama")</f>
        <v>Drama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6.8" x14ac:dyDescent="0.45">
      <c r="A88" s="6" t="str">
        <f ca="1">IFERROR(__xludf.DUMMYFUNCTION("""COMPUTED_VALUE"""),"American Beauty")</f>
        <v>American Beauty</v>
      </c>
      <c r="B88" s="6" t="str">
        <f ca="1">IFERROR(__xludf.DUMMYFUNCTION("""COMPUTED_VALUE"""),"Drama")</f>
        <v>Drama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6.8" x14ac:dyDescent="0.45">
      <c r="A89" s="6" t="str">
        <f ca="1">IFERROR(__xludf.DUMMYFUNCTION("""COMPUTED_VALUE"""),"Good Will Hunting")</f>
        <v>Good Will Hunting</v>
      </c>
      <c r="B89" s="6" t="str">
        <f ca="1">IFERROR(__xludf.DUMMYFUNCTION("""COMPUTED_VALUE"""),"Drama, Romance")</f>
        <v>Drama, Romance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6.8" x14ac:dyDescent="0.4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6.8" x14ac:dyDescent="0.4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6.8" x14ac:dyDescent="0.4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6.8" x14ac:dyDescent="0.4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6.8" x14ac:dyDescent="0.4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6.8" x14ac:dyDescent="0.4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6.8" x14ac:dyDescent="0.4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6.8" x14ac:dyDescent="0.4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6.8" x14ac:dyDescent="0.4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6.8" x14ac:dyDescent="0.4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6.8" x14ac:dyDescent="0.4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6.8" x14ac:dyDescent="0.4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6.8" x14ac:dyDescent="0.4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6.8" x14ac:dyDescent="0.4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6.8" x14ac:dyDescent="0.4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6.8" x14ac:dyDescent="0.4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6.8" x14ac:dyDescent="0.4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6.8" x14ac:dyDescent="0.4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6.8" x14ac:dyDescent="0.4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6.8" x14ac:dyDescent="0.4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6.8" x14ac:dyDescent="0.4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6.8" x14ac:dyDescent="0.4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6.8" x14ac:dyDescent="0.4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6.8" x14ac:dyDescent="0.4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6.8" x14ac:dyDescent="0.4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6.8" x14ac:dyDescent="0.4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6.8" x14ac:dyDescent="0.4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6.8" x14ac:dyDescent="0.4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6.8" x14ac:dyDescent="0.4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6.8" x14ac:dyDescent="0.4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6.8" x14ac:dyDescent="0.4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6.8" x14ac:dyDescent="0.4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6.8" x14ac:dyDescent="0.4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6.8" x14ac:dyDescent="0.4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6.8" x14ac:dyDescent="0.4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6.8" x14ac:dyDescent="0.4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6.8" x14ac:dyDescent="0.4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6.8" x14ac:dyDescent="0.4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6.8" x14ac:dyDescent="0.4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6.8" x14ac:dyDescent="0.4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6.8" x14ac:dyDescent="0.4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6.8" x14ac:dyDescent="0.4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6.8" x14ac:dyDescent="0.4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6.8" x14ac:dyDescent="0.4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6.8" x14ac:dyDescent="0.4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6.8" x14ac:dyDescent="0.4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6.8" x14ac:dyDescent="0.4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6.8" x14ac:dyDescent="0.4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6.8" x14ac:dyDescent="0.4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6.8" x14ac:dyDescent="0.4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6.8" x14ac:dyDescent="0.4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6.8" x14ac:dyDescent="0.4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6.8" x14ac:dyDescent="0.4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6.8" x14ac:dyDescent="0.4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6.8" x14ac:dyDescent="0.4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6.8" x14ac:dyDescent="0.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6.8" x14ac:dyDescent="0.4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6.8" x14ac:dyDescent="0.4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6.8" x14ac:dyDescent="0.4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6.8" x14ac:dyDescent="0.4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6.8" x14ac:dyDescent="0.4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6.8" x14ac:dyDescent="0.4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6.8" x14ac:dyDescent="0.4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6.8" x14ac:dyDescent="0.4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6.8" x14ac:dyDescent="0.4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6.8" x14ac:dyDescent="0.4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6.8" x14ac:dyDescent="0.4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6.8" x14ac:dyDescent="0.4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6.8" x14ac:dyDescent="0.4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6.8" x14ac:dyDescent="0.4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6.8" x14ac:dyDescent="0.4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6.8" x14ac:dyDescent="0.4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6.8" x14ac:dyDescent="0.4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6.8" x14ac:dyDescent="0.4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6.8" x14ac:dyDescent="0.4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6.8" x14ac:dyDescent="0.4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6.8" x14ac:dyDescent="0.4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6.8" x14ac:dyDescent="0.4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6.8" x14ac:dyDescent="0.4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6.8" x14ac:dyDescent="0.4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6.8" x14ac:dyDescent="0.4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6.8" x14ac:dyDescent="0.4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6.8" x14ac:dyDescent="0.4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6.8" x14ac:dyDescent="0.4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6.8" x14ac:dyDescent="0.4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6.8" x14ac:dyDescent="0.4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6.8" x14ac:dyDescent="0.4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6.8" x14ac:dyDescent="0.4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6.8" x14ac:dyDescent="0.4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6.8" x14ac:dyDescent="0.4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6.8" x14ac:dyDescent="0.4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6.8" x14ac:dyDescent="0.4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6.8" x14ac:dyDescent="0.4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6.8" x14ac:dyDescent="0.4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6.8" x14ac:dyDescent="0.4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6.8" x14ac:dyDescent="0.4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6.8" x14ac:dyDescent="0.4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6.8" x14ac:dyDescent="0.4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6.8" x14ac:dyDescent="0.4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6.8" x14ac:dyDescent="0.4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6.8" x14ac:dyDescent="0.4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6.8" x14ac:dyDescent="0.4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6.8" x14ac:dyDescent="0.4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6.8" x14ac:dyDescent="0.4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6.8" x14ac:dyDescent="0.4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6.8" x14ac:dyDescent="0.4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6.8" x14ac:dyDescent="0.4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6.8" x14ac:dyDescent="0.4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6.8" x14ac:dyDescent="0.4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6.8" x14ac:dyDescent="0.4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6.8" x14ac:dyDescent="0.4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6.8" x14ac:dyDescent="0.4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6.8" x14ac:dyDescent="0.4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6.8" x14ac:dyDescent="0.4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6.8" x14ac:dyDescent="0.4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6.8" x14ac:dyDescent="0.4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6.8" x14ac:dyDescent="0.4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6.8" x14ac:dyDescent="0.4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6.8" x14ac:dyDescent="0.4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6.8" x14ac:dyDescent="0.4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6.8" x14ac:dyDescent="0.4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6.8" x14ac:dyDescent="0.4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6.8" x14ac:dyDescent="0.4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6.8" x14ac:dyDescent="0.4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6.8" x14ac:dyDescent="0.4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6.8" x14ac:dyDescent="0.4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6.8" x14ac:dyDescent="0.4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6.8" x14ac:dyDescent="0.4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6.8" x14ac:dyDescent="0.4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6.8" x14ac:dyDescent="0.4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6.8" x14ac:dyDescent="0.4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6.8" x14ac:dyDescent="0.4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6.8" x14ac:dyDescent="0.4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6.8" x14ac:dyDescent="0.4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6.8" x14ac:dyDescent="0.4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6.8" x14ac:dyDescent="0.4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6.8" x14ac:dyDescent="0.4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6.8" x14ac:dyDescent="0.4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6.8" x14ac:dyDescent="0.4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6.8" x14ac:dyDescent="0.4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6.8" x14ac:dyDescent="0.4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6.8" x14ac:dyDescent="0.4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6.8" x14ac:dyDescent="0.4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6.8" x14ac:dyDescent="0.4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6.8" x14ac:dyDescent="0.4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6.8" x14ac:dyDescent="0.4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6.8" x14ac:dyDescent="0.4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6.8" x14ac:dyDescent="0.4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6.8" x14ac:dyDescent="0.4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6.8" x14ac:dyDescent="0.4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6.8" x14ac:dyDescent="0.4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6.8" x14ac:dyDescent="0.4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6.8" x14ac:dyDescent="0.4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6.8" x14ac:dyDescent="0.4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6.8" x14ac:dyDescent="0.4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6.8" x14ac:dyDescent="0.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6.8" x14ac:dyDescent="0.4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6.8" x14ac:dyDescent="0.4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6.8" x14ac:dyDescent="0.4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6.8" x14ac:dyDescent="0.4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6.8" x14ac:dyDescent="0.4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6.8" x14ac:dyDescent="0.4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6.8" x14ac:dyDescent="0.4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6.8" x14ac:dyDescent="0.4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6.8" x14ac:dyDescent="0.4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6.8" x14ac:dyDescent="0.4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6.8" x14ac:dyDescent="0.4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6.8" x14ac:dyDescent="0.4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6.8" x14ac:dyDescent="0.4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6.8" x14ac:dyDescent="0.4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6.8" x14ac:dyDescent="0.4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6.8" x14ac:dyDescent="0.4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6.8" x14ac:dyDescent="0.4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6.8" x14ac:dyDescent="0.4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6.8" x14ac:dyDescent="0.4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6.8" x14ac:dyDescent="0.4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6.8" x14ac:dyDescent="0.4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6.8" x14ac:dyDescent="0.4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6.8" x14ac:dyDescent="0.4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6.8" x14ac:dyDescent="0.4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6.8" x14ac:dyDescent="0.4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6.8" x14ac:dyDescent="0.4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6.8" x14ac:dyDescent="0.4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6.8" x14ac:dyDescent="0.4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6.8" x14ac:dyDescent="0.4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6.8" x14ac:dyDescent="0.4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6.8" x14ac:dyDescent="0.4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6.8" x14ac:dyDescent="0.4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6.8" x14ac:dyDescent="0.4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6.8" x14ac:dyDescent="0.4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6.8" x14ac:dyDescent="0.4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6.8" x14ac:dyDescent="0.4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6.8" x14ac:dyDescent="0.4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6.8" x14ac:dyDescent="0.4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6.8" x14ac:dyDescent="0.4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6.8" x14ac:dyDescent="0.4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6.8" x14ac:dyDescent="0.4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6.8" x14ac:dyDescent="0.4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6.8" x14ac:dyDescent="0.4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6.8" x14ac:dyDescent="0.4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6.8" x14ac:dyDescent="0.4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6.8" x14ac:dyDescent="0.4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6.8" x14ac:dyDescent="0.4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6.8" x14ac:dyDescent="0.4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6.8" x14ac:dyDescent="0.4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6.8" x14ac:dyDescent="0.4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6.8" x14ac:dyDescent="0.4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6.8" x14ac:dyDescent="0.4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6.8" x14ac:dyDescent="0.4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6.8" x14ac:dyDescent="0.4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6.8" x14ac:dyDescent="0.4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6.8" x14ac:dyDescent="0.4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6.8" x14ac:dyDescent="0.4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6.8" x14ac:dyDescent="0.4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6.8" x14ac:dyDescent="0.4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6.8" x14ac:dyDescent="0.4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6.8" x14ac:dyDescent="0.4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6.8" x14ac:dyDescent="0.4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6.8" x14ac:dyDescent="0.4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6.8" x14ac:dyDescent="0.4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6.8" x14ac:dyDescent="0.4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6.8" x14ac:dyDescent="0.4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6.8" x14ac:dyDescent="0.4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6.8" x14ac:dyDescent="0.4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6.8" x14ac:dyDescent="0.4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6.8" x14ac:dyDescent="0.4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6.8" x14ac:dyDescent="0.4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6.8" x14ac:dyDescent="0.4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6.8" x14ac:dyDescent="0.4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6.8" x14ac:dyDescent="0.4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6.8" x14ac:dyDescent="0.4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6.8" x14ac:dyDescent="0.4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6.8" x14ac:dyDescent="0.4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6.8" x14ac:dyDescent="0.4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6.8" x14ac:dyDescent="0.4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6.8" x14ac:dyDescent="0.4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6.8" x14ac:dyDescent="0.4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6.8" x14ac:dyDescent="0.4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6.8" x14ac:dyDescent="0.4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6.8" x14ac:dyDescent="0.4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6.8" x14ac:dyDescent="0.4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6.8" x14ac:dyDescent="0.4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6.8" x14ac:dyDescent="0.4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6.8" x14ac:dyDescent="0.4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6.8" x14ac:dyDescent="0.4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6.8" x14ac:dyDescent="0.4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6.8" x14ac:dyDescent="0.4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6.8" x14ac:dyDescent="0.4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6.8" x14ac:dyDescent="0.4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6.8" x14ac:dyDescent="0.4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6.8" x14ac:dyDescent="0.4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6.8" x14ac:dyDescent="0.4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6.8" x14ac:dyDescent="0.4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6.8" x14ac:dyDescent="0.4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6.8" x14ac:dyDescent="0.4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6.8" x14ac:dyDescent="0.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6.8" x14ac:dyDescent="0.4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6.8" x14ac:dyDescent="0.4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6.8" x14ac:dyDescent="0.4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6.8" x14ac:dyDescent="0.4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6.8" x14ac:dyDescent="0.4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6.8" x14ac:dyDescent="0.4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6.8" x14ac:dyDescent="0.4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6.8" x14ac:dyDescent="0.4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6.8" x14ac:dyDescent="0.4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6.8" x14ac:dyDescent="0.4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6.8" x14ac:dyDescent="0.4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6.8" x14ac:dyDescent="0.4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6.8" x14ac:dyDescent="0.4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6.8" x14ac:dyDescent="0.4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6.8" x14ac:dyDescent="0.4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6.8" x14ac:dyDescent="0.4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6.8" x14ac:dyDescent="0.4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6.8" x14ac:dyDescent="0.4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6.8" x14ac:dyDescent="0.4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6.8" x14ac:dyDescent="0.4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6.8" x14ac:dyDescent="0.4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6.8" x14ac:dyDescent="0.4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6.8" x14ac:dyDescent="0.4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6.8" x14ac:dyDescent="0.4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6.8" x14ac:dyDescent="0.4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6.8" x14ac:dyDescent="0.4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6.8" x14ac:dyDescent="0.4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6.8" x14ac:dyDescent="0.4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6.8" x14ac:dyDescent="0.4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6.8" x14ac:dyDescent="0.4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6.8" x14ac:dyDescent="0.4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6.8" x14ac:dyDescent="0.4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6.8" x14ac:dyDescent="0.4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6.8" x14ac:dyDescent="0.4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6.8" x14ac:dyDescent="0.4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6.8" x14ac:dyDescent="0.4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6.8" x14ac:dyDescent="0.4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6.8" x14ac:dyDescent="0.4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6.8" x14ac:dyDescent="0.4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6.8" x14ac:dyDescent="0.4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6.8" x14ac:dyDescent="0.4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6.8" x14ac:dyDescent="0.4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6.8" x14ac:dyDescent="0.4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6.8" x14ac:dyDescent="0.4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6.8" x14ac:dyDescent="0.4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6.8" x14ac:dyDescent="0.4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6.8" x14ac:dyDescent="0.4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6.8" x14ac:dyDescent="0.4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6.8" x14ac:dyDescent="0.4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6.8" x14ac:dyDescent="0.4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6.8" x14ac:dyDescent="0.4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6.8" x14ac:dyDescent="0.4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6.8" x14ac:dyDescent="0.4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6.8" x14ac:dyDescent="0.4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6.8" x14ac:dyDescent="0.4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6.8" x14ac:dyDescent="0.4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6.8" x14ac:dyDescent="0.4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6.8" x14ac:dyDescent="0.4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6.8" x14ac:dyDescent="0.4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6.8" x14ac:dyDescent="0.4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6.8" x14ac:dyDescent="0.4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6.8" x14ac:dyDescent="0.4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6.8" x14ac:dyDescent="0.4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6.8" x14ac:dyDescent="0.4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6.8" x14ac:dyDescent="0.4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6.8" x14ac:dyDescent="0.4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6.8" x14ac:dyDescent="0.4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6.8" x14ac:dyDescent="0.4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6.8" x14ac:dyDescent="0.4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6.8" x14ac:dyDescent="0.4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6.8" x14ac:dyDescent="0.4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6.8" x14ac:dyDescent="0.4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6.8" x14ac:dyDescent="0.4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6.8" x14ac:dyDescent="0.4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6.8" x14ac:dyDescent="0.4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6.8" x14ac:dyDescent="0.4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6.8" x14ac:dyDescent="0.4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6.8" x14ac:dyDescent="0.4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6.8" x14ac:dyDescent="0.4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6.8" x14ac:dyDescent="0.4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6.8" x14ac:dyDescent="0.4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6.8" x14ac:dyDescent="0.4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6.8" x14ac:dyDescent="0.4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6.8" x14ac:dyDescent="0.4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6.8" x14ac:dyDescent="0.4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6.8" x14ac:dyDescent="0.4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6.8" x14ac:dyDescent="0.4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6.8" x14ac:dyDescent="0.4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6.8" x14ac:dyDescent="0.4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6.8" x14ac:dyDescent="0.4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6.8" x14ac:dyDescent="0.4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6.8" x14ac:dyDescent="0.4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6.8" x14ac:dyDescent="0.4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6.8" x14ac:dyDescent="0.4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6.8" x14ac:dyDescent="0.4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6.8" x14ac:dyDescent="0.4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6.8" x14ac:dyDescent="0.4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6.8" x14ac:dyDescent="0.4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6.8" x14ac:dyDescent="0.4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6.8" x14ac:dyDescent="0.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6.8" x14ac:dyDescent="0.4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6.8" x14ac:dyDescent="0.4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6.8" x14ac:dyDescent="0.4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6.8" x14ac:dyDescent="0.4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6.8" x14ac:dyDescent="0.4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6.8" x14ac:dyDescent="0.4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6.8" x14ac:dyDescent="0.4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6.8" x14ac:dyDescent="0.4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6.8" x14ac:dyDescent="0.4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6.8" x14ac:dyDescent="0.4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6.8" x14ac:dyDescent="0.4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6.8" x14ac:dyDescent="0.4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6.8" x14ac:dyDescent="0.4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6.8" x14ac:dyDescent="0.4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6.8" x14ac:dyDescent="0.4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6.8" x14ac:dyDescent="0.4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6.8" x14ac:dyDescent="0.4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6.8" x14ac:dyDescent="0.4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6.8" x14ac:dyDescent="0.4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6.8" x14ac:dyDescent="0.4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6.8" x14ac:dyDescent="0.4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6.8" x14ac:dyDescent="0.4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6.8" x14ac:dyDescent="0.4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6.8" x14ac:dyDescent="0.4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6.8" x14ac:dyDescent="0.4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6.8" x14ac:dyDescent="0.4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6.8" x14ac:dyDescent="0.4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6.8" x14ac:dyDescent="0.4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6.8" x14ac:dyDescent="0.4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6.8" x14ac:dyDescent="0.4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6.8" x14ac:dyDescent="0.4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6.8" x14ac:dyDescent="0.4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6.8" x14ac:dyDescent="0.4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6.8" x14ac:dyDescent="0.4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6.8" x14ac:dyDescent="0.4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6.8" x14ac:dyDescent="0.4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6.8" x14ac:dyDescent="0.4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6.8" x14ac:dyDescent="0.4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6.8" x14ac:dyDescent="0.4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6.8" x14ac:dyDescent="0.4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6.8" x14ac:dyDescent="0.4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6.8" x14ac:dyDescent="0.4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6.8" x14ac:dyDescent="0.4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6.8" x14ac:dyDescent="0.4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6.8" x14ac:dyDescent="0.4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6.8" x14ac:dyDescent="0.4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6.8" x14ac:dyDescent="0.4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6.8" x14ac:dyDescent="0.4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6.8" x14ac:dyDescent="0.4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6.8" x14ac:dyDescent="0.4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6.8" x14ac:dyDescent="0.4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6.8" x14ac:dyDescent="0.4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6.8" x14ac:dyDescent="0.4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6.8" x14ac:dyDescent="0.4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6.8" x14ac:dyDescent="0.4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6.8" x14ac:dyDescent="0.4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6.8" x14ac:dyDescent="0.4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6.8" x14ac:dyDescent="0.4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6.8" x14ac:dyDescent="0.4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6.8" x14ac:dyDescent="0.4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6.8" x14ac:dyDescent="0.4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6.8" x14ac:dyDescent="0.4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6.8" x14ac:dyDescent="0.4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6.8" x14ac:dyDescent="0.4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6.8" x14ac:dyDescent="0.4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6.8" x14ac:dyDescent="0.4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6.8" x14ac:dyDescent="0.4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6.8" x14ac:dyDescent="0.4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6.8" x14ac:dyDescent="0.4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6.8" x14ac:dyDescent="0.4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6.8" x14ac:dyDescent="0.4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6.8" x14ac:dyDescent="0.4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6.8" x14ac:dyDescent="0.4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6.8" x14ac:dyDescent="0.4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6.8" x14ac:dyDescent="0.4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6.8" x14ac:dyDescent="0.4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6.8" x14ac:dyDescent="0.4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6.8" x14ac:dyDescent="0.4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6.8" x14ac:dyDescent="0.4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6.8" x14ac:dyDescent="0.4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6.8" x14ac:dyDescent="0.4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6.8" x14ac:dyDescent="0.4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6.8" x14ac:dyDescent="0.4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6.8" x14ac:dyDescent="0.4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6.8" x14ac:dyDescent="0.4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6.8" x14ac:dyDescent="0.4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6.8" x14ac:dyDescent="0.4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6.8" x14ac:dyDescent="0.4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6.8" x14ac:dyDescent="0.4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6.8" x14ac:dyDescent="0.4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6.8" x14ac:dyDescent="0.4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6.8" x14ac:dyDescent="0.4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6.8" x14ac:dyDescent="0.4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6.8" x14ac:dyDescent="0.4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6.8" x14ac:dyDescent="0.4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6.8" x14ac:dyDescent="0.4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6.8" x14ac:dyDescent="0.4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6.8" x14ac:dyDescent="0.4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6.8" x14ac:dyDescent="0.4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6.8" x14ac:dyDescent="0.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6.8" x14ac:dyDescent="0.4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6.8" x14ac:dyDescent="0.4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6.8" x14ac:dyDescent="0.4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6.8" x14ac:dyDescent="0.4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6.8" x14ac:dyDescent="0.4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6.8" x14ac:dyDescent="0.4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6.8" x14ac:dyDescent="0.4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6.8" x14ac:dyDescent="0.4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6.8" x14ac:dyDescent="0.4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6.8" x14ac:dyDescent="0.4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6.8" x14ac:dyDescent="0.4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6.8" x14ac:dyDescent="0.4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6.8" x14ac:dyDescent="0.4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6.8" x14ac:dyDescent="0.4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6.8" x14ac:dyDescent="0.4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6.8" x14ac:dyDescent="0.4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6.8" x14ac:dyDescent="0.4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6.8" x14ac:dyDescent="0.4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6.8" x14ac:dyDescent="0.4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6.8" x14ac:dyDescent="0.4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6.8" x14ac:dyDescent="0.4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6.8" x14ac:dyDescent="0.4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6.8" x14ac:dyDescent="0.4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6.8" x14ac:dyDescent="0.4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6.8" x14ac:dyDescent="0.4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6.8" x14ac:dyDescent="0.4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6.8" x14ac:dyDescent="0.4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6.8" x14ac:dyDescent="0.4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6.8" x14ac:dyDescent="0.4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6.8" x14ac:dyDescent="0.4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6.8" x14ac:dyDescent="0.4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6.8" x14ac:dyDescent="0.4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6.8" x14ac:dyDescent="0.4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6.8" x14ac:dyDescent="0.4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6.8" x14ac:dyDescent="0.4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6.8" x14ac:dyDescent="0.4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6.8" x14ac:dyDescent="0.4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6.8" x14ac:dyDescent="0.4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6.8" x14ac:dyDescent="0.4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6.8" x14ac:dyDescent="0.4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6.8" x14ac:dyDescent="0.4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6.8" x14ac:dyDescent="0.4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6.8" x14ac:dyDescent="0.4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6.8" x14ac:dyDescent="0.4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6.8" x14ac:dyDescent="0.4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6.8" x14ac:dyDescent="0.4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6.8" x14ac:dyDescent="0.4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6.8" x14ac:dyDescent="0.4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6.8" x14ac:dyDescent="0.4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6.8" x14ac:dyDescent="0.4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6.8" x14ac:dyDescent="0.4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6.8" x14ac:dyDescent="0.4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6.8" x14ac:dyDescent="0.4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6.8" x14ac:dyDescent="0.4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6.8" x14ac:dyDescent="0.4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6.8" x14ac:dyDescent="0.4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6.8" x14ac:dyDescent="0.4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6.8" x14ac:dyDescent="0.4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6.8" x14ac:dyDescent="0.4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6.8" x14ac:dyDescent="0.4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6.8" x14ac:dyDescent="0.4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6.8" x14ac:dyDescent="0.4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6.8" x14ac:dyDescent="0.4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6.8" x14ac:dyDescent="0.4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6.8" x14ac:dyDescent="0.4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6.8" x14ac:dyDescent="0.4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6.8" x14ac:dyDescent="0.4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6.8" x14ac:dyDescent="0.4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6.8" x14ac:dyDescent="0.4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6.8" x14ac:dyDescent="0.4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6.8" x14ac:dyDescent="0.4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6.8" x14ac:dyDescent="0.4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6.8" x14ac:dyDescent="0.4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6.8" x14ac:dyDescent="0.4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6.8" x14ac:dyDescent="0.4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6.8" x14ac:dyDescent="0.4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6.8" x14ac:dyDescent="0.4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6.8" x14ac:dyDescent="0.4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6.8" x14ac:dyDescent="0.4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6.8" x14ac:dyDescent="0.4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6.8" x14ac:dyDescent="0.4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6.8" x14ac:dyDescent="0.4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6.8" x14ac:dyDescent="0.4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6.8" x14ac:dyDescent="0.4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6.8" x14ac:dyDescent="0.4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6.8" x14ac:dyDescent="0.4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6.8" x14ac:dyDescent="0.4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6.8" x14ac:dyDescent="0.4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6.8" x14ac:dyDescent="0.4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6.8" x14ac:dyDescent="0.4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6.8" x14ac:dyDescent="0.4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6.8" x14ac:dyDescent="0.4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6.8" x14ac:dyDescent="0.4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6.8" x14ac:dyDescent="0.4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6.8" x14ac:dyDescent="0.4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6.8" x14ac:dyDescent="0.4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6.8" x14ac:dyDescent="0.4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6.8" x14ac:dyDescent="0.4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6.8" x14ac:dyDescent="0.4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6.8" x14ac:dyDescent="0.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6.8" x14ac:dyDescent="0.4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6.8" x14ac:dyDescent="0.4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6.8" x14ac:dyDescent="0.4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6.8" x14ac:dyDescent="0.4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6.8" x14ac:dyDescent="0.4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6.8" x14ac:dyDescent="0.4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6.8" x14ac:dyDescent="0.4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6.8" x14ac:dyDescent="0.4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6.8" x14ac:dyDescent="0.4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6.8" x14ac:dyDescent="0.4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6.8" x14ac:dyDescent="0.4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6.8" x14ac:dyDescent="0.4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6.8" x14ac:dyDescent="0.4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6.8" x14ac:dyDescent="0.4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6.8" x14ac:dyDescent="0.4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6.8" x14ac:dyDescent="0.4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6.8" x14ac:dyDescent="0.4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6.8" x14ac:dyDescent="0.4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6.8" x14ac:dyDescent="0.4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6.8" x14ac:dyDescent="0.4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6.8" x14ac:dyDescent="0.4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6.8" x14ac:dyDescent="0.4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6.8" x14ac:dyDescent="0.4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6.8" x14ac:dyDescent="0.4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6.8" x14ac:dyDescent="0.4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6.8" x14ac:dyDescent="0.4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6.8" x14ac:dyDescent="0.4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6.8" x14ac:dyDescent="0.4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6.8" x14ac:dyDescent="0.4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6.8" x14ac:dyDescent="0.4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6.8" x14ac:dyDescent="0.4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6.8" x14ac:dyDescent="0.4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6.8" x14ac:dyDescent="0.4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6.8" x14ac:dyDescent="0.4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6.8" x14ac:dyDescent="0.4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6.8" x14ac:dyDescent="0.4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6.8" x14ac:dyDescent="0.4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6.8" x14ac:dyDescent="0.4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6.8" x14ac:dyDescent="0.4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6.8" x14ac:dyDescent="0.4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6.8" x14ac:dyDescent="0.4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6.8" x14ac:dyDescent="0.4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6.8" x14ac:dyDescent="0.4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6.8" x14ac:dyDescent="0.4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6.8" x14ac:dyDescent="0.4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6.8" x14ac:dyDescent="0.4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6.8" x14ac:dyDescent="0.4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6.8" x14ac:dyDescent="0.4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6.8" x14ac:dyDescent="0.4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6.8" x14ac:dyDescent="0.4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6.8" x14ac:dyDescent="0.4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6.8" x14ac:dyDescent="0.4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6.8" x14ac:dyDescent="0.4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6.8" x14ac:dyDescent="0.4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6.8" x14ac:dyDescent="0.4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6.8" x14ac:dyDescent="0.4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6.8" x14ac:dyDescent="0.4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6.8" x14ac:dyDescent="0.4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6.8" x14ac:dyDescent="0.4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6.8" x14ac:dyDescent="0.4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6.8" x14ac:dyDescent="0.4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6.8" x14ac:dyDescent="0.4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6.8" x14ac:dyDescent="0.4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6.8" x14ac:dyDescent="0.4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6.8" x14ac:dyDescent="0.4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6.8" x14ac:dyDescent="0.4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6.8" x14ac:dyDescent="0.4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6.8" x14ac:dyDescent="0.4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6.8" x14ac:dyDescent="0.4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6.8" x14ac:dyDescent="0.4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6.8" x14ac:dyDescent="0.4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6.8" x14ac:dyDescent="0.4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6.8" x14ac:dyDescent="0.4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6.8" x14ac:dyDescent="0.4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6.8" x14ac:dyDescent="0.4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6.8" x14ac:dyDescent="0.4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6.8" x14ac:dyDescent="0.4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6.8" x14ac:dyDescent="0.4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6.8" x14ac:dyDescent="0.4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6.8" x14ac:dyDescent="0.4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6.8" x14ac:dyDescent="0.4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6.8" x14ac:dyDescent="0.4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6.8" x14ac:dyDescent="0.4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6.8" x14ac:dyDescent="0.4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6.8" x14ac:dyDescent="0.4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6.8" x14ac:dyDescent="0.4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6.8" x14ac:dyDescent="0.4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6.8" x14ac:dyDescent="0.4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6.8" x14ac:dyDescent="0.4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6.8" x14ac:dyDescent="0.4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6.8" x14ac:dyDescent="0.4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6.8" x14ac:dyDescent="0.4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6.8" x14ac:dyDescent="0.4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6.8" x14ac:dyDescent="0.4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6.8" x14ac:dyDescent="0.4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6.8" x14ac:dyDescent="0.4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6.8" x14ac:dyDescent="0.4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6.8" x14ac:dyDescent="0.4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6.8" x14ac:dyDescent="0.4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6.8" x14ac:dyDescent="0.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6.8" x14ac:dyDescent="0.4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6.8" x14ac:dyDescent="0.4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6.8" x14ac:dyDescent="0.4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6.8" x14ac:dyDescent="0.4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6.8" x14ac:dyDescent="0.4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6.8" x14ac:dyDescent="0.4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6.8" x14ac:dyDescent="0.4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6.8" x14ac:dyDescent="0.4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6.8" x14ac:dyDescent="0.4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6.8" x14ac:dyDescent="0.4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6.8" x14ac:dyDescent="0.4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6.8" x14ac:dyDescent="0.4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6.8" x14ac:dyDescent="0.4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6.8" x14ac:dyDescent="0.4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6.8" x14ac:dyDescent="0.4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6.8" x14ac:dyDescent="0.4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6.8" x14ac:dyDescent="0.4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6.8" x14ac:dyDescent="0.4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6.8" x14ac:dyDescent="0.4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6.8" x14ac:dyDescent="0.4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6.8" x14ac:dyDescent="0.4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6.8" x14ac:dyDescent="0.4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6.8" x14ac:dyDescent="0.4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6.8" x14ac:dyDescent="0.4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6.8" x14ac:dyDescent="0.4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6.8" x14ac:dyDescent="0.4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6.8" x14ac:dyDescent="0.4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6.8" x14ac:dyDescent="0.4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6.8" x14ac:dyDescent="0.4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6.8" x14ac:dyDescent="0.4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6.8" x14ac:dyDescent="0.4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6.8" x14ac:dyDescent="0.4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6.8" x14ac:dyDescent="0.4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6.8" x14ac:dyDescent="0.4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6.8" x14ac:dyDescent="0.4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6.8" x14ac:dyDescent="0.4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6.8" x14ac:dyDescent="0.4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6.8" x14ac:dyDescent="0.4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6.8" x14ac:dyDescent="0.4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6.8" x14ac:dyDescent="0.4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6.8" x14ac:dyDescent="0.4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6.8" x14ac:dyDescent="0.4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6.8" x14ac:dyDescent="0.4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6.8" x14ac:dyDescent="0.4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6.8" x14ac:dyDescent="0.4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6.8" x14ac:dyDescent="0.4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6.8" x14ac:dyDescent="0.4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6.8" x14ac:dyDescent="0.4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6.8" x14ac:dyDescent="0.4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6.8" x14ac:dyDescent="0.4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6.8" x14ac:dyDescent="0.4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6.8" x14ac:dyDescent="0.4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6.8" x14ac:dyDescent="0.4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6.8" x14ac:dyDescent="0.4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6.8" x14ac:dyDescent="0.4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6.8" x14ac:dyDescent="0.4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6.8" x14ac:dyDescent="0.4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6.8" x14ac:dyDescent="0.4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6.8" x14ac:dyDescent="0.4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6.8" x14ac:dyDescent="0.4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6.8" x14ac:dyDescent="0.4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6.8" x14ac:dyDescent="0.4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6.8" x14ac:dyDescent="0.4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6.8" x14ac:dyDescent="0.4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6.8" x14ac:dyDescent="0.4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6.8" x14ac:dyDescent="0.4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6.8" x14ac:dyDescent="0.4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6.8" x14ac:dyDescent="0.4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6.8" x14ac:dyDescent="0.4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6.8" x14ac:dyDescent="0.4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6.8" x14ac:dyDescent="0.4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6.8" x14ac:dyDescent="0.4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6.8" x14ac:dyDescent="0.4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6.8" x14ac:dyDescent="0.4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6.8" x14ac:dyDescent="0.4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6.8" x14ac:dyDescent="0.4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6.8" x14ac:dyDescent="0.4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6.8" x14ac:dyDescent="0.4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6.8" x14ac:dyDescent="0.4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6.8" x14ac:dyDescent="0.4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6.8" x14ac:dyDescent="0.4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6.8" x14ac:dyDescent="0.4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6.8" x14ac:dyDescent="0.4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6.8" x14ac:dyDescent="0.4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6.8" x14ac:dyDescent="0.4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6.8" x14ac:dyDescent="0.4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6.8" x14ac:dyDescent="0.4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6.8" x14ac:dyDescent="0.4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6.8" x14ac:dyDescent="0.4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6.8" x14ac:dyDescent="0.4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6.8" x14ac:dyDescent="0.4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6.8" x14ac:dyDescent="0.4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6.8" x14ac:dyDescent="0.4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6.8" x14ac:dyDescent="0.4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6.8" x14ac:dyDescent="0.4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6.8" x14ac:dyDescent="0.4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6.8" x14ac:dyDescent="0.4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6.8" x14ac:dyDescent="0.4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6.8" x14ac:dyDescent="0.4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6.8" x14ac:dyDescent="0.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6.8" x14ac:dyDescent="0.4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6.8" x14ac:dyDescent="0.4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6.8" x14ac:dyDescent="0.4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6.8" x14ac:dyDescent="0.4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6.8" x14ac:dyDescent="0.4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6.8" x14ac:dyDescent="0.4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6.8" x14ac:dyDescent="0.4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6.8" x14ac:dyDescent="0.4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6.8" x14ac:dyDescent="0.4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6.8" x14ac:dyDescent="0.4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6.8" x14ac:dyDescent="0.4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6.8" x14ac:dyDescent="0.4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6.8" x14ac:dyDescent="0.4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6.8" x14ac:dyDescent="0.4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6.8" x14ac:dyDescent="0.4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6.8" x14ac:dyDescent="0.4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6.8" x14ac:dyDescent="0.4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6.8" x14ac:dyDescent="0.4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6.8" x14ac:dyDescent="0.4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6.8" x14ac:dyDescent="0.4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6.8" x14ac:dyDescent="0.4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6.8" x14ac:dyDescent="0.4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6.8" x14ac:dyDescent="0.4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6.8" x14ac:dyDescent="0.4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6.8" x14ac:dyDescent="0.4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6.8" x14ac:dyDescent="0.4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6.8" x14ac:dyDescent="0.4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6.8" x14ac:dyDescent="0.4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6.8" x14ac:dyDescent="0.4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6.8" x14ac:dyDescent="0.4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6.8" x14ac:dyDescent="0.4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6.8" x14ac:dyDescent="0.4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6.8" x14ac:dyDescent="0.4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6.8" x14ac:dyDescent="0.4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6.8" x14ac:dyDescent="0.4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6.8" x14ac:dyDescent="0.4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6.8" x14ac:dyDescent="0.4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6.8" x14ac:dyDescent="0.4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6.8" x14ac:dyDescent="0.4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6.8" x14ac:dyDescent="0.4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6.8" x14ac:dyDescent="0.4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6.8" x14ac:dyDescent="0.4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6.8" x14ac:dyDescent="0.4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6.8" x14ac:dyDescent="0.4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6.8" x14ac:dyDescent="0.4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6.8" x14ac:dyDescent="0.4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6.8" x14ac:dyDescent="0.4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6.8" x14ac:dyDescent="0.4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6.8" x14ac:dyDescent="0.4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6.8" x14ac:dyDescent="0.4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6.8" x14ac:dyDescent="0.4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6.8" x14ac:dyDescent="0.4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6.8" x14ac:dyDescent="0.4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6.8" x14ac:dyDescent="0.4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6.8" x14ac:dyDescent="0.4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6.8" x14ac:dyDescent="0.4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6.8" x14ac:dyDescent="0.4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6.8" x14ac:dyDescent="0.4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6.8" x14ac:dyDescent="0.4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6.8" x14ac:dyDescent="0.4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6.8" x14ac:dyDescent="0.4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6.8" x14ac:dyDescent="0.4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6.8" x14ac:dyDescent="0.4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6.8" x14ac:dyDescent="0.4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6.8" x14ac:dyDescent="0.4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6.8" x14ac:dyDescent="0.4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6.8" x14ac:dyDescent="0.4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6.8" x14ac:dyDescent="0.4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6.8" x14ac:dyDescent="0.4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6.8" x14ac:dyDescent="0.4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6.8" x14ac:dyDescent="0.4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6.8" x14ac:dyDescent="0.4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6.8" x14ac:dyDescent="0.4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6.8" x14ac:dyDescent="0.4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6.8" x14ac:dyDescent="0.4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6.8" x14ac:dyDescent="0.4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6.8" x14ac:dyDescent="0.4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6.8" x14ac:dyDescent="0.4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6.8" x14ac:dyDescent="0.4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6.8" x14ac:dyDescent="0.4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6.8" x14ac:dyDescent="0.4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6.8" x14ac:dyDescent="0.4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6.8" x14ac:dyDescent="0.4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6.8" x14ac:dyDescent="0.4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6.8" x14ac:dyDescent="0.4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6.8" x14ac:dyDescent="0.4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6.8" x14ac:dyDescent="0.4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6.8" x14ac:dyDescent="0.4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6.8" x14ac:dyDescent="0.4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6.8" x14ac:dyDescent="0.4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6.8" x14ac:dyDescent="0.4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6.8" x14ac:dyDescent="0.4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6.8" x14ac:dyDescent="0.4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6.8" x14ac:dyDescent="0.4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6.8" x14ac:dyDescent="0.4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6.8" x14ac:dyDescent="0.4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6.8" x14ac:dyDescent="0.4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6.8" x14ac:dyDescent="0.4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6.8" x14ac:dyDescent="0.4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6.8" x14ac:dyDescent="0.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6.8" x14ac:dyDescent="0.4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6.8" x14ac:dyDescent="0.4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6.8" x14ac:dyDescent="0.4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6.8" x14ac:dyDescent="0.4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6.8" x14ac:dyDescent="0.4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6.8" x14ac:dyDescent="0.4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6.8" x14ac:dyDescent="0.4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6.8" x14ac:dyDescent="0.4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6.8" x14ac:dyDescent="0.4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6.8" x14ac:dyDescent="0.4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6.8" x14ac:dyDescent="0.4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6.8" x14ac:dyDescent="0.4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6.8" x14ac:dyDescent="0.4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6.8" x14ac:dyDescent="0.4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6.8" x14ac:dyDescent="0.4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6.8" x14ac:dyDescent="0.4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6.8" x14ac:dyDescent="0.4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6.8" x14ac:dyDescent="0.4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6.8" x14ac:dyDescent="0.4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6.8" x14ac:dyDescent="0.4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6.8" x14ac:dyDescent="0.4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6.8" x14ac:dyDescent="0.4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6.8" x14ac:dyDescent="0.4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6.8" x14ac:dyDescent="0.4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6.8" x14ac:dyDescent="0.4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6.8" x14ac:dyDescent="0.4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6.8" x14ac:dyDescent="0.4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6.8" x14ac:dyDescent="0.4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6.8" x14ac:dyDescent="0.4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6.8" x14ac:dyDescent="0.4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6.8" x14ac:dyDescent="0.4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6.8" x14ac:dyDescent="0.4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6.8" x14ac:dyDescent="0.4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6.8" x14ac:dyDescent="0.4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6.8" x14ac:dyDescent="0.4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6.8" x14ac:dyDescent="0.4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6.8" x14ac:dyDescent="0.4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6.8" x14ac:dyDescent="0.4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6.8" x14ac:dyDescent="0.4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6.8" x14ac:dyDescent="0.4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6.8" x14ac:dyDescent="0.4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6.8" x14ac:dyDescent="0.4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6.8" x14ac:dyDescent="0.4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6.8" x14ac:dyDescent="0.4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6.8" x14ac:dyDescent="0.4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6.8" x14ac:dyDescent="0.4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6.8" x14ac:dyDescent="0.4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6.8" x14ac:dyDescent="0.4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6.8" x14ac:dyDescent="0.4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6.8" x14ac:dyDescent="0.4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6.8" x14ac:dyDescent="0.4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6.8" x14ac:dyDescent="0.4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6.8" x14ac:dyDescent="0.4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6.8" x14ac:dyDescent="0.4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6.8" x14ac:dyDescent="0.4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6.8" x14ac:dyDescent="0.4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ht="16.8" x14ac:dyDescent="0.45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1"/>
  <sheetViews>
    <sheetView workbookViewId="0"/>
  </sheetViews>
  <sheetFormatPr defaultColWidth="12.6640625" defaultRowHeight="15.75" customHeight="1" x14ac:dyDescent="0.25"/>
  <cols>
    <col min="1" max="7" width="12.6640625" customWidth="1"/>
  </cols>
  <sheetData>
    <row r="1" spans="1:26" ht="15.75" customHeight="1" x14ac:dyDescent="0.45">
      <c r="A1" s="8" t="s">
        <v>193</v>
      </c>
      <c r="B1" s="8"/>
      <c r="C1" s="8"/>
      <c r="D1" s="8"/>
      <c r="E1" s="8"/>
      <c r="F1" s="8"/>
      <c r="G1" s="8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 x14ac:dyDescent="0.45">
      <c r="A2" s="8" t="s">
        <v>22</v>
      </c>
      <c r="B2" s="8" t="s">
        <v>23</v>
      </c>
      <c r="C2" s="8" t="s">
        <v>24</v>
      </c>
      <c r="D2" s="8" t="s">
        <v>25</v>
      </c>
      <c r="E2" s="8" t="s">
        <v>26</v>
      </c>
      <c r="F2" s="8" t="s">
        <v>27</v>
      </c>
      <c r="G2" s="8" t="s">
        <v>28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 x14ac:dyDescent="0.45">
      <c r="A3" s="9">
        <v>1</v>
      </c>
      <c r="B3" s="9" t="s">
        <v>29</v>
      </c>
      <c r="C3" s="9">
        <v>1994</v>
      </c>
      <c r="D3" s="9" t="s">
        <v>30</v>
      </c>
      <c r="E3" s="9">
        <v>142</v>
      </c>
      <c r="F3" s="9" t="s">
        <v>31</v>
      </c>
      <c r="G3" s="9">
        <v>9.3000000000000007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 x14ac:dyDescent="0.45">
      <c r="A4" s="9">
        <v>2</v>
      </c>
      <c r="B4" s="9" t="s">
        <v>32</v>
      </c>
      <c r="C4" s="9">
        <v>1972</v>
      </c>
      <c r="D4" s="9" t="s">
        <v>30</v>
      </c>
      <c r="E4" s="9">
        <v>175</v>
      </c>
      <c r="F4" s="9" t="s">
        <v>33</v>
      </c>
      <c r="G4" s="9">
        <v>9.1999999999999993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 x14ac:dyDescent="0.45">
      <c r="A5" s="9">
        <v>3</v>
      </c>
      <c r="B5" s="9" t="s">
        <v>34</v>
      </c>
      <c r="C5" s="9">
        <v>2008</v>
      </c>
      <c r="D5" s="9" t="s">
        <v>35</v>
      </c>
      <c r="E5" s="9">
        <v>152</v>
      </c>
      <c r="F5" s="9" t="s">
        <v>36</v>
      </c>
      <c r="G5" s="9">
        <v>9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 x14ac:dyDescent="0.45">
      <c r="A6" s="9">
        <v>4</v>
      </c>
      <c r="B6" s="9" t="s">
        <v>37</v>
      </c>
      <c r="C6" s="9">
        <v>1974</v>
      </c>
      <c r="D6" s="9" t="s">
        <v>30</v>
      </c>
      <c r="E6" s="9">
        <v>202</v>
      </c>
      <c r="F6" s="9" t="s">
        <v>33</v>
      </c>
      <c r="G6" s="9">
        <v>9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 x14ac:dyDescent="0.45">
      <c r="A7" s="9">
        <v>5</v>
      </c>
      <c r="B7" s="9" t="s">
        <v>38</v>
      </c>
      <c r="C7" s="9">
        <v>2003</v>
      </c>
      <c r="D7" s="9" t="s">
        <v>35</v>
      </c>
      <c r="E7" s="9">
        <v>201</v>
      </c>
      <c r="F7" s="9" t="s">
        <v>39</v>
      </c>
      <c r="G7" s="9">
        <v>8.9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 x14ac:dyDescent="0.4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 x14ac:dyDescent="0.45">
      <c r="A9" s="10" t="s">
        <v>200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 x14ac:dyDescent="0.45">
      <c r="A10" s="6" t="str">
        <f ca="1">IFERROR(__xludf.DUMMYFUNCTION("QUERY(IMDB,""select A,B,C,D where D is null"")"),"NO")</f>
        <v>NO</v>
      </c>
      <c r="B10" s="6" t="str">
        <f ca="1">IFERROR(__xludf.DUMMYFUNCTION("""COMPUTED_VALUE"""),"MOVIE_NAME")</f>
        <v>MOVIE_NAME</v>
      </c>
      <c r="C10" s="6" t="str">
        <f ca="1">IFERROR(__xludf.DUMMYFUNCTION("""COMPUTED_VALUE"""),"YEAR")</f>
        <v>YEAR</v>
      </c>
      <c r="D10" s="6" t="str">
        <f ca="1">IFERROR(__xludf.DUMMYFUNCTION("""COMPUTED_VALUE"""),"RATING")</f>
        <v>RATING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 x14ac:dyDescent="0.45">
      <c r="A11" s="6">
        <f ca="1">IFERROR(__xludf.DUMMYFUNCTION("""COMPUTED_VALUE"""),55)</f>
        <v>55</v>
      </c>
      <c r="B11" s="6" t="str">
        <f ca="1">IFERROR(__xludf.DUMMYFUNCTION("""COMPUTED_VALUE"""),"Ayla: The Daughter of War")</f>
        <v>Ayla: The Daughter of War</v>
      </c>
      <c r="C11" s="6">
        <f ca="1">IFERROR(__xludf.DUMMYFUNCTION("""COMPUTED_VALUE"""),2017)</f>
        <v>2017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 x14ac:dyDescent="0.45">
      <c r="A12" s="6">
        <f ca="1">IFERROR(__xludf.DUMMYFUNCTION("""COMPUTED_VALUE"""),91)</f>
        <v>91</v>
      </c>
      <c r="B12" s="6" t="str">
        <f ca="1">IFERROR(__xludf.DUMMYFUNCTION("""COMPUTED_VALUE"""),"Yedinci Kogustaki Mucize")</f>
        <v>Yedinci Kogustaki Mucize</v>
      </c>
      <c r="C12" s="6">
        <f ca="1">IFERROR(__xludf.DUMMYFUNCTION("""COMPUTED_VALUE"""),2019)</f>
        <v>2019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 x14ac:dyDescent="0.45">
      <c r="A13" s="6">
        <f ca="1">IFERROR(__xludf.DUMMYFUNCTION("""COMPUTED_VALUE"""),92)</f>
        <v>92</v>
      </c>
      <c r="B13" s="6" t="str">
        <f ca="1">IFERROR(__xludf.DUMMYFUNCTION("""COMPUTED_VALUE"""),"Babam ve Oglum")</f>
        <v>Babam ve Oglum</v>
      </c>
      <c r="C13" s="6">
        <f ca="1">IFERROR(__xludf.DUMMYFUNCTION("""COMPUTED_VALUE"""),2005)</f>
        <v>2005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 x14ac:dyDescent="0.4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 x14ac:dyDescent="0.4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 x14ac:dyDescent="0.45">
      <c r="A16" s="6" t="str">
        <f ca="1">IFERROR(__xludf.DUMMYFUNCTION("QUERY(IMDB,""select A,B,C,D where D is not null"")"),"NO")</f>
        <v>NO</v>
      </c>
      <c r="B16" s="6" t="str">
        <f ca="1">IFERROR(__xludf.DUMMYFUNCTION("""COMPUTED_VALUE"""),"MOVIE_NAME")</f>
        <v>MOVIE_NAME</v>
      </c>
      <c r="C16" s="6" t="str">
        <f ca="1">IFERROR(__xludf.DUMMYFUNCTION("""COMPUTED_VALUE"""),"YEAR")</f>
        <v>YEAR</v>
      </c>
      <c r="D16" s="6" t="str">
        <f ca="1">IFERROR(__xludf.DUMMYFUNCTION("""COMPUTED_VALUE"""),"RATING")</f>
        <v>RATING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 x14ac:dyDescent="0.45">
      <c r="A17" s="6">
        <f ca="1">IFERROR(__xludf.DUMMYFUNCTION("""COMPUTED_VALUE"""),1)</f>
        <v>1</v>
      </c>
      <c r="B17" s="6" t="str">
        <f ca="1">IFERROR(__xludf.DUMMYFUNCTION("""COMPUTED_VALUE"""),"The Shawshank Redemption")</f>
        <v>The Shawshank Redemption</v>
      </c>
      <c r="C17" s="6">
        <f ca="1">IFERROR(__xludf.DUMMYFUNCTION("""COMPUTED_VALUE"""),1994)</f>
        <v>1994</v>
      </c>
      <c r="D17" s="6" t="str">
        <f ca="1">IFERROR(__xludf.DUMMYFUNCTION("""COMPUTED_VALUE"""),"R")</f>
        <v>R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 x14ac:dyDescent="0.45">
      <c r="A18" s="6">
        <f ca="1">IFERROR(__xludf.DUMMYFUNCTION("""COMPUTED_VALUE"""),2)</f>
        <v>2</v>
      </c>
      <c r="B18" s="6" t="str">
        <f ca="1">IFERROR(__xludf.DUMMYFUNCTION("""COMPUTED_VALUE"""),"The Godfather")</f>
        <v>The Godfather</v>
      </c>
      <c r="C18" s="6">
        <f ca="1">IFERROR(__xludf.DUMMYFUNCTION("""COMPUTED_VALUE"""),1972)</f>
        <v>1972</v>
      </c>
      <c r="D18" s="6" t="str">
        <f ca="1">IFERROR(__xludf.DUMMYFUNCTION("""COMPUTED_VALUE"""),"R")</f>
        <v>R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 x14ac:dyDescent="0.45">
      <c r="A19" s="6">
        <f ca="1">IFERROR(__xludf.DUMMYFUNCTION("""COMPUTED_VALUE"""),3)</f>
        <v>3</v>
      </c>
      <c r="B19" s="6" t="str">
        <f ca="1">IFERROR(__xludf.DUMMYFUNCTION("""COMPUTED_VALUE"""),"The Dark Knight")</f>
        <v>The Dark Knight</v>
      </c>
      <c r="C19" s="6">
        <f ca="1">IFERROR(__xludf.DUMMYFUNCTION("""COMPUTED_VALUE"""),2008)</f>
        <v>2008</v>
      </c>
      <c r="D19" s="6" t="str">
        <f ca="1">IFERROR(__xludf.DUMMYFUNCTION("""COMPUTED_VALUE"""),"PG-13")</f>
        <v>PG-13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 x14ac:dyDescent="0.45">
      <c r="A20" s="6">
        <f ca="1">IFERROR(__xludf.DUMMYFUNCTION("""COMPUTED_VALUE"""),4)</f>
        <v>4</v>
      </c>
      <c r="B20" s="6" t="str">
        <f ca="1">IFERROR(__xludf.DUMMYFUNCTION("""COMPUTED_VALUE"""),"The Godfather: Part II")</f>
        <v>The Godfather: Part II</v>
      </c>
      <c r="C20" s="6">
        <f ca="1">IFERROR(__xludf.DUMMYFUNCTION("""COMPUTED_VALUE"""),1974)</f>
        <v>1974</v>
      </c>
      <c r="D20" s="6" t="str">
        <f ca="1">IFERROR(__xludf.DUMMYFUNCTION("""COMPUTED_VALUE"""),"R")</f>
        <v>R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45">
      <c r="A21" s="6">
        <f ca="1">IFERROR(__xludf.DUMMYFUNCTION("""COMPUTED_VALUE"""),5)</f>
        <v>5</v>
      </c>
      <c r="B21" s="6" t="str">
        <f ca="1">IFERROR(__xludf.DUMMYFUNCTION("""COMPUTED_VALUE"""),"The Lord of the Rings: The Return of the King")</f>
        <v>The Lord of the Rings: The Return of the King</v>
      </c>
      <c r="C21" s="6">
        <f ca="1">IFERROR(__xludf.DUMMYFUNCTION("""COMPUTED_VALUE"""),2003)</f>
        <v>2003</v>
      </c>
      <c r="D21" s="6" t="str">
        <f ca="1">IFERROR(__xludf.DUMMYFUNCTION("""COMPUTED_VALUE"""),"PG-13")</f>
        <v>PG-13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45">
      <c r="A22" s="6">
        <f ca="1">IFERROR(__xludf.DUMMYFUNCTION("""COMPUTED_VALUE"""),6)</f>
        <v>6</v>
      </c>
      <c r="B22" s="6" t="str">
        <f ca="1">IFERROR(__xludf.DUMMYFUNCTION("""COMPUTED_VALUE"""),"Pulp Fiction")</f>
        <v>Pulp Fiction</v>
      </c>
      <c r="C22" s="6">
        <f ca="1">IFERROR(__xludf.DUMMYFUNCTION("""COMPUTED_VALUE"""),1994)</f>
        <v>1994</v>
      </c>
      <c r="D22" s="6" t="str">
        <f ca="1">IFERROR(__xludf.DUMMYFUNCTION("""COMPUTED_VALUE"""),"R")</f>
        <v>R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45">
      <c r="A23" s="6">
        <f ca="1">IFERROR(__xludf.DUMMYFUNCTION("""COMPUTED_VALUE"""),7)</f>
        <v>7</v>
      </c>
      <c r="B23" s="6" t="str">
        <f ca="1">IFERROR(__xludf.DUMMYFUNCTION("""COMPUTED_VALUE"""),"Schindler's List")</f>
        <v>Schindler's List</v>
      </c>
      <c r="C23" s="6">
        <f ca="1">IFERROR(__xludf.DUMMYFUNCTION("""COMPUTED_VALUE"""),1993)</f>
        <v>1993</v>
      </c>
      <c r="D23" s="6" t="str">
        <f ca="1">IFERROR(__xludf.DUMMYFUNCTION("""COMPUTED_VALUE"""),"R")</f>
        <v>R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45">
      <c r="A24" s="6">
        <f ca="1">IFERROR(__xludf.DUMMYFUNCTION("""COMPUTED_VALUE"""),8)</f>
        <v>8</v>
      </c>
      <c r="B24" s="6" t="str">
        <f ca="1">IFERROR(__xludf.DUMMYFUNCTION("""COMPUTED_VALUE"""),"12 Angry Men")</f>
        <v>12 Angry Men</v>
      </c>
      <c r="C24" s="6">
        <f ca="1">IFERROR(__xludf.DUMMYFUNCTION("""COMPUTED_VALUE"""),1957)</f>
        <v>1957</v>
      </c>
      <c r="D24" s="6" t="str">
        <f ca="1">IFERROR(__xludf.DUMMYFUNCTION("""COMPUTED_VALUE"""),"Approved")</f>
        <v>Approved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45">
      <c r="A25" s="6">
        <f ca="1">IFERROR(__xludf.DUMMYFUNCTION("""COMPUTED_VALUE"""),9)</f>
        <v>9</v>
      </c>
      <c r="B25" s="6" t="str">
        <f ca="1">IFERROR(__xludf.DUMMYFUNCTION("""COMPUTED_VALUE"""),"Inception")</f>
        <v>Inception</v>
      </c>
      <c r="C25" s="6">
        <f ca="1">IFERROR(__xludf.DUMMYFUNCTION("""COMPUTED_VALUE"""),2010)</f>
        <v>2010</v>
      </c>
      <c r="D25" s="6" t="str">
        <f ca="1">IFERROR(__xludf.DUMMYFUNCTION("""COMPUTED_VALUE"""),"PG-13")</f>
        <v>PG-13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45">
      <c r="A26" s="6">
        <f ca="1">IFERROR(__xludf.DUMMYFUNCTION("""COMPUTED_VALUE"""),10)</f>
        <v>10</v>
      </c>
      <c r="B26" s="6" t="str">
        <f ca="1">IFERROR(__xludf.DUMMYFUNCTION("""COMPUTED_VALUE"""),"Fight Club")</f>
        <v>Fight Club</v>
      </c>
      <c r="C26" s="6">
        <f ca="1">IFERROR(__xludf.DUMMYFUNCTION("""COMPUTED_VALUE"""),1999)</f>
        <v>1999</v>
      </c>
      <c r="D26" s="6" t="str">
        <f ca="1">IFERROR(__xludf.DUMMYFUNCTION("""COMPUTED_VALUE"""),"R")</f>
        <v>R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6.8" x14ac:dyDescent="0.45">
      <c r="A27" s="6">
        <f ca="1">IFERROR(__xludf.DUMMYFUNCTION("""COMPUTED_VALUE"""),11)</f>
        <v>11</v>
      </c>
      <c r="B27" s="6" t="str">
        <f ca="1">IFERROR(__xludf.DUMMYFUNCTION("""COMPUTED_VALUE"""),"The Lord of the Rings: The Fellowship of the Ring")</f>
        <v>The Lord of the Rings: The Fellowship of the Ring</v>
      </c>
      <c r="C27" s="6">
        <f ca="1">IFERROR(__xludf.DUMMYFUNCTION("""COMPUTED_VALUE"""),2001)</f>
        <v>2001</v>
      </c>
      <c r="D27" s="6" t="str">
        <f ca="1">IFERROR(__xludf.DUMMYFUNCTION("""COMPUTED_VALUE"""),"PG-13")</f>
        <v>PG-13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6.8" x14ac:dyDescent="0.45">
      <c r="A28" s="6">
        <f ca="1">IFERROR(__xludf.DUMMYFUNCTION("""COMPUTED_VALUE"""),12)</f>
        <v>12</v>
      </c>
      <c r="B28" s="6" t="str">
        <f ca="1">IFERROR(__xludf.DUMMYFUNCTION("""COMPUTED_VALUE"""),"Forrest Gump")</f>
        <v>Forrest Gump</v>
      </c>
      <c r="C28" s="6">
        <f ca="1">IFERROR(__xludf.DUMMYFUNCTION("""COMPUTED_VALUE"""),1994)</f>
        <v>1994</v>
      </c>
      <c r="D28" s="6" t="str">
        <f ca="1">IFERROR(__xludf.DUMMYFUNCTION("""COMPUTED_VALUE"""),"PG-13")</f>
        <v>PG-13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6.8" x14ac:dyDescent="0.45">
      <c r="A29" s="6">
        <f ca="1">IFERROR(__xludf.DUMMYFUNCTION("""COMPUTED_VALUE"""),13)</f>
        <v>13</v>
      </c>
      <c r="B29" s="6" t="str">
        <f ca="1">IFERROR(__xludf.DUMMYFUNCTION("""COMPUTED_VALUE"""),"The Good, the Bad and the Ugly")</f>
        <v>The Good, the Bad and the Ugly</v>
      </c>
      <c r="C29" s="6">
        <f ca="1">IFERROR(__xludf.DUMMYFUNCTION("""COMPUTED_VALUE"""),1966)</f>
        <v>1966</v>
      </c>
      <c r="D29" s="6" t="str">
        <f ca="1">IFERROR(__xludf.DUMMYFUNCTION("""COMPUTED_VALUE"""),"R")</f>
        <v>R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6.8" x14ac:dyDescent="0.45">
      <c r="A30" s="6">
        <f ca="1">IFERROR(__xludf.DUMMYFUNCTION("""COMPUTED_VALUE"""),14)</f>
        <v>14</v>
      </c>
      <c r="B30" s="6" t="str">
        <f ca="1">IFERROR(__xludf.DUMMYFUNCTION("""COMPUTED_VALUE"""),"Hamilton")</f>
        <v>Hamilton</v>
      </c>
      <c r="C30" s="6">
        <f ca="1">IFERROR(__xludf.DUMMYFUNCTION("""COMPUTED_VALUE"""),2020)</f>
        <v>2020</v>
      </c>
      <c r="D30" s="6" t="str">
        <f ca="1">IFERROR(__xludf.DUMMYFUNCTION("""COMPUTED_VALUE"""),"PG-13")</f>
        <v>PG-13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6.8" x14ac:dyDescent="0.45">
      <c r="A31" s="6">
        <f ca="1">IFERROR(__xludf.DUMMYFUNCTION("""COMPUTED_VALUE"""),15)</f>
        <v>15</v>
      </c>
      <c r="B31" s="6" t="str">
        <f ca="1">IFERROR(__xludf.DUMMYFUNCTION("""COMPUTED_VALUE"""),"The Lord of the Rings: The Two Towers")</f>
        <v>The Lord of the Rings: The Two Towers</v>
      </c>
      <c r="C31" s="6">
        <f ca="1">IFERROR(__xludf.DUMMYFUNCTION("""COMPUTED_VALUE"""),2002)</f>
        <v>2002</v>
      </c>
      <c r="D31" s="6" t="str">
        <f ca="1">IFERROR(__xludf.DUMMYFUNCTION("""COMPUTED_VALUE"""),"PG-13")</f>
        <v>PG-13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6.8" x14ac:dyDescent="0.45">
      <c r="A32" s="6">
        <f ca="1">IFERROR(__xludf.DUMMYFUNCTION("""COMPUTED_VALUE"""),16)</f>
        <v>16</v>
      </c>
      <c r="B32" s="6" t="str">
        <f ca="1">IFERROR(__xludf.DUMMYFUNCTION("""COMPUTED_VALUE"""),"The Matrix")</f>
        <v>The Matrix</v>
      </c>
      <c r="C32" s="6">
        <f ca="1">IFERROR(__xludf.DUMMYFUNCTION("""COMPUTED_VALUE"""),1999)</f>
        <v>1999</v>
      </c>
      <c r="D32" s="6" t="str">
        <f ca="1">IFERROR(__xludf.DUMMYFUNCTION("""COMPUTED_VALUE"""),"R")</f>
        <v>R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6.8" x14ac:dyDescent="0.45">
      <c r="A33" s="6">
        <f ca="1">IFERROR(__xludf.DUMMYFUNCTION("""COMPUTED_VALUE"""),17)</f>
        <v>17</v>
      </c>
      <c r="B33" s="6" t="str">
        <f ca="1">IFERROR(__xludf.DUMMYFUNCTION("""COMPUTED_VALUE"""),"Goodfellas")</f>
        <v>Goodfellas</v>
      </c>
      <c r="C33" s="6">
        <f ca="1">IFERROR(__xludf.DUMMYFUNCTION("""COMPUTED_VALUE"""),1990)</f>
        <v>1990</v>
      </c>
      <c r="D33" s="6" t="str">
        <f ca="1">IFERROR(__xludf.DUMMYFUNCTION("""COMPUTED_VALUE"""),"R")</f>
        <v>R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6.8" x14ac:dyDescent="0.45">
      <c r="A34" s="6">
        <f ca="1">IFERROR(__xludf.DUMMYFUNCTION("""COMPUTED_VALUE"""),18)</f>
        <v>18</v>
      </c>
      <c r="B34" s="6" t="str">
        <f ca="1">IFERROR(__xludf.DUMMYFUNCTION("""COMPUTED_VALUE"""),"Star Wars: Episode V - The Empire Strikes Back")</f>
        <v>Star Wars: Episode V - The Empire Strikes Back</v>
      </c>
      <c r="C34" s="6">
        <f ca="1">IFERROR(__xludf.DUMMYFUNCTION("""COMPUTED_VALUE"""),1980)</f>
        <v>1980</v>
      </c>
      <c r="D34" s="6" t="str">
        <f ca="1">IFERROR(__xludf.DUMMYFUNCTION("""COMPUTED_VALUE"""),"PG")</f>
        <v>PG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6.8" x14ac:dyDescent="0.45">
      <c r="A35" s="6">
        <f ca="1">IFERROR(__xludf.DUMMYFUNCTION("""COMPUTED_VALUE"""),19)</f>
        <v>19</v>
      </c>
      <c r="B35" s="6" t="str">
        <f ca="1">IFERROR(__xludf.DUMMYFUNCTION("""COMPUTED_VALUE"""),"One Flew Over the Cuckoo's Nest")</f>
        <v>One Flew Over the Cuckoo's Nest</v>
      </c>
      <c r="C35" s="6">
        <f ca="1">IFERROR(__xludf.DUMMYFUNCTION("""COMPUTED_VALUE"""),1975)</f>
        <v>1975</v>
      </c>
      <c r="D35" s="6" t="str">
        <f ca="1">IFERROR(__xludf.DUMMYFUNCTION("""COMPUTED_VALUE"""),"R")</f>
        <v>R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6.8" x14ac:dyDescent="0.45">
      <c r="A36" s="6">
        <f ca="1">IFERROR(__xludf.DUMMYFUNCTION("""COMPUTED_VALUE"""),20)</f>
        <v>20</v>
      </c>
      <c r="B36" s="6" t="str">
        <f ca="1">IFERROR(__xludf.DUMMYFUNCTION("""COMPUTED_VALUE"""),"Parasite")</f>
        <v>Parasite</v>
      </c>
      <c r="C36" s="6">
        <f ca="1">IFERROR(__xludf.DUMMYFUNCTION("""COMPUTED_VALUE"""),2019)</f>
        <v>2019</v>
      </c>
      <c r="D36" s="6" t="str">
        <f ca="1">IFERROR(__xludf.DUMMYFUNCTION("""COMPUTED_VALUE"""),"R")</f>
        <v>R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6.8" x14ac:dyDescent="0.45">
      <c r="A37" s="6">
        <f ca="1">IFERROR(__xludf.DUMMYFUNCTION("""COMPUTED_VALUE"""),21)</f>
        <v>21</v>
      </c>
      <c r="B37" s="6" t="str">
        <f ca="1">IFERROR(__xludf.DUMMYFUNCTION("""COMPUTED_VALUE"""),"Interstellar")</f>
        <v>Interstellar</v>
      </c>
      <c r="C37" s="6">
        <f ca="1">IFERROR(__xludf.DUMMYFUNCTION("""COMPUTED_VALUE"""),2014)</f>
        <v>2014</v>
      </c>
      <c r="D37" s="6" t="str">
        <f ca="1">IFERROR(__xludf.DUMMYFUNCTION("""COMPUTED_VALUE"""),"PG-13")</f>
        <v>PG-13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6.8" x14ac:dyDescent="0.45">
      <c r="A38" s="6">
        <f ca="1">IFERROR(__xludf.DUMMYFUNCTION("""COMPUTED_VALUE"""),22)</f>
        <v>22</v>
      </c>
      <c r="B38" s="6" t="str">
        <f ca="1">IFERROR(__xludf.DUMMYFUNCTION("""COMPUTED_VALUE"""),"City of God")</f>
        <v>City of God</v>
      </c>
      <c r="C38" s="6">
        <f ca="1">IFERROR(__xludf.DUMMYFUNCTION("""COMPUTED_VALUE"""),2002)</f>
        <v>2002</v>
      </c>
      <c r="D38" s="6" t="str">
        <f ca="1">IFERROR(__xludf.DUMMYFUNCTION("""COMPUTED_VALUE"""),"R")</f>
        <v>R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6.8" x14ac:dyDescent="0.45">
      <c r="A39" s="6">
        <f ca="1">IFERROR(__xludf.DUMMYFUNCTION("""COMPUTED_VALUE"""),23)</f>
        <v>23</v>
      </c>
      <c r="B39" s="6" t="str">
        <f ca="1">IFERROR(__xludf.DUMMYFUNCTION("""COMPUTED_VALUE"""),"Spirited Away")</f>
        <v>Spirited Away</v>
      </c>
      <c r="C39" s="6">
        <f ca="1">IFERROR(__xludf.DUMMYFUNCTION("""COMPUTED_VALUE"""),2001)</f>
        <v>2001</v>
      </c>
      <c r="D39" s="6" t="str">
        <f ca="1">IFERROR(__xludf.DUMMYFUNCTION("""COMPUTED_VALUE"""),"PG")</f>
        <v>PG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6.8" x14ac:dyDescent="0.45">
      <c r="A40" s="6">
        <f ca="1">IFERROR(__xludf.DUMMYFUNCTION("""COMPUTED_VALUE"""),24)</f>
        <v>24</v>
      </c>
      <c r="B40" s="6" t="str">
        <f ca="1">IFERROR(__xludf.DUMMYFUNCTION("""COMPUTED_VALUE"""),"Saving Private Ryan")</f>
        <v>Saving Private Ryan</v>
      </c>
      <c r="C40" s="6">
        <f ca="1">IFERROR(__xludf.DUMMYFUNCTION("""COMPUTED_VALUE"""),1998)</f>
        <v>1998</v>
      </c>
      <c r="D40" s="6" t="str">
        <f ca="1">IFERROR(__xludf.DUMMYFUNCTION("""COMPUTED_VALUE"""),"R")</f>
        <v>R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6.8" x14ac:dyDescent="0.45">
      <c r="A41" s="6">
        <f ca="1">IFERROR(__xludf.DUMMYFUNCTION("""COMPUTED_VALUE"""),25)</f>
        <v>25</v>
      </c>
      <c r="B41" s="6" t="str">
        <f ca="1">IFERROR(__xludf.DUMMYFUNCTION("""COMPUTED_VALUE"""),"The Green Mile")</f>
        <v>The Green Mile</v>
      </c>
      <c r="C41" s="6">
        <f ca="1">IFERROR(__xludf.DUMMYFUNCTION("""COMPUTED_VALUE"""),1999)</f>
        <v>1999</v>
      </c>
      <c r="D41" s="6" t="str">
        <f ca="1">IFERROR(__xludf.DUMMYFUNCTION("""COMPUTED_VALUE"""),"R")</f>
        <v>R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6.8" x14ac:dyDescent="0.45">
      <c r="A42" s="6">
        <f ca="1">IFERROR(__xludf.DUMMYFUNCTION("""COMPUTED_VALUE"""),26)</f>
        <v>26</v>
      </c>
      <c r="B42" s="6" t="str">
        <f ca="1">IFERROR(__xludf.DUMMYFUNCTION("""COMPUTED_VALUE"""),"Life Is Beautiful")</f>
        <v>Life Is Beautiful</v>
      </c>
      <c r="C42" s="6">
        <f ca="1">IFERROR(__xludf.DUMMYFUNCTION("""COMPUTED_VALUE"""),1997)</f>
        <v>1997</v>
      </c>
      <c r="D42" s="6" t="str">
        <f ca="1">IFERROR(__xludf.DUMMYFUNCTION("""COMPUTED_VALUE"""),"PG-13")</f>
        <v>PG-13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6.8" x14ac:dyDescent="0.45">
      <c r="A43" s="6">
        <f ca="1">IFERROR(__xludf.DUMMYFUNCTION("""COMPUTED_VALUE"""),27)</f>
        <v>27</v>
      </c>
      <c r="B43" s="6" t="str">
        <f ca="1">IFERROR(__xludf.DUMMYFUNCTION("""COMPUTED_VALUE"""),"Se7en")</f>
        <v>Se7en</v>
      </c>
      <c r="C43" s="6">
        <f ca="1">IFERROR(__xludf.DUMMYFUNCTION("""COMPUTED_VALUE"""),1995)</f>
        <v>1995</v>
      </c>
      <c r="D43" s="6" t="str">
        <f ca="1">IFERROR(__xludf.DUMMYFUNCTION("""COMPUTED_VALUE"""),"R")</f>
        <v>R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6.8" x14ac:dyDescent="0.45">
      <c r="A44" s="6">
        <f ca="1">IFERROR(__xludf.DUMMYFUNCTION("""COMPUTED_VALUE"""),28)</f>
        <v>28</v>
      </c>
      <c r="B44" s="6" t="str">
        <f ca="1">IFERROR(__xludf.DUMMYFUNCTION("""COMPUTED_VALUE"""),"The Silence of the Lambs")</f>
        <v>The Silence of the Lambs</v>
      </c>
      <c r="C44" s="6">
        <f ca="1">IFERROR(__xludf.DUMMYFUNCTION("""COMPUTED_VALUE"""),1991)</f>
        <v>1991</v>
      </c>
      <c r="D44" s="6" t="str">
        <f ca="1">IFERROR(__xludf.DUMMYFUNCTION("""COMPUTED_VALUE"""),"R")</f>
        <v>R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6.8" x14ac:dyDescent="0.45">
      <c r="A45" s="6">
        <f ca="1">IFERROR(__xludf.DUMMYFUNCTION("""COMPUTED_VALUE"""),29)</f>
        <v>29</v>
      </c>
      <c r="B45" s="6" t="str">
        <f ca="1">IFERROR(__xludf.DUMMYFUNCTION("""COMPUTED_VALUE"""),"Star Wars: Episode IV - A New Hope")</f>
        <v>Star Wars: Episode IV - A New Hope</v>
      </c>
      <c r="C45" s="6">
        <f ca="1">IFERROR(__xludf.DUMMYFUNCTION("""COMPUTED_VALUE"""),1977)</f>
        <v>1977</v>
      </c>
      <c r="D45" s="6" t="str">
        <f ca="1">IFERROR(__xludf.DUMMYFUNCTION("""COMPUTED_VALUE"""),"PG")</f>
        <v>PG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6.8" x14ac:dyDescent="0.45">
      <c r="A46" s="6">
        <f ca="1">IFERROR(__xludf.DUMMYFUNCTION("""COMPUTED_VALUE"""),30)</f>
        <v>30</v>
      </c>
      <c r="B46" s="6" t="str">
        <f ca="1">IFERROR(__xludf.DUMMYFUNCTION("""COMPUTED_VALUE"""),"Harakiri")</f>
        <v>Harakiri</v>
      </c>
      <c r="C46" s="6">
        <f ca="1">IFERROR(__xludf.DUMMYFUNCTION("""COMPUTED_VALUE"""),1962)</f>
        <v>1962</v>
      </c>
      <c r="D46" s="6" t="str">
        <f ca="1">IFERROR(__xludf.DUMMYFUNCTION("""COMPUTED_VALUE"""),"Not Rated")</f>
        <v>Not Rated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6.8" x14ac:dyDescent="0.45">
      <c r="A47" s="6">
        <f ca="1">IFERROR(__xludf.DUMMYFUNCTION("""COMPUTED_VALUE"""),31)</f>
        <v>31</v>
      </c>
      <c r="B47" s="6" t="str">
        <f ca="1">IFERROR(__xludf.DUMMYFUNCTION("""COMPUTED_VALUE"""),"Seven Samurai")</f>
        <v>Seven Samurai</v>
      </c>
      <c r="C47" s="6">
        <f ca="1">IFERROR(__xludf.DUMMYFUNCTION("""COMPUTED_VALUE"""),1954)</f>
        <v>1954</v>
      </c>
      <c r="D47" s="6" t="str">
        <f ca="1">IFERROR(__xludf.DUMMYFUNCTION("""COMPUTED_VALUE"""),"Not Rated")</f>
        <v>Not Rated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6.8" x14ac:dyDescent="0.45">
      <c r="A48" s="6">
        <f ca="1">IFERROR(__xludf.DUMMYFUNCTION("""COMPUTED_VALUE"""),32)</f>
        <v>32</v>
      </c>
      <c r="B48" s="6" t="str">
        <f ca="1">IFERROR(__xludf.DUMMYFUNCTION("""COMPUTED_VALUE"""),"It's a Wonderful Life")</f>
        <v>It's a Wonderful Life</v>
      </c>
      <c r="C48" s="6">
        <f ca="1">IFERROR(__xludf.DUMMYFUNCTION("""COMPUTED_VALUE"""),1946)</f>
        <v>1946</v>
      </c>
      <c r="D48" s="6" t="str">
        <f ca="1">IFERROR(__xludf.DUMMYFUNCTION("""COMPUTED_VALUE"""),"PG")</f>
        <v>PG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6.8" x14ac:dyDescent="0.45">
      <c r="A49" s="6">
        <f ca="1">IFERROR(__xludf.DUMMYFUNCTION("""COMPUTED_VALUE"""),33)</f>
        <v>33</v>
      </c>
      <c r="B49" s="6" t="str">
        <f ca="1">IFERROR(__xludf.DUMMYFUNCTION("""COMPUTED_VALUE"""),"Joker")</f>
        <v>Joker</v>
      </c>
      <c r="C49" s="6">
        <f ca="1">IFERROR(__xludf.DUMMYFUNCTION("""COMPUTED_VALUE"""),2019)</f>
        <v>2019</v>
      </c>
      <c r="D49" s="6" t="str">
        <f ca="1">IFERROR(__xludf.DUMMYFUNCTION("""COMPUTED_VALUE"""),"R")</f>
        <v>R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6.8" x14ac:dyDescent="0.45">
      <c r="A50" s="6">
        <f ca="1">IFERROR(__xludf.DUMMYFUNCTION("""COMPUTED_VALUE"""),34)</f>
        <v>34</v>
      </c>
      <c r="B50" s="6" t="str">
        <f ca="1">IFERROR(__xludf.DUMMYFUNCTION("""COMPUTED_VALUE"""),"Whiplash")</f>
        <v>Whiplash</v>
      </c>
      <c r="C50" s="6">
        <f ca="1">IFERROR(__xludf.DUMMYFUNCTION("""COMPUTED_VALUE"""),2014)</f>
        <v>2014</v>
      </c>
      <c r="D50" s="6" t="str">
        <f ca="1">IFERROR(__xludf.DUMMYFUNCTION("""COMPUTED_VALUE"""),"R")</f>
        <v>R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6.8" x14ac:dyDescent="0.45">
      <c r="A51" s="6">
        <f ca="1">IFERROR(__xludf.DUMMYFUNCTION("""COMPUTED_VALUE"""),35)</f>
        <v>35</v>
      </c>
      <c r="B51" s="6" t="str">
        <f ca="1">IFERROR(__xludf.DUMMYFUNCTION("""COMPUTED_VALUE"""),"The Intouchables")</f>
        <v>The Intouchables</v>
      </c>
      <c r="C51" s="6">
        <f ca="1">IFERROR(__xludf.DUMMYFUNCTION("""COMPUTED_VALUE"""),2011)</f>
        <v>2011</v>
      </c>
      <c r="D51" s="6" t="str">
        <f ca="1">IFERROR(__xludf.DUMMYFUNCTION("""COMPUTED_VALUE"""),"R")</f>
        <v>R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6.8" x14ac:dyDescent="0.45">
      <c r="A52" s="6">
        <f ca="1">IFERROR(__xludf.DUMMYFUNCTION("""COMPUTED_VALUE"""),36)</f>
        <v>36</v>
      </c>
      <c r="B52" s="6" t="str">
        <f ca="1">IFERROR(__xludf.DUMMYFUNCTION("""COMPUTED_VALUE"""),"The Prestige")</f>
        <v>The Prestige</v>
      </c>
      <c r="C52" s="6">
        <f ca="1">IFERROR(__xludf.DUMMYFUNCTION("""COMPUTED_VALUE"""),2006)</f>
        <v>2006</v>
      </c>
      <c r="D52" s="6" t="str">
        <f ca="1">IFERROR(__xludf.DUMMYFUNCTION("""COMPUTED_VALUE"""),"PG-13")</f>
        <v>PG-13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6.8" x14ac:dyDescent="0.45">
      <c r="A53" s="6">
        <f ca="1">IFERROR(__xludf.DUMMYFUNCTION("""COMPUTED_VALUE"""),37)</f>
        <v>37</v>
      </c>
      <c r="B53" s="6" t="str">
        <f ca="1">IFERROR(__xludf.DUMMYFUNCTION("""COMPUTED_VALUE"""),"The Departed")</f>
        <v>The Departed</v>
      </c>
      <c r="C53" s="6">
        <f ca="1">IFERROR(__xludf.DUMMYFUNCTION("""COMPUTED_VALUE"""),2006)</f>
        <v>2006</v>
      </c>
      <c r="D53" s="6" t="str">
        <f ca="1">IFERROR(__xludf.DUMMYFUNCTION("""COMPUTED_VALUE"""),"R")</f>
        <v>R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6.8" x14ac:dyDescent="0.45">
      <c r="A54" s="6">
        <f ca="1">IFERROR(__xludf.DUMMYFUNCTION("""COMPUTED_VALUE"""),38)</f>
        <v>38</v>
      </c>
      <c r="B54" s="6" t="str">
        <f ca="1">IFERROR(__xludf.DUMMYFUNCTION("""COMPUTED_VALUE"""),"The Pianist")</f>
        <v>The Pianist</v>
      </c>
      <c r="C54" s="6">
        <f ca="1">IFERROR(__xludf.DUMMYFUNCTION("""COMPUTED_VALUE"""),2002)</f>
        <v>2002</v>
      </c>
      <c r="D54" s="6" t="str">
        <f ca="1">IFERROR(__xludf.DUMMYFUNCTION("""COMPUTED_VALUE"""),"R")</f>
        <v>R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6.8" x14ac:dyDescent="0.45">
      <c r="A55" s="6">
        <f ca="1">IFERROR(__xludf.DUMMYFUNCTION("""COMPUTED_VALUE"""),39)</f>
        <v>39</v>
      </c>
      <c r="B55" s="6" t="str">
        <f ca="1">IFERROR(__xludf.DUMMYFUNCTION("""COMPUTED_VALUE"""),"Gladiator")</f>
        <v>Gladiator</v>
      </c>
      <c r="C55" s="6">
        <f ca="1">IFERROR(__xludf.DUMMYFUNCTION("""COMPUTED_VALUE"""),2000)</f>
        <v>2000</v>
      </c>
      <c r="D55" s="6" t="str">
        <f ca="1">IFERROR(__xludf.DUMMYFUNCTION("""COMPUTED_VALUE"""),"R")</f>
        <v>R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6.8" x14ac:dyDescent="0.45">
      <c r="A56" s="6">
        <f ca="1">IFERROR(__xludf.DUMMYFUNCTION("""COMPUTED_VALUE"""),40)</f>
        <v>40</v>
      </c>
      <c r="B56" s="6" t="str">
        <f ca="1">IFERROR(__xludf.DUMMYFUNCTION("""COMPUTED_VALUE"""),"American History X")</f>
        <v>American History X</v>
      </c>
      <c r="C56" s="6">
        <f ca="1">IFERROR(__xludf.DUMMYFUNCTION("""COMPUTED_VALUE"""),1998)</f>
        <v>1998</v>
      </c>
      <c r="D56" s="6" t="str">
        <f ca="1">IFERROR(__xludf.DUMMYFUNCTION("""COMPUTED_VALUE"""),"R")</f>
        <v>R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6.8" x14ac:dyDescent="0.45">
      <c r="A57" s="6">
        <f ca="1">IFERROR(__xludf.DUMMYFUNCTION("""COMPUTED_VALUE"""),41)</f>
        <v>41</v>
      </c>
      <c r="B57" s="6" t="str">
        <f ca="1">IFERROR(__xludf.DUMMYFUNCTION("""COMPUTED_VALUE"""),"The Usual Suspects")</f>
        <v>The Usual Suspects</v>
      </c>
      <c r="C57" s="6">
        <f ca="1">IFERROR(__xludf.DUMMYFUNCTION("""COMPUTED_VALUE"""),1995)</f>
        <v>1995</v>
      </c>
      <c r="D57" s="6" t="str">
        <f ca="1">IFERROR(__xludf.DUMMYFUNCTION("""COMPUTED_VALUE"""),"R")</f>
        <v>R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6.8" x14ac:dyDescent="0.45">
      <c r="A58" s="6">
        <f ca="1">IFERROR(__xludf.DUMMYFUNCTION("""COMPUTED_VALUE"""),42)</f>
        <v>42</v>
      </c>
      <c r="B58" s="6" t="str">
        <f ca="1">IFERROR(__xludf.DUMMYFUNCTION("""COMPUTED_VALUE"""),"Léon: The Professional")</f>
        <v>Léon: The Professional</v>
      </c>
      <c r="C58" s="6">
        <f ca="1">IFERROR(__xludf.DUMMYFUNCTION("""COMPUTED_VALUE"""),1994)</f>
        <v>1994</v>
      </c>
      <c r="D58" s="6" t="str">
        <f ca="1">IFERROR(__xludf.DUMMYFUNCTION("""COMPUTED_VALUE"""),"R")</f>
        <v>R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6.8" x14ac:dyDescent="0.45">
      <c r="A59" s="6">
        <f ca="1">IFERROR(__xludf.DUMMYFUNCTION("""COMPUTED_VALUE"""),43)</f>
        <v>43</v>
      </c>
      <c r="B59" s="6" t="str">
        <f ca="1">IFERROR(__xludf.DUMMYFUNCTION("""COMPUTED_VALUE"""),"The Lion King")</f>
        <v>The Lion King</v>
      </c>
      <c r="C59" s="6">
        <f ca="1">IFERROR(__xludf.DUMMYFUNCTION("""COMPUTED_VALUE"""),1994)</f>
        <v>1994</v>
      </c>
      <c r="D59" s="6" t="str">
        <f ca="1">IFERROR(__xludf.DUMMYFUNCTION("""COMPUTED_VALUE"""),"G")</f>
        <v>G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6.8" x14ac:dyDescent="0.45">
      <c r="A60" s="6">
        <f ca="1">IFERROR(__xludf.DUMMYFUNCTION("""COMPUTED_VALUE"""),44)</f>
        <v>44</v>
      </c>
      <c r="B60" s="6" t="str">
        <f ca="1">IFERROR(__xludf.DUMMYFUNCTION("""COMPUTED_VALUE"""),"Terminator 2: Judgment Day")</f>
        <v>Terminator 2: Judgment Day</v>
      </c>
      <c r="C60" s="6">
        <f ca="1">IFERROR(__xludf.DUMMYFUNCTION("""COMPUTED_VALUE"""),1991)</f>
        <v>1991</v>
      </c>
      <c r="D60" s="6" t="str">
        <f ca="1">IFERROR(__xludf.DUMMYFUNCTION("""COMPUTED_VALUE"""),"R")</f>
        <v>R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6.8" x14ac:dyDescent="0.45">
      <c r="A61" s="6">
        <f ca="1">IFERROR(__xludf.DUMMYFUNCTION("""COMPUTED_VALUE"""),45)</f>
        <v>45</v>
      </c>
      <c r="B61" s="6" t="str">
        <f ca="1">IFERROR(__xludf.DUMMYFUNCTION("""COMPUTED_VALUE"""),"Cinema Paradiso")</f>
        <v>Cinema Paradiso</v>
      </c>
      <c r="C61" s="6">
        <f ca="1">IFERROR(__xludf.DUMMYFUNCTION("""COMPUTED_VALUE"""),1988)</f>
        <v>1988</v>
      </c>
      <c r="D61" s="6" t="str">
        <f ca="1">IFERROR(__xludf.DUMMYFUNCTION("""COMPUTED_VALUE"""),"R")</f>
        <v>R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6.8" x14ac:dyDescent="0.45">
      <c r="A62" s="6">
        <f ca="1">IFERROR(__xludf.DUMMYFUNCTION("""COMPUTED_VALUE"""),46)</f>
        <v>46</v>
      </c>
      <c r="B62" s="6" t="str">
        <f ca="1">IFERROR(__xludf.DUMMYFUNCTION("""COMPUTED_VALUE"""),"Grave of the Fireflies")</f>
        <v>Grave of the Fireflies</v>
      </c>
      <c r="C62" s="6">
        <f ca="1">IFERROR(__xludf.DUMMYFUNCTION("""COMPUTED_VALUE"""),1988)</f>
        <v>1988</v>
      </c>
      <c r="D62" s="6" t="str">
        <f ca="1">IFERROR(__xludf.DUMMYFUNCTION("""COMPUTED_VALUE"""),"Not Rated")</f>
        <v>Not Rated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6.8" x14ac:dyDescent="0.45">
      <c r="A63" s="6">
        <f ca="1">IFERROR(__xludf.DUMMYFUNCTION("""COMPUTED_VALUE"""),47)</f>
        <v>47</v>
      </c>
      <c r="B63" s="6" t="str">
        <f ca="1">IFERROR(__xludf.DUMMYFUNCTION("""COMPUTED_VALUE"""),"Back to the Future")</f>
        <v>Back to the Future</v>
      </c>
      <c r="C63" s="6">
        <f ca="1">IFERROR(__xludf.DUMMYFUNCTION("""COMPUTED_VALUE"""),1985)</f>
        <v>1985</v>
      </c>
      <c r="D63" s="6" t="str">
        <f ca="1">IFERROR(__xludf.DUMMYFUNCTION("""COMPUTED_VALUE"""),"PG")</f>
        <v>PG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6.8" x14ac:dyDescent="0.45">
      <c r="A64" s="6">
        <f ca="1">IFERROR(__xludf.DUMMYFUNCTION("""COMPUTED_VALUE"""),48)</f>
        <v>48</v>
      </c>
      <c r="B64" s="6" t="str">
        <f ca="1">IFERROR(__xludf.DUMMYFUNCTION("""COMPUTED_VALUE"""),"Anand")</f>
        <v>Anand</v>
      </c>
      <c r="C64" s="6">
        <f ca="1">IFERROR(__xludf.DUMMYFUNCTION("""COMPUTED_VALUE"""),1971)</f>
        <v>1971</v>
      </c>
      <c r="D64" s="6" t="str">
        <f ca="1">IFERROR(__xludf.DUMMYFUNCTION("""COMPUTED_VALUE"""),"Not Rated")</f>
        <v>Not Rated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6.8" x14ac:dyDescent="0.45">
      <c r="A65" s="6">
        <f ca="1">IFERROR(__xludf.DUMMYFUNCTION("""COMPUTED_VALUE"""),49)</f>
        <v>49</v>
      </c>
      <c r="B65" s="6" t="str">
        <f ca="1">IFERROR(__xludf.DUMMYFUNCTION("""COMPUTED_VALUE"""),"Once Upon a Time in the West")</f>
        <v>Once Upon a Time in the West</v>
      </c>
      <c r="C65" s="6">
        <f ca="1">IFERROR(__xludf.DUMMYFUNCTION("""COMPUTED_VALUE"""),1968)</f>
        <v>1968</v>
      </c>
      <c r="D65" s="6" t="str">
        <f ca="1">IFERROR(__xludf.DUMMYFUNCTION("""COMPUTED_VALUE"""),"PG-13")</f>
        <v>PG-13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6.8" x14ac:dyDescent="0.45">
      <c r="A66" s="6">
        <f ca="1">IFERROR(__xludf.DUMMYFUNCTION("""COMPUTED_VALUE"""),50)</f>
        <v>50</v>
      </c>
      <c r="B66" s="6" t="str">
        <f ca="1">IFERROR(__xludf.DUMMYFUNCTION("""COMPUTED_VALUE"""),"Psycho")</f>
        <v>Psycho</v>
      </c>
      <c r="C66" s="6">
        <f ca="1">IFERROR(__xludf.DUMMYFUNCTION("""COMPUTED_VALUE"""),1960)</f>
        <v>1960</v>
      </c>
      <c r="D66" s="6" t="str">
        <f ca="1">IFERROR(__xludf.DUMMYFUNCTION("""COMPUTED_VALUE"""),"R")</f>
        <v>R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6.8" x14ac:dyDescent="0.45">
      <c r="A67" s="6">
        <f ca="1">IFERROR(__xludf.DUMMYFUNCTION("""COMPUTED_VALUE"""),51)</f>
        <v>51</v>
      </c>
      <c r="B67" s="6" t="str">
        <f ca="1">IFERROR(__xludf.DUMMYFUNCTION("""COMPUTED_VALUE"""),"Casablanca")</f>
        <v>Casablanca</v>
      </c>
      <c r="C67" s="6">
        <f ca="1">IFERROR(__xludf.DUMMYFUNCTION("""COMPUTED_VALUE"""),1942)</f>
        <v>1942</v>
      </c>
      <c r="D67" s="6" t="str">
        <f ca="1">IFERROR(__xludf.DUMMYFUNCTION("""COMPUTED_VALUE"""),"PG")</f>
        <v>PG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6.8" x14ac:dyDescent="0.45">
      <c r="A68" s="6">
        <f ca="1">IFERROR(__xludf.DUMMYFUNCTION("""COMPUTED_VALUE"""),52)</f>
        <v>52</v>
      </c>
      <c r="B68" s="6" t="str">
        <f ca="1">IFERROR(__xludf.DUMMYFUNCTION("""COMPUTED_VALUE"""),"Modern Times")</f>
        <v>Modern Times</v>
      </c>
      <c r="C68" s="6">
        <f ca="1">IFERROR(__xludf.DUMMYFUNCTION("""COMPUTED_VALUE"""),1936)</f>
        <v>1936</v>
      </c>
      <c r="D68" s="6" t="str">
        <f ca="1">IFERROR(__xludf.DUMMYFUNCTION("""COMPUTED_VALUE"""),"G")</f>
        <v>G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6.8" x14ac:dyDescent="0.45">
      <c r="A69" s="6">
        <f ca="1">IFERROR(__xludf.DUMMYFUNCTION("""COMPUTED_VALUE"""),53)</f>
        <v>53</v>
      </c>
      <c r="B69" s="6" t="str">
        <f ca="1">IFERROR(__xludf.DUMMYFUNCTION("""COMPUTED_VALUE"""),"City Lights")</f>
        <v>City Lights</v>
      </c>
      <c r="C69" s="6">
        <f ca="1">IFERROR(__xludf.DUMMYFUNCTION("""COMPUTED_VALUE"""),1931)</f>
        <v>1931</v>
      </c>
      <c r="D69" s="6" t="str">
        <f ca="1">IFERROR(__xludf.DUMMYFUNCTION("""COMPUTED_VALUE"""),"G")</f>
        <v>G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6.8" x14ac:dyDescent="0.45">
      <c r="A70" s="6">
        <f ca="1">IFERROR(__xludf.DUMMYFUNCTION("""COMPUTED_VALUE"""),54)</f>
        <v>54</v>
      </c>
      <c r="B70" s="6" t="str">
        <f ca="1">IFERROR(__xludf.DUMMYFUNCTION("""COMPUTED_VALUE"""),"Capharnaüm")</f>
        <v>Capharnaüm</v>
      </c>
      <c r="C70" s="6">
        <f ca="1">IFERROR(__xludf.DUMMYFUNCTION("""COMPUTED_VALUE"""),2018)</f>
        <v>2018</v>
      </c>
      <c r="D70" s="6" t="str">
        <f ca="1">IFERROR(__xludf.DUMMYFUNCTION("""COMPUTED_VALUE"""),"R")</f>
        <v>R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6.8" x14ac:dyDescent="0.45">
      <c r="A71" s="6">
        <f ca="1">IFERROR(__xludf.DUMMYFUNCTION("""COMPUTED_VALUE"""),56)</f>
        <v>56</v>
      </c>
      <c r="B71" s="6" t="str">
        <f ca="1">IFERROR(__xludf.DUMMYFUNCTION("""COMPUTED_VALUE"""),"Your Name.")</f>
        <v>Your Name.</v>
      </c>
      <c r="C71" s="6">
        <f ca="1">IFERROR(__xludf.DUMMYFUNCTION("""COMPUTED_VALUE"""),2016)</f>
        <v>2016</v>
      </c>
      <c r="D71" s="6" t="str">
        <f ca="1">IFERROR(__xludf.DUMMYFUNCTION("""COMPUTED_VALUE"""),"PG")</f>
        <v>PG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6.8" x14ac:dyDescent="0.45">
      <c r="A72" s="6">
        <f ca="1">IFERROR(__xludf.DUMMYFUNCTION("""COMPUTED_VALUE"""),57)</f>
        <v>57</v>
      </c>
      <c r="B72" s="6" t="str">
        <f ca="1">IFERROR(__xludf.DUMMYFUNCTION("""COMPUTED_VALUE"""),"Dangal")</f>
        <v>Dangal</v>
      </c>
      <c r="C72" s="6">
        <f ca="1">IFERROR(__xludf.DUMMYFUNCTION("""COMPUTED_VALUE"""),2016)</f>
        <v>2016</v>
      </c>
      <c r="D72" s="6" t="str">
        <f ca="1">IFERROR(__xludf.DUMMYFUNCTION("""COMPUTED_VALUE"""),"Not Rated")</f>
        <v>Not Rated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6.8" x14ac:dyDescent="0.45">
      <c r="A73" s="6">
        <f ca="1">IFERROR(__xludf.DUMMYFUNCTION("""COMPUTED_VALUE"""),58)</f>
        <v>58</v>
      </c>
      <c r="B73" s="6" t="str">
        <f ca="1">IFERROR(__xludf.DUMMYFUNCTION("""COMPUTED_VALUE"""),"Spider-Man: Into the Spider-Verse")</f>
        <v>Spider-Man: Into the Spider-Verse</v>
      </c>
      <c r="C73" s="6">
        <f ca="1">IFERROR(__xludf.DUMMYFUNCTION("""COMPUTED_VALUE"""),2018)</f>
        <v>2018</v>
      </c>
      <c r="D73" s="6" t="str">
        <f ca="1">IFERROR(__xludf.DUMMYFUNCTION("""COMPUTED_VALUE"""),"PG")</f>
        <v>PG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6.8" x14ac:dyDescent="0.45">
      <c r="A74" s="6">
        <f ca="1">IFERROR(__xludf.DUMMYFUNCTION("""COMPUTED_VALUE"""),59)</f>
        <v>59</v>
      </c>
      <c r="B74" s="6" t="str">
        <f ca="1">IFERROR(__xludf.DUMMYFUNCTION("""COMPUTED_VALUE"""),"Avengers: Endgame")</f>
        <v>Avengers: Endgame</v>
      </c>
      <c r="C74" s="6">
        <f ca="1">IFERROR(__xludf.DUMMYFUNCTION("""COMPUTED_VALUE"""),2019)</f>
        <v>2019</v>
      </c>
      <c r="D74" s="6" t="str">
        <f ca="1">IFERROR(__xludf.DUMMYFUNCTION("""COMPUTED_VALUE"""),"PG-13")</f>
        <v>PG-13</v>
      </c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6.8" x14ac:dyDescent="0.45">
      <c r="A75" s="6">
        <f ca="1">IFERROR(__xludf.DUMMYFUNCTION("""COMPUTED_VALUE"""),60)</f>
        <v>60</v>
      </c>
      <c r="B75" s="6" t="str">
        <f ca="1">IFERROR(__xludf.DUMMYFUNCTION("""COMPUTED_VALUE"""),"Avengers: Infinity War")</f>
        <v>Avengers: Infinity War</v>
      </c>
      <c r="C75" s="6">
        <f ca="1">IFERROR(__xludf.DUMMYFUNCTION("""COMPUTED_VALUE"""),2018)</f>
        <v>2018</v>
      </c>
      <c r="D75" s="6" t="str">
        <f ca="1">IFERROR(__xludf.DUMMYFUNCTION("""COMPUTED_VALUE"""),"PG-13")</f>
        <v>PG-13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6.8" x14ac:dyDescent="0.45">
      <c r="A76" s="6">
        <f ca="1">IFERROR(__xludf.DUMMYFUNCTION("""COMPUTED_VALUE"""),61)</f>
        <v>61</v>
      </c>
      <c r="B76" s="6" t="str">
        <f ca="1">IFERROR(__xludf.DUMMYFUNCTION("""COMPUTED_VALUE"""),"Coco")</f>
        <v>Coco</v>
      </c>
      <c r="C76" s="6">
        <f ca="1">IFERROR(__xludf.DUMMYFUNCTION("""COMPUTED_VALUE"""),2017)</f>
        <v>2017</v>
      </c>
      <c r="D76" s="6" t="str">
        <f ca="1">IFERROR(__xludf.DUMMYFUNCTION("""COMPUTED_VALUE"""),"PG")</f>
        <v>PG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6.8" x14ac:dyDescent="0.45">
      <c r="A77" s="6">
        <f ca="1">IFERROR(__xludf.DUMMYFUNCTION("""COMPUTED_VALUE"""),62)</f>
        <v>62</v>
      </c>
      <c r="B77" s="6" t="str">
        <f ca="1">IFERROR(__xludf.DUMMYFUNCTION("""COMPUTED_VALUE"""),"Django Unchained")</f>
        <v>Django Unchained</v>
      </c>
      <c r="C77" s="6">
        <f ca="1">IFERROR(__xludf.DUMMYFUNCTION("""COMPUTED_VALUE"""),2012)</f>
        <v>2012</v>
      </c>
      <c r="D77" s="6" t="str">
        <f ca="1">IFERROR(__xludf.DUMMYFUNCTION("""COMPUTED_VALUE"""),"R")</f>
        <v>R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6.8" x14ac:dyDescent="0.45">
      <c r="A78" s="6">
        <f ca="1">IFERROR(__xludf.DUMMYFUNCTION("""COMPUTED_VALUE"""),63)</f>
        <v>63</v>
      </c>
      <c r="B78" s="6" t="str">
        <f ca="1">IFERROR(__xludf.DUMMYFUNCTION("""COMPUTED_VALUE"""),"The Dark Knight Rises")</f>
        <v>The Dark Knight Rises</v>
      </c>
      <c r="C78" s="6">
        <f ca="1">IFERROR(__xludf.DUMMYFUNCTION("""COMPUTED_VALUE"""),2012)</f>
        <v>2012</v>
      </c>
      <c r="D78" s="6" t="str">
        <f ca="1">IFERROR(__xludf.DUMMYFUNCTION("""COMPUTED_VALUE"""),"PG-13")</f>
        <v>PG-13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6.8" x14ac:dyDescent="0.45">
      <c r="A79" s="6">
        <f ca="1">IFERROR(__xludf.DUMMYFUNCTION("""COMPUTED_VALUE"""),64)</f>
        <v>64</v>
      </c>
      <c r="B79" s="6" t="str">
        <f ca="1">IFERROR(__xludf.DUMMYFUNCTION("""COMPUTED_VALUE"""),"3 Idiots")</f>
        <v>3 Idiots</v>
      </c>
      <c r="C79" s="6">
        <f ca="1">IFERROR(__xludf.DUMMYFUNCTION("""COMPUTED_VALUE"""),2009)</f>
        <v>2009</v>
      </c>
      <c r="D79" s="6" t="str">
        <f ca="1">IFERROR(__xludf.DUMMYFUNCTION("""COMPUTED_VALUE"""),"PG-13")</f>
        <v>PG-13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6.8" x14ac:dyDescent="0.45">
      <c r="A80" s="6">
        <f ca="1">IFERROR(__xludf.DUMMYFUNCTION("""COMPUTED_VALUE"""),65)</f>
        <v>65</v>
      </c>
      <c r="B80" s="6" t="str">
        <f ca="1">IFERROR(__xludf.DUMMYFUNCTION("""COMPUTED_VALUE"""),"Taare Zameen Par")</f>
        <v>Taare Zameen Par</v>
      </c>
      <c r="C80" s="6">
        <f ca="1">IFERROR(__xludf.DUMMYFUNCTION("""COMPUTED_VALUE"""),2007)</f>
        <v>2007</v>
      </c>
      <c r="D80" s="6" t="str">
        <f ca="1">IFERROR(__xludf.DUMMYFUNCTION("""COMPUTED_VALUE"""),"PG")</f>
        <v>PG</v>
      </c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6.8" x14ac:dyDescent="0.45">
      <c r="A81" s="6">
        <f ca="1">IFERROR(__xludf.DUMMYFUNCTION("""COMPUTED_VALUE"""),66)</f>
        <v>66</v>
      </c>
      <c r="B81" s="6" t="str">
        <f ca="1">IFERROR(__xludf.DUMMYFUNCTION("""COMPUTED_VALUE"""),"WALL·E")</f>
        <v>WALL·E</v>
      </c>
      <c r="C81" s="6">
        <f ca="1">IFERROR(__xludf.DUMMYFUNCTION("""COMPUTED_VALUE"""),2008)</f>
        <v>2008</v>
      </c>
      <c r="D81" s="6" t="str">
        <f ca="1">IFERROR(__xludf.DUMMYFUNCTION("""COMPUTED_VALUE"""),"G")</f>
        <v>G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6.8" x14ac:dyDescent="0.45">
      <c r="A82" s="6">
        <f ca="1">IFERROR(__xludf.DUMMYFUNCTION("""COMPUTED_VALUE"""),67)</f>
        <v>67</v>
      </c>
      <c r="B82" s="6" t="str">
        <f ca="1">IFERROR(__xludf.DUMMYFUNCTION("""COMPUTED_VALUE"""),"The Lives of Others")</f>
        <v>The Lives of Others</v>
      </c>
      <c r="C82" s="6">
        <f ca="1">IFERROR(__xludf.DUMMYFUNCTION("""COMPUTED_VALUE"""),2006)</f>
        <v>2006</v>
      </c>
      <c r="D82" s="6" t="str">
        <f ca="1">IFERROR(__xludf.DUMMYFUNCTION("""COMPUTED_VALUE"""),"R")</f>
        <v>R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6.8" x14ac:dyDescent="0.45">
      <c r="A83" s="6">
        <f ca="1">IFERROR(__xludf.DUMMYFUNCTION("""COMPUTED_VALUE"""),68)</f>
        <v>68</v>
      </c>
      <c r="B83" s="6" t="str">
        <f ca="1">IFERROR(__xludf.DUMMYFUNCTION("""COMPUTED_VALUE"""),"Oldboy")</f>
        <v>Oldboy</v>
      </c>
      <c r="C83" s="6">
        <f ca="1">IFERROR(__xludf.DUMMYFUNCTION("""COMPUTED_VALUE"""),2003)</f>
        <v>2003</v>
      </c>
      <c r="D83" s="6" t="str">
        <f ca="1">IFERROR(__xludf.DUMMYFUNCTION("""COMPUTED_VALUE"""),"R")</f>
        <v>R</v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6.8" x14ac:dyDescent="0.45">
      <c r="A84" s="6">
        <f ca="1">IFERROR(__xludf.DUMMYFUNCTION("""COMPUTED_VALUE"""),69)</f>
        <v>69</v>
      </c>
      <c r="B84" s="6" t="str">
        <f ca="1">IFERROR(__xludf.DUMMYFUNCTION("""COMPUTED_VALUE"""),"Memento")</f>
        <v>Memento</v>
      </c>
      <c r="C84" s="6">
        <f ca="1">IFERROR(__xludf.DUMMYFUNCTION("""COMPUTED_VALUE"""),2000)</f>
        <v>2000</v>
      </c>
      <c r="D84" s="6" t="str">
        <f ca="1">IFERROR(__xludf.DUMMYFUNCTION("""COMPUTED_VALUE"""),"R")</f>
        <v>R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6.8" x14ac:dyDescent="0.45">
      <c r="A85" s="6">
        <f ca="1">IFERROR(__xludf.DUMMYFUNCTION("""COMPUTED_VALUE"""),70)</f>
        <v>70</v>
      </c>
      <c r="B85" s="6" t="str">
        <f ca="1">IFERROR(__xludf.DUMMYFUNCTION("""COMPUTED_VALUE"""),"Princess Mononoke")</f>
        <v>Princess Mononoke</v>
      </c>
      <c r="C85" s="6">
        <f ca="1">IFERROR(__xludf.DUMMYFUNCTION("""COMPUTED_VALUE"""),1997)</f>
        <v>1997</v>
      </c>
      <c r="D85" s="6" t="str">
        <f ca="1">IFERROR(__xludf.DUMMYFUNCTION("""COMPUTED_VALUE"""),"PG-13")</f>
        <v>PG-13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6.8" x14ac:dyDescent="0.45">
      <c r="A86" s="6">
        <f ca="1">IFERROR(__xludf.DUMMYFUNCTION("""COMPUTED_VALUE"""),71)</f>
        <v>71</v>
      </c>
      <c r="B86" s="6" t="str">
        <f ca="1">IFERROR(__xludf.DUMMYFUNCTION("""COMPUTED_VALUE"""),"Once Upon a Time in America")</f>
        <v>Once Upon a Time in America</v>
      </c>
      <c r="C86" s="6">
        <f ca="1">IFERROR(__xludf.DUMMYFUNCTION("""COMPUTED_VALUE"""),1984)</f>
        <v>1984</v>
      </c>
      <c r="D86" s="6" t="str">
        <f ca="1">IFERROR(__xludf.DUMMYFUNCTION("""COMPUTED_VALUE"""),"R")</f>
        <v>R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6.8" x14ac:dyDescent="0.45">
      <c r="A87" s="6">
        <f ca="1">IFERROR(__xludf.DUMMYFUNCTION("""COMPUTED_VALUE"""),72)</f>
        <v>72</v>
      </c>
      <c r="B87" s="6" t="str">
        <f ca="1">IFERROR(__xludf.DUMMYFUNCTION("""COMPUTED_VALUE"""),"Raiders of the Lost Ark")</f>
        <v>Raiders of the Lost Ark</v>
      </c>
      <c r="C87" s="6">
        <f ca="1">IFERROR(__xludf.DUMMYFUNCTION("""COMPUTED_VALUE"""),1981)</f>
        <v>1981</v>
      </c>
      <c r="D87" s="6" t="str">
        <f ca="1">IFERROR(__xludf.DUMMYFUNCTION("""COMPUTED_VALUE"""),"PG")</f>
        <v>PG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6.8" x14ac:dyDescent="0.45">
      <c r="A88" s="6">
        <f ca="1">IFERROR(__xludf.DUMMYFUNCTION("""COMPUTED_VALUE"""),73)</f>
        <v>73</v>
      </c>
      <c r="B88" s="6" t="str">
        <f ca="1">IFERROR(__xludf.DUMMYFUNCTION("""COMPUTED_VALUE"""),"The Shining")</f>
        <v>The Shining</v>
      </c>
      <c r="C88" s="6">
        <f ca="1">IFERROR(__xludf.DUMMYFUNCTION("""COMPUTED_VALUE"""),1980)</f>
        <v>1980</v>
      </c>
      <c r="D88" s="6" t="str">
        <f ca="1">IFERROR(__xludf.DUMMYFUNCTION("""COMPUTED_VALUE"""),"R")</f>
        <v>R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6.8" x14ac:dyDescent="0.45">
      <c r="A89" s="6">
        <f ca="1">IFERROR(__xludf.DUMMYFUNCTION("""COMPUTED_VALUE"""),74)</f>
        <v>74</v>
      </c>
      <c r="B89" s="6" t="str">
        <f ca="1">IFERROR(__xludf.DUMMYFUNCTION("""COMPUTED_VALUE"""),"Apocalypse Now")</f>
        <v>Apocalypse Now</v>
      </c>
      <c r="C89" s="6">
        <f ca="1">IFERROR(__xludf.DUMMYFUNCTION("""COMPUTED_VALUE"""),1979)</f>
        <v>1979</v>
      </c>
      <c r="D89" s="6" t="str">
        <f ca="1">IFERROR(__xludf.DUMMYFUNCTION("""COMPUTED_VALUE"""),"R")</f>
        <v>R</v>
      </c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6.8" x14ac:dyDescent="0.45">
      <c r="A90" s="6">
        <f ca="1">IFERROR(__xludf.DUMMYFUNCTION("""COMPUTED_VALUE"""),75)</f>
        <v>75</v>
      </c>
      <c r="B90" s="6" t="str">
        <f ca="1">IFERROR(__xludf.DUMMYFUNCTION("""COMPUTED_VALUE"""),"Alien")</f>
        <v>Alien</v>
      </c>
      <c r="C90" s="6">
        <f ca="1">IFERROR(__xludf.DUMMYFUNCTION("""COMPUTED_VALUE"""),1979)</f>
        <v>1979</v>
      </c>
      <c r="D90" s="6" t="str">
        <f ca="1">IFERROR(__xludf.DUMMYFUNCTION("""COMPUTED_VALUE"""),"R")</f>
        <v>R</v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6.8" x14ac:dyDescent="0.45">
      <c r="A91" s="6">
        <f ca="1">IFERROR(__xludf.DUMMYFUNCTION("""COMPUTED_VALUE"""),76)</f>
        <v>76</v>
      </c>
      <c r="B91" s="6" t="str">
        <f ca="1">IFERROR(__xludf.DUMMYFUNCTION("""COMPUTED_VALUE"""),"High and Low")</f>
        <v>High and Low</v>
      </c>
      <c r="C91" s="6">
        <f ca="1">IFERROR(__xludf.DUMMYFUNCTION("""COMPUTED_VALUE"""),1963)</f>
        <v>1963</v>
      </c>
      <c r="D91" s="6" t="str">
        <f ca="1">IFERROR(__xludf.DUMMYFUNCTION("""COMPUTED_VALUE"""),"Not Rated")</f>
        <v>Not Rated</v>
      </c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6.8" x14ac:dyDescent="0.45">
      <c r="A92" s="6">
        <f ca="1">IFERROR(__xludf.DUMMYFUNCTION("""COMPUTED_VALUE"""),77)</f>
        <v>77</v>
      </c>
      <c r="B92" s="6" t="str">
        <f ca="1">IFERROR(__xludf.DUMMYFUNCTION("""COMPUTED_VALUE"""),"Dr. Strangelove or: How I Learned to Stop Worrying and Love the Bomb")</f>
        <v>Dr. Strangelove or: How I Learned to Stop Worrying and Love the Bomb</v>
      </c>
      <c r="C92" s="6">
        <f ca="1">IFERROR(__xludf.DUMMYFUNCTION("""COMPUTED_VALUE"""),1964)</f>
        <v>1964</v>
      </c>
      <c r="D92" s="6" t="str">
        <f ca="1">IFERROR(__xludf.DUMMYFUNCTION("""COMPUTED_VALUE"""),"PG")</f>
        <v>PG</v>
      </c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6.8" x14ac:dyDescent="0.45">
      <c r="A93" s="6">
        <f ca="1">IFERROR(__xludf.DUMMYFUNCTION("""COMPUTED_VALUE"""),78)</f>
        <v>78</v>
      </c>
      <c r="B93" s="6" t="str">
        <f ca="1">IFERROR(__xludf.DUMMYFUNCTION("""COMPUTED_VALUE"""),"Witness for the Prosecution")</f>
        <v>Witness for the Prosecution</v>
      </c>
      <c r="C93" s="6">
        <f ca="1">IFERROR(__xludf.DUMMYFUNCTION("""COMPUTED_VALUE"""),1957)</f>
        <v>1957</v>
      </c>
      <c r="D93" s="6" t="str">
        <f ca="1">IFERROR(__xludf.DUMMYFUNCTION("""COMPUTED_VALUE"""),"Approved")</f>
        <v>Approved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6.8" x14ac:dyDescent="0.45">
      <c r="A94" s="6">
        <f ca="1">IFERROR(__xludf.DUMMYFUNCTION("""COMPUTED_VALUE"""),79)</f>
        <v>79</v>
      </c>
      <c r="B94" s="6" t="str">
        <f ca="1">IFERROR(__xludf.DUMMYFUNCTION("""COMPUTED_VALUE"""),"Paths of Glory")</f>
        <v>Paths of Glory</v>
      </c>
      <c r="C94" s="6">
        <f ca="1">IFERROR(__xludf.DUMMYFUNCTION("""COMPUTED_VALUE"""),1957)</f>
        <v>1957</v>
      </c>
      <c r="D94" s="6" t="str">
        <f ca="1">IFERROR(__xludf.DUMMYFUNCTION("""COMPUTED_VALUE"""),"Approved")</f>
        <v>Approved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6.8" x14ac:dyDescent="0.45">
      <c r="A95" s="6">
        <f ca="1">IFERROR(__xludf.DUMMYFUNCTION("""COMPUTED_VALUE"""),80)</f>
        <v>80</v>
      </c>
      <c r="B95" s="6" t="str">
        <f ca="1">IFERROR(__xludf.DUMMYFUNCTION("""COMPUTED_VALUE"""),"Rear Window")</f>
        <v>Rear Window</v>
      </c>
      <c r="C95" s="6">
        <f ca="1">IFERROR(__xludf.DUMMYFUNCTION("""COMPUTED_VALUE"""),1954)</f>
        <v>1954</v>
      </c>
      <c r="D95" s="6" t="str">
        <f ca="1">IFERROR(__xludf.DUMMYFUNCTION("""COMPUTED_VALUE"""),"PG")</f>
        <v>PG</v>
      </c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6.8" x14ac:dyDescent="0.45">
      <c r="A96" s="6">
        <f ca="1">IFERROR(__xludf.DUMMYFUNCTION("""COMPUTED_VALUE"""),81)</f>
        <v>81</v>
      </c>
      <c r="B96" s="6" t="str">
        <f ca="1">IFERROR(__xludf.DUMMYFUNCTION("""COMPUTED_VALUE"""),"Sunset Blvd.")</f>
        <v>Sunset Blvd.</v>
      </c>
      <c r="C96" s="6">
        <f ca="1">IFERROR(__xludf.DUMMYFUNCTION("""COMPUTED_VALUE"""),1950)</f>
        <v>1950</v>
      </c>
      <c r="D96" s="6" t="str">
        <f ca="1">IFERROR(__xludf.DUMMYFUNCTION("""COMPUTED_VALUE"""),"Passed")</f>
        <v>Passed</v>
      </c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6.8" x14ac:dyDescent="0.45">
      <c r="A97" s="6">
        <f ca="1">IFERROR(__xludf.DUMMYFUNCTION("""COMPUTED_VALUE"""),82)</f>
        <v>82</v>
      </c>
      <c r="B97" s="6" t="str">
        <f ca="1">IFERROR(__xludf.DUMMYFUNCTION("""COMPUTED_VALUE"""),"The Great Dictator")</f>
        <v>The Great Dictator</v>
      </c>
      <c r="C97" s="6">
        <f ca="1">IFERROR(__xludf.DUMMYFUNCTION("""COMPUTED_VALUE"""),1940)</f>
        <v>1940</v>
      </c>
      <c r="D97" s="6" t="str">
        <f ca="1">IFERROR(__xludf.DUMMYFUNCTION("""COMPUTED_VALUE"""),"Passed")</f>
        <v>Passed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6.8" x14ac:dyDescent="0.45">
      <c r="A98" s="6">
        <f ca="1">IFERROR(__xludf.DUMMYFUNCTION("""COMPUTED_VALUE"""),83)</f>
        <v>83</v>
      </c>
      <c r="B98" s="6" t="str">
        <f ca="1">IFERROR(__xludf.DUMMYFUNCTION("""COMPUTED_VALUE"""),"1917")</f>
        <v>1917</v>
      </c>
      <c r="C98" s="6">
        <f ca="1">IFERROR(__xludf.DUMMYFUNCTION("""COMPUTED_VALUE"""),2019)</f>
        <v>2019</v>
      </c>
      <c r="D98" s="6" t="str">
        <f ca="1">IFERROR(__xludf.DUMMYFUNCTION("""COMPUTED_VALUE"""),"R")</f>
        <v>R</v>
      </c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6.8" x14ac:dyDescent="0.45">
      <c r="A99" s="6">
        <f ca="1">IFERROR(__xludf.DUMMYFUNCTION("""COMPUTED_VALUE"""),84)</f>
        <v>84</v>
      </c>
      <c r="B99" s="6" t="str">
        <f ca="1">IFERROR(__xludf.DUMMYFUNCTION("""COMPUTED_VALUE"""),"Uri: The Surgical Strike")</f>
        <v>Uri: The Surgical Strike</v>
      </c>
      <c r="C99" s="6">
        <f ca="1">IFERROR(__xludf.DUMMYFUNCTION("""COMPUTED_VALUE"""),2019)</f>
        <v>2019</v>
      </c>
      <c r="D99" s="6" t="str">
        <f ca="1">IFERROR(__xludf.DUMMYFUNCTION("""COMPUTED_VALUE"""),"Not Rated")</f>
        <v>Not Rated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6.8" x14ac:dyDescent="0.45">
      <c r="A100" s="6">
        <f ca="1">IFERROR(__xludf.DUMMYFUNCTION("""COMPUTED_VALUE"""),85)</f>
        <v>85</v>
      </c>
      <c r="B100" s="6" t="str">
        <f ca="1">IFERROR(__xludf.DUMMYFUNCTION("""COMPUTED_VALUE"""),"Tumbbad")</f>
        <v>Tumbbad</v>
      </c>
      <c r="C100" s="6">
        <f ca="1">IFERROR(__xludf.DUMMYFUNCTION("""COMPUTED_VALUE"""),2018)</f>
        <v>2018</v>
      </c>
      <c r="D100" s="6" t="str">
        <f ca="1">IFERROR(__xludf.DUMMYFUNCTION("""COMPUTED_VALUE"""),"Not Rated")</f>
        <v>Not Rated</v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6.8" x14ac:dyDescent="0.45">
      <c r="A101" s="6">
        <f ca="1">IFERROR(__xludf.DUMMYFUNCTION("""COMPUTED_VALUE"""),86)</f>
        <v>86</v>
      </c>
      <c r="B101" s="6" t="str">
        <f ca="1">IFERROR(__xludf.DUMMYFUNCTION("""COMPUTED_VALUE"""),"Andhadhun")</f>
        <v>Andhadhun</v>
      </c>
      <c r="C101" s="6">
        <f ca="1">IFERROR(__xludf.DUMMYFUNCTION("""COMPUTED_VALUE"""),2018)</f>
        <v>2018</v>
      </c>
      <c r="D101" s="6" t="str">
        <f ca="1">IFERROR(__xludf.DUMMYFUNCTION("""COMPUTED_VALUE"""),"Not Rated")</f>
        <v>Not Rated</v>
      </c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6.8" x14ac:dyDescent="0.45">
      <c r="A102" s="6">
        <f ca="1">IFERROR(__xludf.DUMMYFUNCTION("""COMPUTED_VALUE"""),87)</f>
        <v>87</v>
      </c>
      <c r="B102" s="6" t="str">
        <f ca="1">IFERROR(__xludf.DUMMYFUNCTION("""COMPUTED_VALUE"""),"Drishyam")</f>
        <v>Drishyam</v>
      </c>
      <c r="C102" s="6">
        <f ca="1">IFERROR(__xludf.DUMMYFUNCTION("""COMPUTED_VALUE"""),2013)</f>
        <v>2013</v>
      </c>
      <c r="D102" s="6" t="str">
        <f ca="1">IFERROR(__xludf.DUMMYFUNCTION("""COMPUTED_VALUE"""),"Not Rated")</f>
        <v>Not Rated</v>
      </c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6.8" x14ac:dyDescent="0.45">
      <c r="A103" s="6">
        <f ca="1">IFERROR(__xludf.DUMMYFUNCTION("""COMPUTED_VALUE"""),88)</f>
        <v>88</v>
      </c>
      <c r="B103" s="6" t="str">
        <f ca="1">IFERROR(__xludf.DUMMYFUNCTION("""COMPUTED_VALUE"""),"The Hunt")</f>
        <v>The Hunt</v>
      </c>
      <c r="C103" s="6">
        <f ca="1">IFERROR(__xludf.DUMMYFUNCTION("""COMPUTED_VALUE"""),2012)</f>
        <v>2012</v>
      </c>
      <c r="D103" s="6" t="str">
        <f ca="1">IFERROR(__xludf.DUMMYFUNCTION("""COMPUTED_VALUE"""),"R")</f>
        <v>R</v>
      </c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6.8" x14ac:dyDescent="0.45">
      <c r="A104" s="6">
        <f ca="1">IFERROR(__xludf.DUMMYFUNCTION("""COMPUTED_VALUE"""),89)</f>
        <v>89</v>
      </c>
      <c r="B104" s="6" t="str">
        <f ca="1">IFERROR(__xludf.DUMMYFUNCTION("""COMPUTED_VALUE"""),"A Separation")</f>
        <v>A Separation</v>
      </c>
      <c r="C104" s="6">
        <f ca="1">IFERROR(__xludf.DUMMYFUNCTION("""COMPUTED_VALUE"""),2011)</f>
        <v>2011</v>
      </c>
      <c r="D104" s="6" t="str">
        <f ca="1">IFERROR(__xludf.DUMMYFUNCTION("""COMPUTED_VALUE"""),"PG-13")</f>
        <v>PG-13</v>
      </c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6.8" x14ac:dyDescent="0.45">
      <c r="A105" s="6">
        <f ca="1">IFERROR(__xludf.DUMMYFUNCTION("""COMPUTED_VALUE"""),90)</f>
        <v>90</v>
      </c>
      <c r="B105" s="6" t="str">
        <f ca="1">IFERROR(__xludf.DUMMYFUNCTION("""COMPUTED_VALUE"""),"Incendies")</f>
        <v>Incendies</v>
      </c>
      <c r="C105" s="6">
        <f ca="1">IFERROR(__xludf.DUMMYFUNCTION("""COMPUTED_VALUE"""),2010)</f>
        <v>2010</v>
      </c>
      <c r="D105" s="6" t="str">
        <f ca="1">IFERROR(__xludf.DUMMYFUNCTION("""COMPUTED_VALUE"""),"R")</f>
        <v>R</v>
      </c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6.8" x14ac:dyDescent="0.45">
      <c r="A106" s="6">
        <f ca="1">IFERROR(__xludf.DUMMYFUNCTION("""COMPUTED_VALUE"""),93)</f>
        <v>93</v>
      </c>
      <c r="B106" s="6" t="str">
        <f ca="1">IFERROR(__xludf.DUMMYFUNCTION("""COMPUTED_VALUE"""),"Toy Story 3")</f>
        <v>Toy Story 3</v>
      </c>
      <c r="C106" s="6">
        <f ca="1">IFERROR(__xludf.DUMMYFUNCTION("""COMPUTED_VALUE"""),2010)</f>
        <v>2010</v>
      </c>
      <c r="D106" s="6" t="str">
        <f ca="1">IFERROR(__xludf.DUMMYFUNCTION("""COMPUTED_VALUE"""),"G")</f>
        <v>G</v>
      </c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6.8" x14ac:dyDescent="0.45">
      <c r="A107" s="6">
        <f ca="1">IFERROR(__xludf.DUMMYFUNCTION("""COMPUTED_VALUE"""),94)</f>
        <v>94</v>
      </c>
      <c r="B107" s="6" t="str">
        <f ca="1">IFERROR(__xludf.DUMMYFUNCTION("""COMPUTED_VALUE"""),"Inglourious Basterds")</f>
        <v>Inglourious Basterds</v>
      </c>
      <c r="C107" s="6">
        <f ca="1">IFERROR(__xludf.DUMMYFUNCTION("""COMPUTED_VALUE"""),2009)</f>
        <v>2009</v>
      </c>
      <c r="D107" s="6" t="str">
        <f ca="1">IFERROR(__xludf.DUMMYFUNCTION("""COMPUTED_VALUE"""),"R")</f>
        <v>R</v>
      </c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6.8" x14ac:dyDescent="0.45">
      <c r="A108" s="6">
        <f ca="1">IFERROR(__xludf.DUMMYFUNCTION("""COMPUTED_VALUE"""),95)</f>
        <v>95</v>
      </c>
      <c r="B108" s="6" t="str">
        <f ca="1">IFERROR(__xludf.DUMMYFUNCTION("""COMPUTED_VALUE"""),"Eternal Sunshine of the Spotless Mind")</f>
        <v>Eternal Sunshine of the Spotless Mind</v>
      </c>
      <c r="C108" s="6">
        <f ca="1">IFERROR(__xludf.DUMMYFUNCTION("""COMPUTED_VALUE"""),2004)</f>
        <v>2004</v>
      </c>
      <c r="D108" s="6" t="str">
        <f ca="1">IFERROR(__xludf.DUMMYFUNCTION("""COMPUTED_VALUE"""),"R")</f>
        <v>R</v>
      </c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6.8" x14ac:dyDescent="0.45">
      <c r="A109" s="6">
        <f ca="1">IFERROR(__xludf.DUMMYFUNCTION("""COMPUTED_VALUE"""),96)</f>
        <v>96</v>
      </c>
      <c r="B109" s="6" t="str">
        <f ca="1">IFERROR(__xludf.DUMMYFUNCTION("""COMPUTED_VALUE"""),"Amélie")</f>
        <v>Amélie</v>
      </c>
      <c r="C109" s="6">
        <f ca="1">IFERROR(__xludf.DUMMYFUNCTION("""COMPUTED_VALUE"""),2001)</f>
        <v>2001</v>
      </c>
      <c r="D109" s="6" t="str">
        <f ca="1">IFERROR(__xludf.DUMMYFUNCTION("""COMPUTED_VALUE"""),"R")</f>
        <v>R</v>
      </c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6.8" x14ac:dyDescent="0.45">
      <c r="A110" s="6">
        <f ca="1">IFERROR(__xludf.DUMMYFUNCTION("""COMPUTED_VALUE"""),97)</f>
        <v>97</v>
      </c>
      <c r="B110" s="6" t="str">
        <f ca="1">IFERROR(__xludf.DUMMYFUNCTION("""COMPUTED_VALUE"""),"Snatch")</f>
        <v>Snatch</v>
      </c>
      <c r="C110" s="6">
        <f ca="1">IFERROR(__xludf.DUMMYFUNCTION("""COMPUTED_VALUE"""),2000)</f>
        <v>2000</v>
      </c>
      <c r="D110" s="6" t="str">
        <f ca="1">IFERROR(__xludf.DUMMYFUNCTION("""COMPUTED_VALUE"""),"R")</f>
        <v>R</v>
      </c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6.8" x14ac:dyDescent="0.45">
      <c r="A111" s="6">
        <f ca="1">IFERROR(__xludf.DUMMYFUNCTION("""COMPUTED_VALUE"""),98)</f>
        <v>98</v>
      </c>
      <c r="B111" s="6" t="str">
        <f ca="1">IFERROR(__xludf.DUMMYFUNCTION("""COMPUTED_VALUE"""),"Requiem for a Dream")</f>
        <v>Requiem for a Dream</v>
      </c>
      <c r="C111" s="6">
        <f ca="1">IFERROR(__xludf.DUMMYFUNCTION("""COMPUTED_VALUE"""),2000)</f>
        <v>2000</v>
      </c>
      <c r="D111" s="6" t="str">
        <f ca="1">IFERROR(__xludf.DUMMYFUNCTION("""COMPUTED_VALUE"""),"R")</f>
        <v>R</v>
      </c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6.8" x14ac:dyDescent="0.45">
      <c r="A112" s="6">
        <f ca="1">IFERROR(__xludf.DUMMYFUNCTION("""COMPUTED_VALUE"""),99)</f>
        <v>99</v>
      </c>
      <c r="B112" s="6" t="str">
        <f ca="1">IFERROR(__xludf.DUMMYFUNCTION("""COMPUTED_VALUE"""),"American Beauty")</f>
        <v>American Beauty</v>
      </c>
      <c r="C112" s="6">
        <f ca="1">IFERROR(__xludf.DUMMYFUNCTION("""COMPUTED_VALUE"""),1999)</f>
        <v>1999</v>
      </c>
      <c r="D112" s="6" t="str">
        <f ca="1">IFERROR(__xludf.DUMMYFUNCTION("""COMPUTED_VALUE"""),"R")</f>
        <v>R</v>
      </c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6.8" x14ac:dyDescent="0.45">
      <c r="A113" s="6">
        <f ca="1">IFERROR(__xludf.DUMMYFUNCTION("""COMPUTED_VALUE"""),100)</f>
        <v>100</v>
      </c>
      <c r="B113" s="6" t="str">
        <f ca="1">IFERROR(__xludf.DUMMYFUNCTION("""COMPUTED_VALUE"""),"Good Will Hunting")</f>
        <v>Good Will Hunting</v>
      </c>
      <c r="C113" s="6">
        <f ca="1">IFERROR(__xludf.DUMMYFUNCTION("""COMPUTED_VALUE"""),1997)</f>
        <v>1997</v>
      </c>
      <c r="D113" s="6" t="str">
        <f ca="1">IFERROR(__xludf.DUMMYFUNCTION("""COMPUTED_VALUE"""),"R")</f>
        <v>R</v>
      </c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6.8" x14ac:dyDescent="0.4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6.8" x14ac:dyDescent="0.4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6.8" x14ac:dyDescent="0.4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6.8" x14ac:dyDescent="0.4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6.8" x14ac:dyDescent="0.4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6.8" x14ac:dyDescent="0.4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6.8" x14ac:dyDescent="0.4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6.8" x14ac:dyDescent="0.4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6.8" x14ac:dyDescent="0.4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6.8" x14ac:dyDescent="0.4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6.8" x14ac:dyDescent="0.4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6.8" x14ac:dyDescent="0.4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6.8" x14ac:dyDescent="0.4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6.8" x14ac:dyDescent="0.4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6.8" x14ac:dyDescent="0.4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6.8" x14ac:dyDescent="0.4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6.8" x14ac:dyDescent="0.4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6.8" x14ac:dyDescent="0.4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6.8" x14ac:dyDescent="0.4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6.8" x14ac:dyDescent="0.4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6.8" x14ac:dyDescent="0.4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6.8" x14ac:dyDescent="0.4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6.8" x14ac:dyDescent="0.4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6.8" x14ac:dyDescent="0.4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6.8" x14ac:dyDescent="0.4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6.8" x14ac:dyDescent="0.4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6.8" x14ac:dyDescent="0.4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6.8" x14ac:dyDescent="0.4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6.8" x14ac:dyDescent="0.4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6.8" x14ac:dyDescent="0.4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6.8" x14ac:dyDescent="0.4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6.8" x14ac:dyDescent="0.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6.8" x14ac:dyDescent="0.4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6.8" x14ac:dyDescent="0.4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6.8" x14ac:dyDescent="0.4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6.8" x14ac:dyDescent="0.4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6.8" x14ac:dyDescent="0.4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6.8" x14ac:dyDescent="0.4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6.8" x14ac:dyDescent="0.4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6.8" x14ac:dyDescent="0.4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6.8" x14ac:dyDescent="0.4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6.8" x14ac:dyDescent="0.4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6.8" x14ac:dyDescent="0.4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6.8" x14ac:dyDescent="0.4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6.8" x14ac:dyDescent="0.4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6.8" x14ac:dyDescent="0.4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6.8" x14ac:dyDescent="0.4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6.8" x14ac:dyDescent="0.4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6.8" x14ac:dyDescent="0.4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6.8" x14ac:dyDescent="0.4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6.8" x14ac:dyDescent="0.4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6.8" x14ac:dyDescent="0.4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6.8" x14ac:dyDescent="0.4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6.8" x14ac:dyDescent="0.4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6.8" x14ac:dyDescent="0.4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6.8" x14ac:dyDescent="0.4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6.8" x14ac:dyDescent="0.4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6.8" x14ac:dyDescent="0.4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6.8" x14ac:dyDescent="0.4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6.8" x14ac:dyDescent="0.4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6.8" x14ac:dyDescent="0.4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6.8" x14ac:dyDescent="0.4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6.8" x14ac:dyDescent="0.4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6.8" x14ac:dyDescent="0.4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6.8" x14ac:dyDescent="0.4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6.8" x14ac:dyDescent="0.4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6.8" x14ac:dyDescent="0.4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6.8" x14ac:dyDescent="0.4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6.8" x14ac:dyDescent="0.4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6.8" x14ac:dyDescent="0.4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6.8" x14ac:dyDescent="0.4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6.8" x14ac:dyDescent="0.4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6.8" x14ac:dyDescent="0.4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6.8" x14ac:dyDescent="0.4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6.8" x14ac:dyDescent="0.4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6.8" x14ac:dyDescent="0.4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6.8" x14ac:dyDescent="0.4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6.8" x14ac:dyDescent="0.4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6.8" x14ac:dyDescent="0.4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6.8" x14ac:dyDescent="0.4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6.8" x14ac:dyDescent="0.4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6.8" x14ac:dyDescent="0.4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6.8" x14ac:dyDescent="0.4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6.8" x14ac:dyDescent="0.4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6.8" x14ac:dyDescent="0.4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6.8" x14ac:dyDescent="0.4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6.8" x14ac:dyDescent="0.4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6.8" x14ac:dyDescent="0.4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6.8" x14ac:dyDescent="0.4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6.8" x14ac:dyDescent="0.4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6.8" x14ac:dyDescent="0.4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6.8" x14ac:dyDescent="0.4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6.8" x14ac:dyDescent="0.4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6.8" x14ac:dyDescent="0.4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6.8" x14ac:dyDescent="0.4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6.8" x14ac:dyDescent="0.4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6.8" x14ac:dyDescent="0.4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6.8" x14ac:dyDescent="0.4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6.8" x14ac:dyDescent="0.4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6.8" x14ac:dyDescent="0.4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6.8" x14ac:dyDescent="0.4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6.8" x14ac:dyDescent="0.4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6.8" x14ac:dyDescent="0.4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6.8" x14ac:dyDescent="0.4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6.8" x14ac:dyDescent="0.4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6.8" x14ac:dyDescent="0.4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6.8" x14ac:dyDescent="0.4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6.8" x14ac:dyDescent="0.4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6.8" x14ac:dyDescent="0.4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6.8" x14ac:dyDescent="0.4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6.8" x14ac:dyDescent="0.4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6.8" x14ac:dyDescent="0.4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6.8" x14ac:dyDescent="0.4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6.8" x14ac:dyDescent="0.4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6.8" x14ac:dyDescent="0.4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6.8" x14ac:dyDescent="0.4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6.8" x14ac:dyDescent="0.4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6.8" x14ac:dyDescent="0.4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6.8" x14ac:dyDescent="0.4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6.8" x14ac:dyDescent="0.4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6.8" x14ac:dyDescent="0.4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6.8" x14ac:dyDescent="0.4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6.8" x14ac:dyDescent="0.4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6.8" x14ac:dyDescent="0.4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6.8" x14ac:dyDescent="0.4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6.8" x14ac:dyDescent="0.4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6.8" x14ac:dyDescent="0.4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6.8" x14ac:dyDescent="0.4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6.8" x14ac:dyDescent="0.4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6.8" x14ac:dyDescent="0.4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6.8" x14ac:dyDescent="0.4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6.8" x14ac:dyDescent="0.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6.8" x14ac:dyDescent="0.4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6.8" x14ac:dyDescent="0.4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6.8" x14ac:dyDescent="0.4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6.8" x14ac:dyDescent="0.4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6.8" x14ac:dyDescent="0.4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6.8" x14ac:dyDescent="0.4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6.8" x14ac:dyDescent="0.4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6.8" x14ac:dyDescent="0.4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6.8" x14ac:dyDescent="0.4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6.8" x14ac:dyDescent="0.4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6.8" x14ac:dyDescent="0.4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6.8" x14ac:dyDescent="0.4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6.8" x14ac:dyDescent="0.4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6.8" x14ac:dyDescent="0.4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6.8" x14ac:dyDescent="0.4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6.8" x14ac:dyDescent="0.4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6.8" x14ac:dyDescent="0.4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6.8" x14ac:dyDescent="0.4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6.8" x14ac:dyDescent="0.4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6.8" x14ac:dyDescent="0.4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6.8" x14ac:dyDescent="0.4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6.8" x14ac:dyDescent="0.4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6.8" x14ac:dyDescent="0.4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6.8" x14ac:dyDescent="0.4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6.8" x14ac:dyDescent="0.4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6.8" x14ac:dyDescent="0.4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6.8" x14ac:dyDescent="0.4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6.8" x14ac:dyDescent="0.4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6.8" x14ac:dyDescent="0.4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6.8" x14ac:dyDescent="0.4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6.8" x14ac:dyDescent="0.4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6.8" x14ac:dyDescent="0.4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6.8" x14ac:dyDescent="0.4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6.8" x14ac:dyDescent="0.4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6.8" x14ac:dyDescent="0.4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6.8" x14ac:dyDescent="0.4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6.8" x14ac:dyDescent="0.4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6.8" x14ac:dyDescent="0.4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6.8" x14ac:dyDescent="0.4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6.8" x14ac:dyDescent="0.4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6.8" x14ac:dyDescent="0.4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6.8" x14ac:dyDescent="0.4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6.8" x14ac:dyDescent="0.4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6.8" x14ac:dyDescent="0.4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6.8" x14ac:dyDescent="0.4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6.8" x14ac:dyDescent="0.4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6.8" x14ac:dyDescent="0.4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6.8" x14ac:dyDescent="0.4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6.8" x14ac:dyDescent="0.4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6.8" x14ac:dyDescent="0.4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6.8" x14ac:dyDescent="0.4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6.8" x14ac:dyDescent="0.4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6.8" x14ac:dyDescent="0.4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6.8" x14ac:dyDescent="0.4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6.8" x14ac:dyDescent="0.4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6.8" x14ac:dyDescent="0.4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6.8" x14ac:dyDescent="0.4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6.8" x14ac:dyDescent="0.4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6.8" x14ac:dyDescent="0.4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6.8" x14ac:dyDescent="0.4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6.8" x14ac:dyDescent="0.4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6.8" x14ac:dyDescent="0.4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6.8" x14ac:dyDescent="0.4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6.8" x14ac:dyDescent="0.4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6.8" x14ac:dyDescent="0.4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6.8" x14ac:dyDescent="0.4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6.8" x14ac:dyDescent="0.4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6.8" x14ac:dyDescent="0.4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6.8" x14ac:dyDescent="0.4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6.8" x14ac:dyDescent="0.4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6.8" x14ac:dyDescent="0.4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6.8" x14ac:dyDescent="0.4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6.8" x14ac:dyDescent="0.4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6.8" x14ac:dyDescent="0.4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6.8" x14ac:dyDescent="0.4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6.8" x14ac:dyDescent="0.4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6.8" x14ac:dyDescent="0.4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6.8" x14ac:dyDescent="0.4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6.8" x14ac:dyDescent="0.4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6.8" x14ac:dyDescent="0.4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6.8" x14ac:dyDescent="0.4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6.8" x14ac:dyDescent="0.4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6.8" x14ac:dyDescent="0.4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6.8" x14ac:dyDescent="0.4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6.8" x14ac:dyDescent="0.4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6.8" x14ac:dyDescent="0.4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6.8" x14ac:dyDescent="0.4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6.8" x14ac:dyDescent="0.4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6.8" x14ac:dyDescent="0.4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6.8" x14ac:dyDescent="0.4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6.8" x14ac:dyDescent="0.4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6.8" x14ac:dyDescent="0.4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6.8" x14ac:dyDescent="0.4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6.8" x14ac:dyDescent="0.4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6.8" x14ac:dyDescent="0.4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6.8" x14ac:dyDescent="0.4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6.8" x14ac:dyDescent="0.4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6.8" x14ac:dyDescent="0.4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6.8" x14ac:dyDescent="0.4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6.8" x14ac:dyDescent="0.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6.8" x14ac:dyDescent="0.4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6.8" x14ac:dyDescent="0.4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6.8" x14ac:dyDescent="0.4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6.8" x14ac:dyDescent="0.4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6.8" x14ac:dyDescent="0.4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6.8" x14ac:dyDescent="0.4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6.8" x14ac:dyDescent="0.4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6.8" x14ac:dyDescent="0.4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6.8" x14ac:dyDescent="0.4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6.8" x14ac:dyDescent="0.4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6.8" x14ac:dyDescent="0.4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6.8" x14ac:dyDescent="0.4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6.8" x14ac:dyDescent="0.4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6.8" x14ac:dyDescent="0.4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6.8" x14ac:dyDescent="0.4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6.8" x14ac:dyDescent="0.4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6.8" x14ac:dyDescent="0.4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6.8" x14ac:dyDescent="0.4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6.8" x14ac:dyDescent="0.4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6.8" x14ac:dyDescent="0.4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6.8" x14ac:dyDescent="0.4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6.8" x14ac:dyDescent="0.4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6.8" x14ac:dyDescent="0.4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6.8" x14ac:dyDescent="0.4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6.8" x14ac:dyDescent="0.4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6.8" x14ac:dyDescent="0.4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6.8" x14ac:dyDescent="0.4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6.8" x14ac:dyDescent="0.4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6.8" x14ac:dyDescent="0.4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6.8" x14ac:dyDescent="0.4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6.8" x14ac:dyDescent="0.4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6.8" x14ac:dyDescent="0.4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6.8" x14ac:dyDescent="0.4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6.8" x14ac:dyDescent="0.4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6.8" x14ac:dyDescent="0.4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6.8" x14ac:dyDescent="0.4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6.8" x14ac:dyDescent="0.4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6.8" x14ac:dyDescent="0.4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6.8" x14ac:dyDescent="0.4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6.8" x14ac:dyDescent="0.4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6.8" x14ac:dyDescent="0.4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6.8" x14ac:dyDescent="0.4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6.8" x14ac:dyDescent="0.4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6.8" x14ac:dyDescent="0.4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6.8" x14ac:dyDescent="0.4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6.8" x14ac:dyDescent="0.4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6.8" x14ac:dyDescent="0.4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6.8" x14ac:dyDescent="0.4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6.8" x14ac:dyDescent="0.4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6.8" x14ac:dyDescent="0.4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6.8" x14ac:dyDescent="0.4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6.8" x14ac:dyDescent="0.4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6.8" x14ac:dyDescent="0.4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6.8" x14ac:dyDescent="0.4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6.8" x14ac:dyDescent="0.4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6.8" x14ac:dyDescent="0.4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6.8" x14ac:dyDescent="0.4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6.8" x14ac:dyDescent="0.4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6.8" x14ac:dyDescent="0.4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6.8" x14ac:dyDescent="0.4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6.8" x14ac:dyDescent="0.4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6.8" x14ac:dyDescent="0.4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6.8" x14ac:dyDescent="0.4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6.8" x14ac:dyDescent="0.4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6.8" x14ac:dyDescent="0.4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6.8" x14ac:dyDescent="0.4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6.8" x14ac:dyDescent="0.4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6.8" x14ac:dyDescent="0.4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6.8" x14ac:dyDescent="0.4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6.8" x14ac:dyDescent="0.4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6.8" x14ac:dyDescent="0.4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6.8" x14ac:dyDescent="0.4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6.8" x14ac:dyDescent="0.4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6.8" x14ac:dyDescent="0.4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6.8" x14ac:dyDescent="0.4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6.8" x14ac:dyDescent="0.4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6.8" x14ac:dyDescent="0.4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6.8" x14ac:dyDescent="0.4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6.8" x14ac:dyDescent="0.4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6.8" x14ac:dyDescent="0.4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6.8" x14ac:dyDescent="0.4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6.8" x14ac:dyDescent="0.4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6.8" x14ac:dyDescent="0.4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6.8" x14ac:dyDescent="0.4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6.8" x14ac:dyDescent="0.4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6.8" x14ac:dyDescent="0.4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6.8" x14ac:dyDescent="0.4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6.8" x14ac:dyDescent="0.4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6.8" x14ac:dyDescent="0.4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6.8" x14ac:dyDescent="0.4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6.8" x14ac:dyDescent="0.4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6.8" x14ac:dyDescent="0.4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6.8" x14ac:dyDescent="0.4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6.8" x14ac:dyDescent="0.4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6.8" x14ac:dyDescent="0.4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6.8" x14ac:dyDescent="0.4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6.8" x14ac:dyDescent="0.4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6.8" x14ac:dyDescent="0.4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6.8" x14ac:dyDescent="0.4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6.8" x14ac:dyDescent="0.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6.8" x14ac:dyDescent="0.4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6.8" x14ac:dyDescent="0.4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6.8" x14ac:dyDescent="0.4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6.8" x14ac:dyDescent="0.4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6.8" x14ac:dyDescent="0.4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6.8" x14ac:dyDescent="0.4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6.8" x14ac:dyDescent="0.4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6.8" x14ac:dyDescent="0.4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6.8" x14ac:dyDescent="0.4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6.8" x14ac:dyDescent="0.4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6.8" x14ac:dyDescent="0.4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6.8" x14ac:dyDescent="0.4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6.8" x14ac:dyDescent="0.4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6.8" x14ac:dyDescent="0.4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6.8" x14ac:dyDescent="0.4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6.8" x14ac:dyDescent="0.4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6.8" x14ac:dyDescent="0.4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6.8" x14ac:dyDescent="0.4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6.8" x14ac:dyDescent="0.4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6.8" x14ac:dyDescent="0.4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6.8" x14ac:dyDescent="0.4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6.8" x14ac:dyDescent="0.4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6.8" x14ac:dyDescent="0.4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6.8" x14ac:dyDescent="0.4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6.8" x14ac:dyDescent="0.4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6.8" x14ac:dyDescent="0.4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6.8" x14ac:dyDescent="0.4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6.8" x14ac:dyDescent="0.4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6.8" x14ac:dyDescent="0.4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6.8" x14ac:dyDescent="0.4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6.8" x14ac:dyDescent="0.4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6.8" x14ac:dyDescent="0.4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6.8" x14ac:dyDescent="0.4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6.8" x14ac:dyDescent="0.4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6.8" x14ac:dyDescent="0.4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6.8" x14ac:dyDescent="0.4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6.8" x14ac:dyDescent="0.4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6.8" x14ac:dyDescent="0.4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6.8" x14ac:dyDescent="0.4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6.8" x14ac:dyDescent="0.4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6.8" x14ac:dyDescent="0.4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6.8" x14ac:dyDescent="0.4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6.8" x14ac:dyDescent="0.4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6.8" x14ac:dyDescent="0.4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6.8" x14ac:dyDescent="0.4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6.8" x14ac:dyDescent="0.4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6.8" x14ac:dyDescent="0.4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6.8" x14ac:dyDescent="0.4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6.8" x14ac:dyDescent="0.4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6.8" x14ac:dyDescent="0.4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6.8" x14ac:dyDescent="0.4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6.8" x14ac:dyDescent="0.4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6.8" x14ac:dyDescent="0.4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6.8" x14ac:dyDescent="0.4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6.8" x14ac:dyDescent="0.4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6.8" x14ac:dyDescent="0.4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6.8" x14ac:dyDescent="0.4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6.8" x14ac:dyDescent="0.4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6.8" x14ac:dyDescent="0.4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6.8" x14ac:dyDescent="0.4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6.8" x14ac:dyDescent="0.4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6.8" x14ac:dyDescent="0.4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6.8" x14ac:dyDescent="0.4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6.8" x14ac:dyDescent="0.4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6.8" x14ac:dyDescent="0.4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6.8" x14ac:dyDescent="0.4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6.8" x14ac:dyDescent="0.4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6.8" x14ac:dyDescent="0.4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6.8" x14ac:dyDescent="0.4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6.8" x14ac:dyDescent="0.4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6.8" x14ac:dyDescent="0.4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6.8" x14ac:dyDescent="0.4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6.8" x14ac:dyDescent="0.4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6.8" x14ac:dyDescent="0.4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6.8" x14ac:dyDescent="0.4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6.8" x14ac:dyDescent="0.4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6.8" x14ac:dyDescent="0.4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6.8" x14ac:dyDescent="0.4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6.8" x14ac:dyDescent="0.4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6.8" x14ac:dyDescent="0.4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6.8" x14ac:dyDescent="0.4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6.8" x14ac:dyDescent="0.4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6.8" x14ac:dyDescent="0.4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6.8" x14ac:dyDescent="0.4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6.8" x14ac:dyDescent="0.4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6.8" x14ac:dyDescent="0.4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6.8" x14ac:dyDescent="0.4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6.8" x14ac:dyDescent="0.4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6.8" x14ac:dyDescent="0.4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6.8" x14ac:dyDescent="0.4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6.8" x14ac:dyDescent="0.4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6.8" x14ac:dyDescent="0.4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6.8" x14ac:dyDescent="0.4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6.8" x14ac:dyDescent="0.4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6.8" x14ac:dyDescent="0.4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6.8" x14ac:dyDescent="0.4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6.8" x14ac:dyDescent="0.4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6.8" x14ac:dyDescent="0.4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6.8" x14ac:dyDescent="0.4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6.8" x14ac:dyDescent="0.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6.8" x14ac:dyDescent="0.4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6.8" x14ac:dyDescent="0.4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6.8" x14ac:dyDescent="0.4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6.8" x14ac:dyDescent="0.4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6.8" x14ac:dyDescent="0.4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6.8" x14ac:dyDescent="0.4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6.8" x14ac:dyDescent="0.4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6.8" x14ac:dyDescent="0.4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6.8" x14ac:dyDescent="0.4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6.8" x14ac:dyDescent="0.4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6.8" x14ac:dyDescent="0.4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6.8" x14ac:dyDescent="0.4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6.8" x14ac:dyDescent="0.4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6.8" x14ac:dyDescent="0.4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6.8" x14ac:dyDescent="0.4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6.8" x14ac:dyDescent="0.4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6.8" x14ac:dyDescent="0.4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6.8" x14ac:dyDescent="0.4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6.8" x14ac:dyDescent="0.4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6.8" x14ac:dyDescent="0.4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6.8" x14ac:dyDescent="0.4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6.8" x14ac:dyDescent="0.4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6.8" x14ac:dyDescent="0.4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6.8" x14ac:dyDescent="0.4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6.8" x14ac:dyDescent="0.4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6.8" x14ac:dyDescent="0.4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6.8" x14ac:dyDescent="0.4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6.8" x14ac:dyDescent="0.4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6.8" x14ac:dyDescent="0.4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6.8" x14ac:dyDescent="0.4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6.8" x14ac:dyDescent="0.4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6.8" x14ac:dyDescent="0.4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6.8" x14ac:dyDescent="0.4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6.8" x14ac:dyDescent="0.4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6.8" x14ac:dyDescent="0.4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6.8" x14ac:dyDescent="0.4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6.8" x14ac:dyDescent="0.4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6.8" x14ac:dyDescent="0.4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6.8" x14ac:dyDescent="0.4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6.8" x14ac:dyDescent="0.4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6.8" x14ac:dyDescent="0.4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6.8" x14ac:dyDescent="0.4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6.8" x14ac:dyDescent="0.4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6.8" x14ac:dyDescent="0.4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6.8" x14ac:dyDescent="0.4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6.8" x14ac:dyDescent="0.4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6.8" x14ac:dyDescent="0.4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6.8" x14ac:dyDescent="0.4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6.8" x14ac:dyDescent="0.4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6.8" x14ac:dyDescent="0.4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6.8" x14ac:dyDescent="0.4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6.8" x14ac:dyDescent="0.4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6.8" x14ac:dyDescent="0.4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6.8" x14ac:dyDescent="0.4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6.8" x14ac:dyDescent="0.4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6.8" x14ac:dyDescent="0.4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6.8" x14ac:dyDescent="0.4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6.8" x14ac:dyDescent="0.4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6.8" x14ac:dyDescent="0.4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6.8" x14ac:dyDescent="0.4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6.8" x14ac:dyDescent="0.4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6.8" x14ac:dyDescent="0.4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6.8" x14ac:dyDescent="0.4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6.8" x14ac:dyDescent="0.4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6.8" x14ac:dyDescent="0.4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6.8" x14ac:dyDescent="0.4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6.8" x14ac:dyDescent="0.4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6.8" x14ac:dyDescent="0.4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6.8" x14ac:dyDescent="0.4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6.8" x14ac:dyDescent="0.4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6.8" x14ac:dyDescent="0.4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6.8" x14ac:dyDescent="0.4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6.8" x14ac:dyDescent="0.4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6.8" x14ac:dyDescent="0.4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6.8" x14ac:dyDescent="0.4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6.8" x14ac:dyDescent="0.4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6.8" x14ac:dyDescent="0.4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6.8" x14ac:dyDescent="0.4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6.8" x14ac:dyDescent="0.4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6.8" x14ac:dyDescent="0.4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6.8" x14ac:dyDescent="0.4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6.8" x14ac:dyDescent="0.4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6.8" x14ac:dyDescent="0.4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6.8" x14ac:dyDescent="0.4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6.8" x14ac:dyDescent="0.4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6.8" x14ac:dyDescent="0.4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6.8" x14ac:dyDescent="0.4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6.8" x14ac:dyDescent="0.4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6.8" x14ac:dyDescent="0.4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6.8" x14ac:dyDescent="0.4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6.8" x14ac:dyDescent="0.4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6.8" x14ac:dyDescent="0.4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6.8" x14ac:dyDescent="0.4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6.8" x14ac:dyDescent="0.4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6.8" x14ac:dyDescent="0.4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6.8" x14ac:dyDescent="0.4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6.8" x14ac:dyDescent="0.4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6.8" x14ac:dyDescent="0.4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6.8" x14ac:dyDescent="0.4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6.8" x14ac:dyDescent="0.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6.8" x14ac:dyDescent="0.4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6.8" x14ac:dyDescent="0.4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6.8" x14ac:dyDescent="0.4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6.8" x14ac:dyDescent="0.4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6.8" x14ac:dyDescent="0.4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6.8" x14ac:dyDescent="0.4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6.8" x14ac:dyDescent="0.4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6.8" x14ac:dyDescent="0.4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6.8" x14ac:dyDescent="0.4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6.8" x14ac:dyDescent="0.4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6.8" x14ac:dyDescent="0.4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6.8" x14ac:dyDescent="0.4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6.8" x14ac:dyDescent="0.4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6.8" x14ac:dyDescent="0.4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6.8" x14ac:dyDescent="0.4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6.8" x14ac:dyDescent="0.4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6.8" x14ac:dyDescent="0.4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6.8" x14ac:dyDescent="0.4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6.8" x14ac:dyDescent="0.4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6.8" x14ac:dyDescent="0.4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6.8" x14ac:dyDescent="0.4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6.8" x14ac:dyDescent="0.4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6.8" x14ac:dyDescent="0.4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6.8" x14ac:dyDescent="0.4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6.8" x14ac:dyDescent="0.4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6.8" x14ac:dyDescent="0.4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6.8" x14ac:dyDescent="0.4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6.8" x14ac:dyDescent="0.4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6.8" x14ac:dyDescent="0.4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6.8" x14ac:dyDescent="0.4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6.8" x14ac:dyDescent="0.4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6.8" x14ac:dyDescent="0.4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6.8" x14ac:dyDescent="0.4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6.8" x14ac:dyDescent="0.4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6.8" x14ac:dyDescent="0.4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6.8" x14ac:dyDescent="0.4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6.8" x14ac:dyDescent="0.4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6.8" x14ac:dyDescent="0.4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6.8" x14ac:dyDescent="0.4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6.8" x14ac:dyDescent="0.4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6.8" x14ac:dyDescent="0.4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6.8" x14ac:dyDescent="0.4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6.8" x14ac:dyDescent="0.4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6.8" x14ac:dyDescent="0.4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6.8" x14ac:dyDescent="0.4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6.8" x14ac:dyDescent="0.4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6.8" x14ac:dyDescent="0.4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6.8" x14ac:dyDescent="0.4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6.8" x14ac:dyDescent="0.4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6.8" x14ac:dyDescent="0.4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6.8" x14ac:dyDescent="0.4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6.8" x14ac:dyDescent="0.4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6.8" x14ac:dyDescent="0.4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6.8" x14ac:dyDescent="0.4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6.8" x14ac:dyDescent="0.4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6.8" x14ac:dyDescent="0.4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6.8" x14ac:dyDescent="0.4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6.8" x14ac:dyDescent="0.4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6.8" x14ac:dyDescent="0.4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6.8" x14ac:dyDescent="0.4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6.8" x14ac:dyDescent="0.4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6.8" x14ac:dyDescent="0.4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6.8" x14ac:dyDescent="0.4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6.8" x14ac:dyDescent="0.4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6.8" x14ac:dyDescent="0.4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6.8" x14ac:dyDescent="0.4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6.8" x14ac:dyDescent="0.4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6.8" x14ac:dyDescent="0.4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6.8" x14ac:dyDescent="0.4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6.8" x14ac:dyDescent="0.4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6.8" x14ac:dyDescent="0.4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6.8" x14ac:dyDescent="0.4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6.8" x14ac:dyDescent="0.4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6.8" x14ac:dyDescent="0.4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6.8" x14ac:dyDescent="0.4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6.8" x14ac:dyDescent="0.4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6.8" x14ac:dyDescent="0.4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6.8" x14ac:dyDescent="0.4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6.8" x14ac:dyDescent="0.4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6.8" x14ac:dyDescent="0.4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6.8" x14ac:dyDescent="0.4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6.8" x14ac:dyDescent="0.4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6.8" x14ac:dyDescent="0.4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6.8" x14ac:dyDescent="0.4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6.8" x14ac:dyDescent="0.4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6.8" x14ac:dyDescent="0.4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6.8" x14ac:dyDescent="0.4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6.8" x14ac:dyDescent="0.4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6.8" x14ac:dyDescent="0.4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6.8" x14ac:dyDescent="0.4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6.8" x14ac:dyDescent="0.4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6.8" x14ac:dyDescent="0.4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6.8" x14ac:dyDescent="0.4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6.8" x14ac:dyDescent="0.4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6.8" x14ac:dyDescent="0.4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6.8" x14ac:dyDescent="0.4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6.8" x14ac:dyDescent="0.4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6.8" x14ac:dyDescent="0.4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6.8" x14ac:dyDescent="0.4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6.8" x14ac:dyDescent="0.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6.8" x14ac:dyDescent="0.4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6.8" x14ac:dyDescent="0.4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6.8" x14ac:dyDescent="0.4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6.8" x14ac:dyDescent="0.4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6.8" x14ac:dyDescent="0.4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6.8" x14ac:dyDescent="0.4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6.8" x14ac:dyDescent="0.4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6.8" x14ac:dyDescent="0.4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6.8" x14ac:dyDescent="0.4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6.8" x14ac:dyDescent="0.4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6.8" x14ac:dyDescent="0.4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6.8" x14ac:dyDescent="0.4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6.8" x14ac:dyDescent="0.4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6.8" x14ac:dyDescent="0.4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6.8" x14ac:dyDescent="0.4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6.8" x14ac:dyDescent="0.4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6.8" x14ac:dyDescent="0.4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6.8" x14ac:dyDescent="0.4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6.8" x14ac:dyDescent="0.4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6.8" x14ac:dyDescent="0.4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6.8" x14ac:dyDescent="0.4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6.8" x14ac:dyDescent="0.4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6.8" x14ac:dyDescent="0.4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6.8" x14ac:dyDescent="0.4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6.8" x14ac:dyDescent="0.4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6.8" x14ac:dyDescent="0.4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6.8" x14ac:dyDescent="0.4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6.8" x14ac:dyDescent="0.4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6.8" x14ac:dyDescent="0.4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6.8" x14ac:dyDescent="0.4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6.8" x14ac:dyDescent="0.4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6.8" x14ac:dyDescent="0.4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6.8" x14ac:dyDescent="0.4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6.8" x14ac:dyDescent="0.4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6.8" x14ac:dyDescent="0.4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6.8" x14ac:dyDescent="0.4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6.8" x14ac:dyDescent="0.4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6.8" x14ac:dyDescent="0.4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6.8" x14ac:dyDescent="0.4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6.8" x14ac:dyDescent="0.4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6.8" x14ac:dyDescent="0.4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6.8" x14ac:dyDescent="0.4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6.8" x14ac:dyDescent="0.4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6.8" x14ac:dyDescent="0.4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6.8" x14ac:dyDescent="0.4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6.8" x14ac:dyDescent="0.4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6.8" x14ac:dyDescent="0.4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6.8" x14ac:dyDescent="0.4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6.8" x14ac:dyDescent="0.4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6.8" x14ac:dyDescent="0.4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6.8" x14ac:dyDescent="0.4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6.8" x14ac:dyDescent="0.4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6.8" x14ac:dyDescent="0.4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6.8" x14ac:dyDescent="0.4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6.8" x14ac:dyDescent="0.4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6.8" x14ac:dyDescent="0.4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6.8" x14ac:dyDescent="0.4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6.8" x14ac:dyDescent="0.4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6.8" x14ac:dyDescent="0.4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6.8" x14ac:dyDescent="0.4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6.8" x14ac:dyDescent="0.4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6.8" x14ac:dyDescent="0.4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6.8" x14ac:dyDescent="0.4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6.8" x14ac:dyDescent="0.4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6.8" x14ac:dyDescent="0.4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6.8" x14ac:dyDescent="0.4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6.8" x14ac:dyDescent="0.4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6.8" x14ac:dyDescent="0.4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6.8" x14ac:dyDescent="0.4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6.8" x14ac:dyDescent="0.4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6.8" x14ac:dyDescent="0.4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6.8" x14ac:dyDescent="0.4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6.8" x14ac:dyDescent="0.4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6.8" x14ac:dyDescent="0.4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6.8" x14ac:dyDescent="0.4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6.8" x14ac:dyDescent="0.4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6.8" x14ac:dyDescent="0.4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6.8" x14ac:dyDescent="0.4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6.8" x14ac:dyDescent="0.4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6.8" x14ac:dyDescent="0.4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6.8" x14ac:dyDescent="0.4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6.8" x14ac:dyDescent="0.4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6.8" x14ac:dyDescent="0.4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6.8" x14ac:dyDescent="0.4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6.8" x14ac:dyDescent="0.4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6.8" x14ac:dyDescent="0.4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6.8" x14ac:dyDescent="0.4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6.8" x14ac:dyDescent="0.4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6.8" x14ac:dyDescent="0.4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6.8" x14ac:dyDescent="0.4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6.8" x14ac:dyDescent="0.4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6.8" x14ac:dyDescent="0.4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6.8" x14ac:dyDescent="0.4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6.8" x14ac:dyDescent="0.4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6.8" x14ac:dyDescent="0.4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6.8" x14ac:dyDescent="0.4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6.8" x14ac:dyDescent="0.4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6.8" x14ac:dyDescent="0.4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6.8" x14ac:dyDescent="0.4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6.8" x14ac:dyDescent="0.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6.8" x14ac:dyDescent="0.4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6.8" x14ac:dyDescent="0.4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6.8" x14ac:dyDescent="0.4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6.8" x14ac:dyDescent="0.4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6.8" x14ac:dyDescent="0.4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6.8" x14ac:dyDescent="0.4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6.8" x14ac:dyDescent="0.4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6.8" x14ac:dyDescent="0.4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6.8" x14ac:dyDescent="0.4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6.8" x14ac:dyDescent="0.4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6.8" x14ac:dyDescent="0.4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6.8" x14ac:dyDescent="0.4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6.8" x14ac:dyDescent="0.4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6.8" x14ac:dyDescent="0.4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6.8" x14ac:dyDescent="0.4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6.8" x14ac:dyDescent="0.4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6.8" x14ac:dyDescent="0.4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6.8" x14ac:dyDescent="0.4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6.8" x14ac:dyDescent="0.4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6.8" x14ac:dyDescent="0.4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6.8" x14ac:dyDescent="0.4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6.8" x14ac:dyDescent="0.4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6.8" x14ac:dyDescent="0.4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6.8" x14ac:dyDescent="0.4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6.8" x14ac:dyDescent="0.4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6.8" x14ac:dyDescent="0.4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6.8" x14ac:dyDescent="0.4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6.8" x14ac:dyDescent="0.4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6.8" x14ac:dyDescent="0.4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6.8" x14ac:dyDescent="0.4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6.8" x14ac:dyDescent="0.4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6.8" x14ac:dyDescent="0.4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6.8" x14ac:dyDescent="0.4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6.8" x14ac:dyDescent="0.4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6.8" x14ac:dyDescent="0.4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6.8" x14ac:dyDescent="0.4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6.8" x14ac:dyDescent="0.4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6.8" x14ac:dyDescent="0.4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6.8" x14ac:dyDescent="0.4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6.8" x14ac:dyDescent="0.4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6.8" x14ac:dyDescent="0.4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6.8" x14ac:dyDescent="0.4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6.8" x14ac:dyDescent="0.4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6.8" x14ac:dyDescent="0.4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6.8" x14ac:dyDescent="0.4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6.8" x14ac:dyDescent="0.4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6.8" x14ac:dyDescent="0.4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6.8" x14ac:dyDescent="0.4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6.8" x14ac:dyDescent="0.4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6.8" x14ac:dyDescent="0.4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6.8" x14ac:dyDescent="0.4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6.8" x14ac:dyDescent="0.4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6.8" x14ac:dyDescent="0.4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6.8" x14ac:dyDescent="0.4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6.8" x14ac:dyDescent="0.4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6.8" x14ac:dyDescent="0.4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6.8" x14ac:dyDescent="0.4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6.8" x14ac:dyDescent="0.4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6.8" x14ac:dyDescent="0.4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6.8" x14ac:dyDescent="0.4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6.8" x14ac:dyDescent="0.4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6.8" x14ac:dyDescent="0.4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6.8" x14ac:dyDescent="0.4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6.8" x14ac:dyDescent="0.4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6.8" x14ac:dyDescent="0.4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6.8" x14ac:dyDescent="0.4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6.8" x14ac:dyDescent="0.4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6.8" x14ac:dyDescent="0.4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6.8" x14ac:dyDescent="0.4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6.8" x14ac:dyDescent="0.4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6.8" x14ac:dyDescent="0.4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6.8" x14ac:dyDescent="0.4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6.8" x14ac:dyDescent="0.4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6.8" x14ac:dyDescent="0.4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6.8" x14ac:dyDescent="0.4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6.8" x14ac:dyDescent="0.4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6.8" x14ac:dyDescent="0.4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6.8" x14ac:dyDescent="0.4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6.8" x14ac:dyDescent="0.4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6.8" x14ac:dyDescent="0.4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6.8" x14ac:dyDescent="0.4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6.8" x14ac:dyDescent="0.4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6.8" x14ac:dyDescent="0.4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6.8" x14ac:dyDescent="0.4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6.8" x14ac:dyDescent="0.4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6.8" x14ac:dyDescent="0.4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6.8" x14ac:dyDescent="0.4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6.8" x14ac:dyDescent="0.4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6.8" x14ac:dyDescent="0.4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6.8" x14ac:dyDescent="0.4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6.8" x14ac:dyDescent="0.4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6.8" x14ac:dyDescent="0.4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6.8" x14ac:dyDescent="0.4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6.8" x14ac:dyDescent="0.4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6.8" x14ac:dyDescent="0.4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6.8" x14ac:dyDescent="0.4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6.8" x14ac:dyDescent="0.4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6.8" x14ac:dyDescent="0.4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6.8" x14ac:dyDescent="0.4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6.8" x14ac:dyDescent="0.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6.8" x14ac:dyDescent="0.4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6.8" x14ac:dyDescent="0.4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6.8" x14ac:dyDescent="0.4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6.8" x14ac:dyDescent="0.4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6.8" x14ac:dyDescent="0.4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6.8" x14ac:dyDescent="0.4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6.8" x14ac:dyDescent="0.4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6.8" x14ac:dyDescent="0.4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6.8" x14ac:dyDescent="0.4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6.8" x14ac:dyDescent="0.4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6.8" x14ac:dyDescent="0.4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6.8" x14ac:dyDescent="0.4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6.8" x14ac:dyDescent="0.4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6.8" x14ac:dyDescent="0.4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6.8" x14ac:dyDescent="0.4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6.8" x14ac:dyDescent="0.4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6.8" x14ac:dyDescent="0.4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6.8" x14ac:dyDescent="0.4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6.8" x14ac:dyDescent="0.4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6.8" x14ac:dyDescent="0.4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6.8" x14ac:dyDescent="0.4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6.8" x14ac:dyDescent="0.4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6.8" x14ac:dyDescent="0.4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6.8" x14ac:dyDescent="0.4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6.8" x14ac:dyDescent="0.4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6.8" x14ac:dyDescent="0.4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6.8" x14ac:dyDescent="0.4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6.8" x14ac:dyDescent="0.4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6.8" x14ac:dyDescent="0.4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6.8" x14ac:dyDescent="0.4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6.8" x14ac:dyDescent="0.4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6.8" x14ac:dyDescent="0.4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6.8" x14ac:dyDescent="0.4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6.8" x14ac:dyDescent="0.4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6.8" x14ac:dyDescent="0.4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6.8" x14ac:dyDescent="0.4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6.8" x14ac:dyDescent="0.4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6.8" x14ac:dyDescent="0.4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6.8" x14ac:dyDescent="0.4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6.8" x14ac:dyDescent="0.4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6.8" x14ac:dyDescent="0.4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6.8" x14ac:dyDescent="0.4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6.8" x14ac:dyDescent="0.4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6.8" x14ac:dyDescent="0.4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6.8" x14ac:dyDescent="0.4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6.8" x14ac:dyDescent="0.4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6.8" x14ac:dyDescent="0.4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6.8" x14ac:dyDescent="0.4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6.8" x14ac:dyDescent="0.4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6.8" x14ac:dyDescent="0.4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6.8" x14ac:dyDescent="0.4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6.8" x14ac:dyDescent="0.4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6.8" x14ac:dyDescent="0.4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6.8" x14ac:dyDescent="0.4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6.8" x14ac:dyDescent="0.4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6.8" x14ac:dyDescent="0.4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1"/>
  <sheetViews>
    <sheetView workbookViewId="0"/>
  </sheetViews>
  <sheetFormatPr defaultColWidth="12.6640625" defaultRowHeight="15.75" customHeight="1" x14ac:dyDescent="0.25"/>
  <cols>
    <col min="1" max="7" width="12.6640625" customWidth="1"/>
  </cols>
  <sheetData>
    <row r="1" spans="1:26" ht="15.75" customHeight="1" x14ac:dyDescent="0.45">
      <c r="A1" s="8" t="s">
        <v>193</v>
      </c>
      <c r="B1" s="8"/>
      <c r="C1" s="8"/>
      <c r="D1" s="8"/>
      <c r="E1" s="8"/>
      <c r="F1" s="8"/>
      <c r="G1" s="8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 x14ac:dyDescent="0.45">
      <c r="A2" s="8" t="s">
        <v>22</v>
      </c>
      <c r="B2" s="8" t="s">
        <v>23</v>
      </c>
      <c r="C2" s="8" t="s">
        <v>24</v>
      </c>
      <c r="D2" s="8" t="s">
        <v>25</v>
      </c>
      <c r="E2" s="8" t="s">
        <v>26</v>
      </c>
      <c r="F2" s="8" t="s">
        <v>27</v>
      </c>
      <c r="G2" s="8" t="s">
        <v>28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 x14ac:dyDescent="0.45">
      <c r="A3" s="9">
        <v>1</v>
      </c>
      <c r="B3" s="9" t="s">
        <v>29</v>
      </c>
      <c r="C3" s="9">
        <v>1994</v>
      </c>
      <c r="D3" s="9" t="s">
        <v>30</v>
      </c>
      <c r="E3" s="9">
        <v>142</v>
      </c>
      <c r="F3" s="9" t="s">
        <v>31</v>
      </c>
      <c r="G3" s="9">
        <v>9.3000000000000007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 x14ac:dyDescent="0.45">
      <c r="A4" s="9">
        <v>2</v>
      </c>
      <c r="B4" s="9" t="s">
        <v>32</v>
      </c>
      <c r="C4" s="9">
        <v>1972</v>
      </c>
      <c r="D4" s="9" t="s">
        <v>30</v>
      </c>
      <c r="E4" s="9">
        <v>175</v>
      </c>
      <c r="F4" s="9" t="s">
        <v>33</v>
      </c>
      <c r="G4" s="9">
        <v>9.1999999999999993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 x14ac:dyDescent="0.45">
      <c r="A5" s="9">
        <v>3</v>
      </c>
      <c r="B5" s="9" t="s">
        <v>34</v>
      </c>
      <c r="C5" s="9">
        <v>2008</v>
      </c>
      <c r="D5" s="9" t="s">
        <v>35</v>
      </c>
      <c r="E5" s="9">
        <v>152</v>
      </c>
      <c r="F5" s="9" t="s">
        <v>36</v>
      </c>
      <c r="G5" s="9">
        <v>9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 x14ac:dyDescent="0.45">
      <c r="A6" s="9">
        <v>4</v>
      </c>
      <c r="B6" s="9" t="s">
        <v>37</v>
      </c>
      <c r="C6" s="9">
        <v>1974</v>
      </c>
      <c r="D6" s="9" t="s">
        <v>30</v>
      </c>
      <c r="E6" s="9">
        <v>202</v>
      </c>
      <c r="F6" s="9" t="s">
        <v>33</v>
      </c>
      <c r="G6" s="9">
        <v>9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 x14ac:dyDescent="0.45">
      <c r="A7" s="9">
        <v>5</v>
      </c>
      <c r="B7" s="9" t="s">
        <v>38</v>
      </c>
      <c r="C7" s="9">
        <v>2003</v>
      </c>
      <c r="D7" s="9" t="s">
        <v>35</v>
      </c>
      <c r="E7" s="9">
        <v>201</v>
      </c>
      <c r="F7" s="9" t="s">
        <v>39</v>
      </c>
      <c r="G7" s="9">
        <v>8.9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 x14ac:dyDescent="0.4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 x14ac:dyDescent="0.45">
      <c r="A9" s="10" t="s">
        <v>201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 x14ac:dyDescent="0.4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 x14ac:dyDescent="0.45">
      <c r="A11" s="6" t="str">
        <f ca="1">IFERROR(__xludf.DUMMYFUNCTION("QUERY(IMDB,""select AVG(E)
,sum(E),min(E),
max(E),count(E)"")"),"avg LENGTH")</f>
        <v>avg LENGTH</v>
      </c>
      <c r="B11" s="6" t="str">
        <f ca="1">IFERROR(__xludf.DUMMYFUNCTION("""COMPUTED_VALUE"""),"sum LENGTH")</f>
        <v>sum LENGTH</v>
      </c>
      <c r="C11" s="6" t="str">
        <f ca="1">IFERROR(__xludf.DUMMYFUNCTION("""COMPUTED_VALUE"""),"min LENGTH")</f>
        <v>min LENGTH</v>
      </c>
      <c r="D11" s="6" t="str">
        <f ca="1">IFERROR(__xludf.DUMMYFUNCTION("""COMPUTED_VALUE"""),"max LENGTH")</f>
        <v>max LENGTH</v>
      </c>
      <c r="E11" s="6" t="str">
        <f ca="1">IFERROR(__xludf.DUMMYFUNCTION("""COMPUTED_VALUE"""),"count LENGTH")</f>
        <v>count LENGTH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 x14ac:dyDescent="0.45">
      <c r="A12" s="6">
        <f ca="1">IFERROR(__xludf.DUMMYFUNCTION("""COMPUTED_VALUE"""),134.54)</f>
        <v>134.54</v>
      </c>
      <c r="B12" s="6">
        <f ca="1">IFERROR(__xludf.DUMMYFUNCTION("""COMPUTED_VALUE"""),13454)</f>
        <v>13454</v>
      </c>
      <c r="C12" s="6">
        <f ca="1">IFERROR(__xludf.DUMMYFUNCTION("""COMPUTED_VALUE"""),87)</f>
        <v>87</v>
      </c>
      <c r="D12" s="6">
        <f ca="1">IFERROR(__xludf.DUMMYFUNCTION("""COMPUTED_VALUE"""),229)</f>
        <v>229</v>
      </c>
      <c r="E12" s="6">
        <f ca="1">IFERROR(__xludf.DUMMYFUNCTION("""COMPUTED_VALUE"""),100)</f>
        <v>100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 x14ac:dyDescent="0.4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 x14ac:dyDescent="0.4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 x14ac:dyDescent="0.4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 x14ac:dyDescent="0.4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 x14ac:dyDescent="0.4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 x14ac:dyDescent="0.4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 x14ac:dyDescent="0.4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 x14ac:dyDescent="0.4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4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4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4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4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4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4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6.8" x14ac:dyDescent="0.4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6.8" x14ac:dyDescent="0.4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6.8" x14ac:dyDescent="0.4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6.8" x14ac:dyDescent="0.4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6.8" x14ac:dyDescent="0.4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6.8" x14ac:dyDescent="0.4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6.8" x14ac:dyDescent="0.4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6.8" x14ac:dyDescent="0.4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6.8" x14ac:dyDescent="0.4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6.8" x14ac:dyDescent="0.4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6.8" x14ac:dyDescent="0.4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6.8" x14ac:dyDescent="0.4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6.8" x14ac:dyDescent="0.4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6.8" x14ac:dyDescent="0.4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6.8" x14ac:dyDescent="0.4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6.8" x14ac:dyDescent="0.4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6.8" x14ac:dyDescent="0.4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6.8" x14ac:dyDescent="0.4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6.8" x14ac:dyDescent="0.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6.8" x14ac:dyDescent="0.4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6.8" x14ac:dyDescent="0.4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6.8" x14ac:dyDescent="0.4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6.8" x14ac:dyDescent="0.4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6.8" x14ac:dyDescent="0.4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6.8" x14ac:dyDescent="0.4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6.8" x14ac:dyDescent="0.4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6.8" x14ac:dyDescent="0.4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6.8" x14ac:dyDescent="0.4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6.8" x14ac:dyDescent="0.4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6.8" x14ac:dyDescent="0.4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6.8" x14ac:dyDescent="0.4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6.8" x14ac:dyDescent="0.4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6.8" x14ac:dyDescent="0.4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6.8" x14ac:dyDescent="0.4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6.8" x14ac:dyDescent="0.4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6.8" x14ac:dyDescent="0.4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6.8" x14ac:dyDescent="0.4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6.8" x14ac:dyDescent="0.4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6.8" x14ac:dyDescent="0.4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6.8" x14ac:dyDescent="0.4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6.8" x14ac:dyDescent="0.4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6.8" x14ac:dyDescent="0.4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6.8" x14ac:dyDescent="0.4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6.8" x14ac:dyDescent="0.4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6.8" x14ac:dyDescent="0.4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6.8" x14ac:dyDescent="0.4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6.8" x14ac:dyDescent="0.4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6.8" x14ac:dyDescent="0.4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6.8" x14ac:dyDescent="0.4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6.8" x14ac:dyDescent="0.4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6.8" x14ac:dyDescent="0.4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6.8" x14ac:dyDescent="0.4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6.8" x14ac:dyDescent="0.4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6.8" x14ac:dyDescent="0.4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6.8" x14ac:dyDescent="0.4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6.8" x14ac:dyDescent="0.4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6.8" x14ac:dyDescent="0.4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6.8" x14ac:dyDescent="0.4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6.8" x14ac:dyDescent="0.4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6.8" x14ac:dyDescent="0.4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6.8" x14ac:dyDescent="0.4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6.8" x14ac:dyDescent="0.4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6.8" x14ac:dyDescent="0.4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6.8" x14ac:dyDescent="0.4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6.8" x14ac:dyDescent="0.4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6.8" x14ac:dyDescent="0.4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6.8" x14ac:dyDescent="0.4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6.8" x14ac:dyDescent="0.4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6.8" x14ac:dyDescent="0.4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6.8" x14ac:dyDescent="0.4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6.8" x14ac:dyDescent="0.4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6.8" x14ac:dyDescent="0.4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6.8" x14ac:dyDescent="0.4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6.8" x14ac:dyDescent="0.4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6.8" x14ac:dyDescent="0.4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6.8" x14ac:dyDescent="0.4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6.8" x14ac:dyDescent="0.4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6.8" x14ac:dyDescent="0.4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6.8" x14ac:dyDescent="0.4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6.8" x14ac:dyDescent="0.4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6.8" x14ac:dyDescent="0.4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6.8" x14ac:dyDescent="0.4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6.8" x14ac:dyDescent="0.4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6.8" x14ac:dyDescent="0.4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6.8" x14ac:dyDescent="0.4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6.8" x14ac:dyDescent="0.4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6.8" x14ac:dyDescent="0.4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6.8" x14ac:dyDescent="0.4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6.8" x14ac:dyDescent="0.4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6.8" x14ac:dyDescent="0.4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6.8" x14ac:dyDescent="0.4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6.8" x14ac:dyDescent="0.4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6.8" x14ac:dyDescent="0.4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6.8" x14ac:dyDescent="0.4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6.8" x14ac:dyDescent="0.4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6.8" x14ac:dyDescent="0.4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6.8" x14ac:dyDescent="0.4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6.8" x14ac:dyDescent="0.4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6.8" x14ac:dyDescent="0.4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6.8" x14ac:dyDescent="0.4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6.8" x14ac:dyDescent="0.4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6.8" x14ac:dyDescent="0.4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6.8" x14ac:dyDescent="0.4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6.8" x14ac:dyDescent="0.4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6.8" x14ac:dyDescent="0.4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6.8" x14ac:dyDescent="0.4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6.8" x14ac:dyDescent="0.4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6.8" x14ac:dyDescent="0.4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6.8" x14ac:dyDescent="0.4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6.8" x14ac:dyDescent="0.4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6.8" x14ac:dyDescent="0.4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6.8" x14ac:dyDescent="0.4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6.8" x14ac:dyDescent="0.4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6.8" x14ac:dyDescent="0.4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6.8" x14ac:dyDescent="0.4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6.8" x14ac:dyDescent="0.4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6.8" x14ac:dyDescent="0.4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6.8" x14ac:dyDescent="0.4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6.8" x14ac:dyDescent="0.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6.8" x14ac:dyDescent="0.4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6.8" x14ac:dyDescent="0.4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6.8" x14ac:dyDescent="0.4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6.8" x14ac:dyDescent="0.4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6.8" x14ac:dyDescent="0.4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6.8" x14ac:dyDescent="0.4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6.8" x14ac:dyDescent="0.4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6.8" x14ac:dyDescent="0.4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6.8" x14ac:dyDescent="0.4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6.8" x14ac:dyDescent="0.4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6.8" x14ac:dyDescent="0.4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6.8" x14ac:dyDescent="0.4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6.8" x14ac:dyDescent="0.4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6.8" x14ac:dyDescent="0.4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6.8" x14ac:dyDescent="0.4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6.8" x14ac:dyDescent="0.4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6.8" x14ac:dyDescent="0.4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6.8" x14ac:dyDescent="0.4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6.8" x14ac:dyDescent="0.4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6.8" x14ac:dyDescent="0.4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6.8" x14ac:dyDescent="0.4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6.8" x14ac:dyDescent="0.4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6.8" x14ac:dyDescent="0.4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6.8" x14ac:dyDescent="0.4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6.8" x14ac:dyDescent="0.4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6.8" x14ac:dyDescent="0.4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6.8" x14ac:dyDescent="0.4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6.8" x14ac:dyDescent="0.4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6.8" x14ac:dyDescent="0.4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6.8" x14ac:dyDescent="0.4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6.8" x14ac:dyDescent="0.4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6.8" x14ac:dyDescent="0.4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6.8" x14ac:dyDescent="0.4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6.8" x14ac:dyDescent="0.4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6.8" x14ac:dyDescent="0.4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6.8" x14ac:dyDescent="0.4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6.8" x14ac:dyDescent="0.4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6.8" x14ac:dyDescent="0.4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6.8" x14ac:dyDescent="0.4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6.8" x14ac:dyDescent="0.4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6.8" x14ac:dyDescent="0.4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6.8" x14ac:dyDescent="0.4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6.8" x14ac:dyDescent="0.4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6.8" x14ac:dyDescent="0.4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6.8" x14ac:dyDescent="0.4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6.8" x14ac:dyDescent="0.4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6.8" x14ac:dyDescent="0.4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6.8" x14ac:dyDescent="0.4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6.8" x14ac:dyDescent="0.4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6.8" x14ac:dyDescent="0.4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6.8" x14ac:dyDescent="0.4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6.8" x14ac:dyDescent="0.4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6.8" x14ac:dyDescent="0.4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6.8" x14ac:dyDescent="0.4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6.8" x14ac:dyDescent="0.4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6.8" x14ac:dyDescent="0.4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6.8" x14ac:dyDescent="0.4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6.8" x14ac:dyDescent="0.4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6.8" x14ac:dyDescent="0.4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6.8" x14ac:dyDescent="0.4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6.8" x14ac:dyDescent="0.4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6.8" x14ac:dyDescent="0.4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6.8" x14ac:dyDescent="0.4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6.8" x14ac:dyDescent="0.4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6.8" x14ac:dyDescent="0.4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6.8" x14ac:dyDescent="0.4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6.8" x14ac:dyDescent="0.4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6.8" x14ac:dyDescent="0.4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6.8" x14ac:dyDescent="0.4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6.8" x14ac:dyDescent="0.4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6.8" x14ac:dyDescent="0.4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6.8" x14ac:dyDescent="0.4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6.8" x14ac:dyDescent="0.4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6.8" x14ac:dyDescent="0.4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6.8" x14ac:dyDescent="0.4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6.8" x14ac:dyDescent="0.4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6.8" x14ac:dyDescent="0.4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6.8" x14ac:dyDescent="0.4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6.8" x14ac:dyDescent="0.4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6.8" x14ac:dyDescent="0.4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6.8" x14ac:dyDescent="0.4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6.8" x14ac:dyDescent="0.4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6.8" x14ac:dyDescent="0.4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6.8" x14ac:dyDescent="0.4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6.8" x14ac:dyDescent="0.4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6.8" x14ac:dyDescent="0.4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6.8" x14ac:dyDescent="0.4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6.8" x14ac:dyDescent="0.4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6.8" x14ac:dyDescent="0.4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6.8" x14ac:dyDescent="0.4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6.8" x14ac:dyDescent="0.4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6.8" x14ac:dyDescent="0.4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6.8" x14ac:dyDescent="0.4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6.8" x14ac:dyDescent="0.4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6.8" x14ac:dyDescent="0.4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6.8" x14ac:dyDescent="0.4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6.8" x14ac:dyDescent="0.4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6.8" x14ac:dyDescent="0.4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6.8" x14ac:dyDescent="0.4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6.8" x14ac:dyDescent="0.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6.8" x14ac:dyDescent="0.4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6.8" x14ac:dyDescent="0.4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6.8" x14ac:dyDescent="0.4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6.8" x14ac:dyDescent="0.4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6.8" x14ac:dyDescent="0.4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6.8" x14ac:dyDescent="0.4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6.8" x14ac:dyDescent="0.4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6.8" x14ac:dyDescent="0.4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6.8" x14ac:dyDescent="0.4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6.8" x14ac:dyDescent="0.4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6.8" x14ac:dyDescent="0.4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6.8" x14ac:dyDescent="0.4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6.8" x14ac:dyDescent="0.4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6.8" x14ac:dyDescent="0.4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6.8" x14ac:dyDescent="0.4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6.8" x14ac:dyDescent="0.4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6.8" x14ac:dyDescent="0.4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6.8" x14ac:dyDescent="0.4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6.8" x14ac:dyDescent="0.4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6.8" x14ac:dyDescent="0.4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6.8" x14ac:dyDescent="0.4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6.8" x14ac:dyDescent="0.4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6.8" x14ac:dyDescent="0.4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6.8" x14ac:dyDescent="0.4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6.8" x14ac:dyDescent="0.4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6.8" x14ac:dyDescent="0.4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6.8" x14ac:dyDescent="0.4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6.8" x14ac:dyDescent="0.4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6.8" x14ac:dyDescent="0.4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6.8" x14ac:dyDescent="0.4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6.8" x14ac:dyDescent="0.4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6.8" x14ac:dyDescent="0.4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6.8" x14ac:dyDescent="0.4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6.8" x14ac:dyDescent="0.4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6.8" x14ac:dyDescent="0.4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6.8" x14ac:dyDescent="0.4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6.8" x14ac:dyDescent="0.4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6.8" x14ac:dyDescent="0.4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6.8" x14ac:dyDescent="0.4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6.8" x14ac:dyDescent="0.4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6.8" x14ac:dyDescent="0.4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6.8" x14ac:dyDescent="0.4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6.8" x14ac:dyDescent="0.4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6.8" x14ac:dyDescent="0.4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6.8" x14ac:dyDescent="0.4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6.8" x14ac:dyDescent="0.4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6.8" x14ac:dyDescent="0.4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6.8" x14ac:dyDescent="0.4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6.8" x14ac:dyDescent="0.4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6.8" x14ac:dyDescent="0.4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6.8" x14ac:dyDescent="0.4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6.8" x14ac:dyDescent="0.4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6.8" x14ac:dyDescent="0.4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6.8" x14ac:dyDescent="0.4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6.8" x14ac:dyDescent="0.4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6.8" x14ac:dyDescent="0.4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6.8" x14ac:dyDescent="0.4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6.8" x14ac:dyDescent="0.4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6.8" x14ac:dyDescent="0.4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6.8" x14ac:dyDescent="0.4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6.8" x14ac:dyDescent="0.4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6.8" x14ac:dyDescent="0.4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6.8" x14ac:dyDescent="0.4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6.8" x14ac:dyDescent="0.4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6.8" x14ac:dyDescent="0.4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6.8" x14ac:dyDescent="0.4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6.8" x14ac:dyDescent="0.4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6.8" x14ac:dyDescent="0.4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6.8" x14ac:dyDescent="0.4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6.8" x14ac:dyDescent="0.4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6.8" x14ac:dyDescent="0.4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6.8" x14ac:dyDescent="0.4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6.8" x14ac:dyDescent="0.4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6.8" x14ac:dyDescent="0.4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6.8" x14ac:dyDescent="0.4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6.8" x14ac:dyDescent="0.4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6.8" x14ac:dyDescent="0.4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6.8" x14ac:dyDescent="0.4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6.8" x14ac:dyDescent="0.4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6.8" x14ac:dyDescent="0.4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6.8" x14ac:dyDescent="0.4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6.8" x14ac:dyDescent="0.4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6.8" x14ac:dyDescent="0.4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6.8" x14ac:dyDescent="0.4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6.8" x14ac:dyDescent="0.4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6.8" x14ac:dyDescent="0.4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6.8" x14ac:dyDescent="0.4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6.8" x14ac:dyDescent="0.4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6.8" x14ac:dyDescent="0.4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6.8" x14ac:dyDescent="0.4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6.8" x14ac:dyDescent="0.4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6.8" x14ac:dyDescent="0.4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6.8" x14ac:dyDescent="0.4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6.8" x14ac:dyDescent="0.4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6.8" x14ac:dyDescent="0.4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6.8" x14ac:dyDescent="0.4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6.8" x14ac:dyDescent="0.4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6.8" x14ac:dyDescent="0.4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6.8" x14ac:dyDescent="0.4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6.8" x14ac:dyDescent="0.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6.8" x14ac:dyDescent="0.4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6.8" x14ac:dyDescent="0.4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6.8" x14ac:dyDescent="0.4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6.8" x14ac:dyDescent="0.4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6.8" x14ac:dyDescent="0.4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6.8" x14ac:dyDescent="0.4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6.8" x14ac:dyDescent="0.4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6.8" x14ac:dyDescent="0.4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6.8" x14ac:dyDescent="0.4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6.8" x14ac:dyDescent="0.4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6.8" x14ac:dyDescent="0.4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6.8" x14ac:dyDescent="0.4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6.8" x14ac:dyDescent="0.4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6.8" x14ac:dyDescent="0.4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6.8" x14ac:dyDescent="0.4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6.8" x14ac:dyDescent="0.4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6.8" x14ac:dyDescent="0.4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6.8" x14ac:dyDescent="0.4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6.8" x14ac:dyDescent="0.4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6.8" x14ac:dyDescent="0.4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6.8" x14ac:dyDescent="0.4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6.8" x14ac:dyDescent="0.4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6.8" x14ac:dyDescent="0.4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6.8" x14ac:dyDescent="0.4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6.8" x14ac:dyDescent="0.4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6.8" x14ac:dyDescent="0.4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6.8" x14ac:dyDescent="0.4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6.8" x14ac:dyDescent="0.4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6.8" x14ac:dyDescent="0.4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6.8" x14ac:dyDescent="0.4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6.8" x14ac:dyDescent="0.4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6.8" x14ac:dyDescent="0.4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6.8" x14ac:dyDescent="0.4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6.8" x14ac:dyDescent="0.4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6.8" x14ac:dyDescent="0.4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6.8" x14ac:dyDescent="0.4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6.8" x14ac:dyDescent="0.4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6.8" x14ac:dyDescent="0.4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6.8" x14ac:dyDescent="0.4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6.8" x14ac:dyDescent="0.4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6.8" x14ac:dyDescent="0.4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6.8" x14ac:dyDescent="0.4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6.8" x14ac:dyDescent="0.4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6.8" x14ac:dyDescent="0.4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6.8" x14ac:dyDescent="0.4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6.8" x14ac:dyDescent="0.4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6.8" x14ac:dyDescent="0.4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6.8" x14ac:dyDescent="0.4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6.8" x14ac:dyDescent="0.4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6.8" x14ac:dyDescent="0.4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6.8" x14ac:dyDescent="0.4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6.8" x14ac:dyDescent="0.4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6.8" x14ac:dyDescent="0.4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6.8" x14ac:dyDescent="0.4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6.8" x14ac:dyDescent="0.4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6.8" x14ac:dyDescent="0.4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6.8" x14ac:dyDescent="0.4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6.8" x14ac:dyDescent="0.4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6.8" x14ac:dyDescent="0.4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6.8" x14ac:dyDescent="0.4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6.8" x14ac:dyDescent="0.4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6.8" x14ac:dyDescent="0.4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6.8" x14ac:dyDescent="0.4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6.8" x14ac:dyDescent="0.4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6.8" x14ac:dyDescent="0.4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6.8" x14ac:dyDescent="0.4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6.8" x14ac:dyDescent="0.4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6.8" x14ac:dyDescent="0.4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6.8" x14ac:dyDescent="0.4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6.8" x14ac:dyDescent="0.4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6.8" x14ac:dyDescent="0.4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6.8" x14ac:dyDescent="0.4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6.8" x14ac:dyDescent="0.4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6.8" x14ac:dyDescent="0.4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6.8" x14ac:dyDescent="0.4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6.8" x14ac:dyDescent="0.4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6.8" x14ac:dyDescent="0.4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6.8" x14ac:dyDescent="0.4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6.8" x14ac:dyDescent="0.4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6.8" x14ac:dyDescent="0.4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6.8" x14ac:dyDescent="0.4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6.8" x14ac:dyDescent="0.4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6.8" x14ac:dyDescent="0.4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6.8" x14ac:dyDescent="0.4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6.8" x14ac:dyDescent="0.4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6.8" x14ac:dyDescent="0.4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6.8" x14ac:dyDescent="0.4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6.8" x14ac:dyDescent="0.4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6.8" x14ac:dyDescent="0.4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6.8" x14ac:dyDescent="0.4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6.8" x14ac:dyDescent="0.4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6.8" x14ac:dyDescent="0.4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6.8" x14ac:dyDescent="0.4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6.8" x14ac:dyDescent="0.4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6.8" x14ac:dyDescent="0.4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6.8" x14ac:dyDescent="0.4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6.8" x14ac:dyDescent="0.4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6.8" x14ac:dyDescent="0.4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6.8" x14ac:dyDescent="0.4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6.8" x14ac:dyDescent="0.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6.8" x14ac:dyDescent="0.4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6.8" x14ac:dyDescent="0.4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6.8" x14ac:dyDescent="0.4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6.8" x14ac:dyDescent="0.4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6.8" x14ac:dyDescent="0.4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6.8" x14ac:dyDescent="0.4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6.8" x14ac:dyDescent="0.4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6.8" x14ac:dyDescent="0.4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6.8" x14ac:dyDescent="0.4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6.8" x14ac:dyDescent="0.4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6.8" x14ac:dyDescent="0.4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6.8" x14ac:dyDescent="0.4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6.8" x14ac:dyDescent="0.4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6.8" x14ac:dyDescent="0.4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6.8" x14ac:dyDescent="0.4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6.8" x14ac:dyDescent="0.4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6.8" x14ac:dyDescent="0.4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6.8" x14ac:dyDescent="0.4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6.8" x14ac:dyDescent="0.4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6.8" x14ac:dyDescent="0.4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6.8" x14ac:dyDescent="0.4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6.8" x14ac:dyDescent="0.4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6.8" x14ac:dyDescent="0.4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6.8" x14ac:dyDescent="0.4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6.8" x14ac:dyDescent="0.4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6.8" x14ac:dyDescent="0.4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6.8" x14ac:dyDescent="0.4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6.8" x14ac:dyDescent="0.4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6.8" x14ac:dyDescent="0.4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6.8" x14ac:dyDescent="0.4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6.8" x14ac:dyDescent="0.4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6.8" x14ac:dyDescent="0.4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6.8" x14ac:dyDescent="0.4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6.8" x14ac:dyDescent="0.4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6.8" x14ac:dyDescent="0.4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6.8" x14ac:dyDescent="0.4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6.8" x14ac:dyDescent="0.4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6.8" x14ac:dyDescent="0.4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6.8" x14ac:dyDescent="0.4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6.8" x14ac:dyDescent="0.4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6.8" x14ac:dyDescent="0.4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6.8" x14ac:dyDescent="0.4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6.8" x14ac:dyDescent="0.4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6.8" x14ac:dyDescent="0.4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6.8" x14ac:dyDescent="0.4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6.8" x14ac:dyDescent="0.4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6.8" x14ac:dyDescent="0.4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6.8" x14ac:dyDescent="0.4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6.8" x14ac:dyDescent="0.4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6.8" x14ac:dyDescent="0.4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6.8" x14ac:dyDescent="0.4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6.8" x14ac:dyDescent="0.4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6.8" x14ac:dyDescent="0.4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6.8" x14ac:dyDescent="0.4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6.8" x14ac:dyDescent="0.4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6.8" x14ac:dyDescent="0.4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6.8" x14ac:dyDescent="0.4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6.8" x14ac:dyDescent="0.4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6.8" x14ac:dyDescent="0.4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6.8" x14ac:dyDescent="0.4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6.8" x14ac:dyDescent="0.4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6.8" x14ac:dyDescent="0.4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6.8" x14ac:dyDescent="0.4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6.8" x14ac:dyDescent="0.4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6.8" x14ac:dyDescent="0.4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6.8" x14ac:dyDescent="0.4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6.8" x14ac:dyDescent="0.4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6.8" x14ac:dyDescent="0.4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6.8" x14ac:dyDescent="0.4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6.8" x14ac:dyDescent="0.4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6.8" x14ac:dyDescent="0.4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6.8" x14ac:dyDescent="0.4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6.8" x14ac:dyDescent="0.4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6.8" x14ac:dyDescent="0.4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6.8" x14ac:dyDescent="0.4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6.8" x14ac:dyDescent="0.4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6.8" x14ac:dyDescent="0.4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6.8" x14ac:dyDescent="0.4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6.8" x14ac:dyDescent="0.4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6.8" x14ac:dyDescent="0.4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6.8" x14ac:dyDescent="0.4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6.8" x14ac:dyDescent="0.4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6.8" x14ac:dyDescent="0.4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6.8" x14ac:dyDescent="0.4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6.8" x14ac:dyDescent="0.4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6.8" x14ac:dyDescent="0.4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6.8" x14ac:dyDescent="0.4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6.8" x14ac:dyDescent="0.4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6.8" x14ac:dyDescent="0.4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6.8" x14ac:dyDescent="0.4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6.8" x14ac:dyDescent="0.4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6.8" x14ac:dyDescent="0.4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6.8" x14ac:dyDescent="0.4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6.8" x14ac:dyDescent="0.4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6.8" x14ac:dyDescent="0.4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6.8" x14ac:dyDescent="0.4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6.8" x14ac:dyDescent="0.4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6.8" x14ac:dyDescent="0.4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6.8" x14ac:dyDescent="0.4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6.8" x14ac:dyDescent="0.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6.8" x14ac:dyDescent="0.4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6.8" x14ac:dyDescent="0.4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6.8" x14ac:dyDescent="0.4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6.8" x14ac:dyDescent="0.4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6.8" x14ac:dyDescent="0.4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6.8" x14ac:dyDescent="0.4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6.8" x14ac:dyDescent="0.4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6.8" x14ac:dyDescent="0.4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6.8" x14ac:dyDescent="0.4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6.8" x14ac:dyDescent="0.4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6.8" x14ac:dyDescent="0.4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6.8" x14ac:dyDescent="0.4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6.8" x14ac:dyDescent="0.4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6.8" x14ac:dyDescent="0.4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6.8" x14ac:dyDescent="0.4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6.8" x14ac:dyDescent="0.4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6.8" x14ac:dyDescent="0.4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6.8" x14ac:dyDescent="0.4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6.8" x14ac:dyDescent="0.4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6.8" x14ac:dyDescent="0.4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6.8" x14ac:dyDescent="0.4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6.8" x14ac:dyDescent="0.4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6.8" x14ac:dyDescent="0.4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6.8" x14ac:dyDescent="0.4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6.8" x14ac:dyDescent="0.4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6.8" x14ac:dyDescent="0.4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6.8" x14ac:dyDescent="0.4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6.8" x14ac:dyDescent="0.4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6.8" x14ac:dyDescent="0.4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6.8" x14ac:dyDescent="0.4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6.8" x14ac:dyDescent="0.4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6.8" x14ac:dyDescent="0.4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6.8" x14ac:dyDescent="0.4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6.8" x14ac:dyDescent="0.4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6.8" x14ac:dyDescent="0.4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6.8" x14ac:dyDescent="0.4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6.8" x14ac:dyDescent="0.4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6.8" x14ac:dyDescent="0.4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6.8" x14ac:dyDescent="0.4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6.8" x14ac:dyDescent="0.4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6.8" x14ac:dyDescent="0.4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6.8" x14ac:dyDescent="0.4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6.8" x14ac:dyDescent="0.4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6.8" x14ac:dyDescent="0.4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6.8" x14ac:dyDescent="0.4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6.8" x14ac:dyDescent="0.4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6.8" x14ac:dyDescent="0.4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6.8" x14ac:dyDescent="0.4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6.8" x14ac:dyDescent="0.4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6.8" x14ac:dyDescent="0.4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6.8" x14ac:dyDescent="0.4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6.8" x14ac:dyDescent="0.4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6.8" x14ac:dyDescent="0.4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6.8" x14ac:dyDescent="0.4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6.8" x14ac:dyDescent="0.4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6.8" x14ac:dyDescent="0.4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6.8" x14ac:dyDescent="0.4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6.8" x14ac:dyDescent="0.4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6.8" x14ac:dyDescent="0.4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6.8" x14ac:dyDescent="0.4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6.8" x14ac:dyDescent="0.4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6.8" x14ac:dyDescent="0.4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6.8" x14ac:dyDescent="0.4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6.8" x14ac:dyDescent="0.4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6.8" x14ac:dyDescent="0.4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6.8" x14ac:dyDescent="0.4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6.8" x14ac:dyDescent="0.4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6.8" x14ac:dyDescent="0.4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6.8" x14ac:dyDescent="0.4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6.8" x14ac:dyDescent="0.4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6.8" x14ac:dyDescent="0.4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6.8" x14ac:dyDescent="0.4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6.8" x14ac:dyDescent="0.4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6.8" x14ac:dyDescent="0.4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6.8" x14ac:dyDescent="0.4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6.8" x14ac:dyDescent="0.4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6.8" x14ac:dyDescent="0.4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6.8" x14ac:dyDescent="0.4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6.8" x14ac:dyDescent="0.4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6.8" x14ac:dyDescent="0.4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6.8" x14ac:dyDescent="0.4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6.8" x14ac:dyDescent="0.4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6.8" x14ac:dyDescent="0.4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6.8" x14ac:dyDescent="0.4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6.8" x14ac:dyDescent="0.4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6.8" x14ac:dyDescent="0.4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6.8" x14ac:dyDescent="0.4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6.8" x14ac:dyDescent="0.4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6.8" x14ac:dyDescent="0.4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6.8" x14ac:dyDescent="0.4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6.8" x14ac:dyDescent="0.4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6.8" x14ac:dyDescent="0.4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6.8" x14ac:dyDescent="0.4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6.8" x14ac:dyDescent="0.4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6.8" x14ac:dyDescent="0.4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6.8" x14ac:dyDescent="0.4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6.8" x14ac:dyDescent="0.4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6.8" x14ac:dyDescent="0.4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6.8" x14ac:dyDescent="0.4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6.8" x14ac:dyDescent="0.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6.8" x14ac:dyDescent="0.4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6.8" x14ac:dyDescent="0.4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6.8" x14ac:dyDescent="0.4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6.8" x14ac:dyDescent="0.4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6.8" x14ac:dyDescent="0.4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6.8" x14ac:dyDescent="0.4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6.8" x14ac:dyDescent="0.4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6.8" x14ac:dyDescent="0.4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6.8" x14ac:dyDescent="0.4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6.8" x14ac:dyDescent="0.4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6.8" x14ac:dyDescent="0.4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6.8" x14ac:dyDescent="0.4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6.8" x14ac:dyDescent="0.4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6.8" x14ac:dyDescent="0.4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6.8" x14ac:dyDescent="0.4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6.8" x14ac:dyDescent="0.4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6.8" x14ac:dyDescent="0.4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6.8" x14ac:dyDescent="0.4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6.8" x14ac:dyDescent="0.4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6.8" x14ac:dyDescent="0.4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6.8" x14ac:dyDescent="0.4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6.8" x14ac:dyDescent="0.4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6.8" x14ac:dyDescent="0.4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6.8" x14ac:dyDescent="0.4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6.8" x14ac:dyDescent="0.4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6.8" x14ac:dyDescent="0.4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6.8" x14ac:dyDescent="0.4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6.8" x14ac:dyDescent="0.4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6.8" x14ac:dyDescent="0.4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6.8" x14ac:dyDescent="0.4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6.8" x14ac:dyDescent="0.4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6.8" x14ac:dyDescent="0.4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6.8" x14ac:dyDescent="0.4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6.8" x14ac:dyDescent="0.4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6.8" x14ac:dyDescent="0.4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6.8" x14ac:dyDescent="0.4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6.8" x14ac:dyDescent="0.4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6.8" x14ac:dyDescent="0.4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6.8" x14ac:dyDescent="0.4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6.8" x14ac:dyDescent="0.4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6.8" x14ac:dyDescent="0.4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6.8" x14ac:dyDescent="0.4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6.8" x14ac:dyDescent="0.4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6.8" x14ac:dyDescent="0.4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6.8" x14ac:dyDescent="0.4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6.8" x14ac:dyDescent="0.4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6.8" x14ac:dyDescent="0.4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6.8" x14ac:dyDescent="0.4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6.8" x14ac:dyDescent="0.4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6.8" x14ac:dyDescent="0.4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6.8" x14ac:dyDescent="0.4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6.8" x14ac:dyDescent="0.4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6.8" x14ac:dyDescent="0.4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6.8" x14ac:dyDescent="0.4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6.8" x14ac:dyDescent="0.4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6.8" x14ac:dyDescent="0.4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6.8" x14ac:dyDescent="0.4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6.8" x14ac:dyDescent="0.4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6.8" x14ac:dyDescent="0.4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6.8" x14ac:dyDescent="0.4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6.8" x14ac:dyDescent="0.4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6.8" x14ac:dyDescent="0.4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6.8" x14ac:dyDescent="0.4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6.8" x14ac:dyDescent="0.4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6.8" x14ac:dyDescent="0.4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6.8" x14ac:dyDescent="0.4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6.8" x14ac:dyDescent="0.4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6.8" x14ac:dyDescent="0.4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6.8" x14ac:dyDescent="0.4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6.8" x14ac:dyDescent="0.4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6.8" x14ac:dyDescent="0.4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6.8" x14ac:dyDescent="0.4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6.8" x14ac:dyDescent="0.4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6.8" x14ac:dyDescent="0.4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6.8" x14ac:dyDescent="0.4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6.8" x14ac:dyDescent="0.4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6.8" x14ac:dyDescent="0.4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6.8" x14ac:dyDescent="0.4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6.8" x14ac:dyDescent="0.4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6.8" x14ac:dyDescent="0.4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6.8" x14ac:dyDescent="0.4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6.8" x14ac:dyDescent="0.4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6.8" x14ac:dyDescent="0.4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6.8" x14ac:dyDescent="0.4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6.8" x14ac:dyDescent="0.4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6.8" x14ac:dyDescent="0.4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6.8" x14ac:dyDescent="0.4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6.8" x14ac:dyDescent="0.4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6.8" x14ac:dyDescent="0.4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6.8" x14ac:dyDescent="0.4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6.8" x14ac:dyDescent="0.4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6.8" x14ac:dyDescent="0.4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6.8" x14ac:dyDescent="0.4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6.8" x14ac:dyDescent="0.4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6.8" x14ac:dyDescent="0.4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6.8" x14ac:dyDescent="0.4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6.8" x14ac:dyDescent="0.4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6.8" x14ac:dyDescent="0.4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6.8" x14ac:dyDescent="0.4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6.8" x14ac:dyDescent="0.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6.8" x14ac:dyDescent="0.4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6.8" x14ac:dyDescent="0.4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6.8" x14ac:dyDescent="0.4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6.8" x14ac:dyDescent="0.4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6.8" x14ac:dyDescent="0.4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6.8" x14ac:dyDescent="0.4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6.8" x14ac:dyDescent="0.4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6.8" x14ac:dyDescent="0.4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6.8" x14ac:dyDescent="0.4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6.8" x14ac:dyDescent="0.4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6.8" x14ac:dyDescent="0.4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6.8" x14ac:dyDescent="0.4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6.8" x14ac:dyDescent="0.4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6.8" x14ac:dyDescent="0.4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6.8" x14ac:dyDescent="0.4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6.8" x14ac:dyDescent="0.4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6.8" x14ac:dyDescent="0.4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6.8" x14ac:dyDescent="0.4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6.8" x14ac:dyDescent="0.4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6.8" x14ac:dyDescent="0.4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6.8" x14ac:dyDescent="0.4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6.8" x14ac:dyDescent="0.4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6.8" x14ac:dyDescent="0.4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6.8" x14ac:dyDescent="0.4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6.8" x14ac:dyDescent="0.4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6.8" x14ac:dyDescent="0.4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6.8" x14ac:dyDescent="0.4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6.8" x14ac:dyDescent="0.4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6.8" x14ac:dyDescent="0.4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6.8" x14ac:dyDescent="0.4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6.8" x14ac:dyDescent="0.4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6.8" x14ac:dyDescent="0.4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6.8" x14ac:dyDescent="0.4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6.8" x14ac:dyDescent="0.4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6.8" x14ac:dyDescent="0.4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6.8" x14ac:dyDescent="0.4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6.8" x14ac:dyDescent="0.4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6.8" x14ac:dyDescent="0.4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6.8" x14ac:dyDescent="0.4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6.8" x14ac:dyDescent="0.4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6.8" x14ac:dyDescent="0.4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6.8" x14ac:dyDescent="0.4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6.8" x14ac:dyDescent="0.4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6.8" x14ac:dyDescent="0.4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6.8" x14ac:dyDescent="0.4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6.8" x14ac:dyDescent="0.4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6.8" x14ac:dyDescent="0.4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6.8" x14ac:dyDescent="0.4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6.8" x14ac:dyDescent="0.4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6.8" x14ac:dyDescent="0.4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6.8" x14ac:dyDescent="0.4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6.8" x14ac:dyDescent="0.4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6.8" x14ac:dyDescent="0.4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6.8" x14ac:dyDescent="0.4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6.8" x14ac:dyDescent="0.4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6.8" x14ac:dyDescent="0.4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6.8" x14ac:dyDescent="0.4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6.8" x14ac:dyDescent="0.4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6.8" x14ac:dyDescent="0.4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6.8" x14ac:dyDescent="0.4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6.8" x14ac:dyDescent="0.4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6.8" x14ac:dyDescent="0.4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6.8" x14ac:dyDescent="0.4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6.8" x14ac:dyDescent="0.4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6.8" x14ac:dyDescent="0.4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6.8" x14ac:dyDescent="0.4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6.8" x14ac:dyDescent="0.4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6.8" x14ac:dyDescent="0.4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6.8" x14ac:dyDescent="0.4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6.8" x14ac:dyDescent="0.4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6.8" x14ac:dyDescent="0.4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6.8" x14ac:dyDescent="0.4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6.8" x14ac:dyDescent="0.4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6.8" x14ac:dyDescent="0.4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6.8" x14ac:dyDescent="0.4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6.8" x14ac:dyDescent="0.4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6.8" x14ac:dyDescent="0.4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6.8" x14ac:dyDescent="0.4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6.8" x14ac:dyDescent="0.4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6.8" x14ac:dyDescent="0.4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6.8" x14ac:dyDescent="0.4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6.8" x14ac:dyDescent="0.4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6.8" x14ac:dyDescent="0.4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6.8" x14ac:dyDescent="0.4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6.8" x14ac:dyDescent="0.4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6.8" x14ac:dyDescent="0.4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6.8" x14ac:dyDescent="0.4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6.8" x14ac:dyDescent="0.4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6.8" x14ac:dyDescent="0.4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6.8" x14ac:dyDescent="0.4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6.8" x14ac:dyDescent="0.4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6.8" x14ac:dyDescent="0.4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6.8" x14ac:dyDescent="0.4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6.8" x14ac:dyDescent="0.4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6.8" x14ac:dyDescent="0.4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6.8" x14ac:dyDescent="0.4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6.8" x14ac:dyDescent="0.4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6.8" x14ac:dyDescent="0.4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6.8" x14ac:dyDescent="0.4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6.8" x14ac:dyDescent="0.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6.8" x14ac:dyDescent="0.4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6.8" x14ac:dyDescent="0.4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6.8" x14ac:dyDescent="0.4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6.8" x14ac:dyDescent="0.4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6.8" x14ac:dyDescent="0.4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6.8" x14ac:dyDescent="0.4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6.8" x14ac:dyDescent="0.4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6.8" x14ac:dyDescent="0.4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6.8" x14ac:dyDescent="0.4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6.8" x14ac:dyDescent="0.4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6.8" x14ac:dyDescent="0.4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6.8" x14ac:dyDescent="0.4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6.8" x14ac:dyDescent="0.4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6.8" x14ac:dyDescent="0.4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6.8" x14ac:dyDescent="0.4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6.8" x14ac:dyDescent="0.4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6.8" x14ac:dyDescent="0.4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6.8" x14ac:dyDescent="0.4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6.8" x14ac:dyDescent="0.4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6.8" x14ac:dyDescent="0.4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6.8" x14ac:dyDescent="0.4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6.8" x14ac:dyDescent="0.4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6.8" x14ac:dyDescent="0.4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6.8" x14ac:dyDescent="0.4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6.8" x14ac:dyDescent="0.4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6.8" x14ac:dyDescent="0.4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6.8" x14ac:dyDescent="0.4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6.8" x14ac:dyDescent="0.4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6.8" x14ac:dyDescent="0.4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6.8" x14ac:dyDescent="0.4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6.8" x14ac:dyDescent="0.4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6.8" x14ac:dyDescent="0.4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6.8" x14ac:dyDescent="0.4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6.8" x14ac:dyDescent="0.4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6.8" x14ac:dyDescent="0.4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6.8" x14ac:dyDescent="0.4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6.8" x14ac:dyDescent="0.4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6.8" x14ac:dyDescent="0.4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6.8" x14ac:dyDescent="0.4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6.8" x14ac:dyDescent="0.4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6.8" x14ac:dyDescent="0.4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6.8" x14ac:dyDescent="0.4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6.8" x14ac:dyDescent="0.4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6.8" x14ac:dyDescent="0.4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6.8" x14ac:dyDescent="0.4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6.8" x14ac:dyDescent="0.4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6.8" x14ac:dyDescent="0.4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6.8" x14ac:dyDescent="0.4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6.8" x14ac:dyDescent="0.4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6.8" x14ac:dyDescent="0.4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6.8" x14ac:dyDescent="0.4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6.8" x14ac:dyDescent="0.4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6.8" x14ac:dyDescent="0.4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6.8" x14ac:dyDescent="0.4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6.8" x14ac:dyDescent="0.4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6.8" x14ac:dyDescent="0.4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6.8" x14ac:dyDescent="0.4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6.8" x14ac:dyDescent="0.4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6.8" x14ac:dyDescent="0.4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6.8" x14ac:dyDescent="0.4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6.8" x14ac:dyDescent="0.4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6.8" x14ac:dyDescent="0.4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6.8" x14ac:dyDescent="0.4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6.8" x14ac:dyDescent="0.4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6.8" x14ac:dyDescent="0.4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6.8" x14ac:dyDescent="0.4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6.8" x14ac:dyDescent="0.4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6.8" x14ac:dyDescent="0.4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6.8" x14ac:dyDescent="0.4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6.8" x14ac:dyDescent="0.4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6.8" x14ac:dyDescent="0.4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6.8" x14ac:dyDescent="0.4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6.8" x14ac:dyDescent="0.4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6.8" x14ac:dyDescent="0.4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6.8" x14ac:dyDescent="0.4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6.8" x14ac:dyDescent="0.4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6.8" x14ac:dyDescent="0.4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6.8" x14ac:dyDescent="0.4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6.8" x14ac:dyDescent="0.4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6.8" x14ac:dyDescent="0.4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6.8" x14ac:dyDescent="0.4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6.8" x14ac:dyDescent="0.4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6.8" x14ac:dyDescent="0.4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6.8" x14ac:dyDescent="0.4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6.8" x14ac:dyDescent="0.4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6.8" x14ac:dyDescent="0.4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6.8" x14ac:dyDescent="0.4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6.8" x14ac:dyDescent="0.4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6.8" x14ac:dyDescent="0.4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6.8" x14ac:dyDescent="0.4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6.8" x14ac:dyDescent="0.4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6.8" x14ac:dyDescent="0.4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6.8" x14ac:dyDescent="0.4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6.8" x14ac:dyDescent="0.4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6.8" x14ac:dyDescent="0.4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6.8" x14ac:dyDescent="0.4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6.8" x14ac:dyDescent="0.4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6.8" x14ac:dyDescent="0.4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6.8" x14ac:dyDescent="0.4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6.8" x14ac:dyDescent="0.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6.8" x14ac:dyDescent="0.4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6.8" x14ac:dyDescent="0.4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6.8" x14ac:dyDescent="0.4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6.8" x14ac:dyDescent="0.4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6.8" x14ac:dyDescent="0.4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6.8" x14ac:dyDescent="0.4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6.8" x14ac:dyDescent="0.4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6.8" x14ac:dyDescent="0.4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6.8" x14ac:dyDescent="0.4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6.8" x14ac:dyDescent="0.4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6.8" x14ac:dyDescent="0.4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6.8" x14ac:dyDescent="0.4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6.8" x14ac:dyDescent="0.4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6.8" x14ac:dyDescent="0.4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6.8" x14ac:dyDescent="0.4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6.8" x14ac:dyDescent="0.4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6.8" x14ac:dyDescent="0.4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6.8" x14ac:dyDescent="0.4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6.8" x14ac:dyDescent="0.4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6.8" x14ac:dyDescent="0.4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6.8" x14ac:dyDescent="0.4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6.8" x14ac:dyDescent="0.4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6.8" x14ac:dyDescent="0.4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6.8" x14ac:dyDescent="0.4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6.8" x14ac:dyDescent="0.4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6.8" x14ac:dyDescent="0.4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6.8" x14ac:dyDescent="0.4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6.8" x14ac:dyDescent="0.4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6.8" x14ac:dyDescent="0.4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6.8" x14ac:dyDescent="0.4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6.8" x14ac:dyDescent="0.4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6.8" x14ac:dyDescent="0.4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6.8" x14ac:dyDescent="0.4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6.8" x14ac:dyDescent="0.4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6.8" x14ac:dyDescent="0.4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6.8" x14ac:dyDescent="0.4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6.8" x14ac:dyDescent="0.4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6.8" x14ac:dyDescent="0.4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6.8" x14ac:dyDescent="0.4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6.8" x14ac:dyDescent="0.4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6.8" x14ac:dyDescent="0.4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6.8" x14ac:dyDescent="0.4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6.8" x14ac:dyDescent="0.4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6.8" x14ac:dyDescent="0.4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6.8" x14ac:dyDescent="0.4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6.8" x14ac:dyDescent="0.4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6.8" x14ac:dyDescent="0.4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6.8" x14ac:dyDescent="0.4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6.8" x14ac:dyDescent="0.4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6.8" x14ac:dyDescent="0.4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6.8" x14ac:dyDescent="0.4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6.8" x14ac:dyDescent="0.4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6.8" x14ac:dyDescent="0.4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6.8" x14ac:dyDescent="0.4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6.8" x14ac:dyDescent="0.4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6.8" x14ac:dyDescent="0.4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1"/>
  <sheetViews>
    <sheetView workbookViewId="0"/>
  </sheetViews>
  <sheetFormatPr defaultColWidth="12.6640625" defaultRowHeight="15.75" customHeight="1" x14ac:dyDescent="0.25"/>
  <cols>
    <col min="1" max="7" width="12.6640625" customWidth="1"/>
  </cols>
  <sheetData>
    <row r="1" spans="1:26" ht="15.75" customHeight="1" x14ac:dyDescent="0.45">
      <c r="A1" s="8" t="s">
        <v>193</v>
      </c>
      <c r="B1" s="8"/>
      <c r="C1" s="8"/>
      <c r="D1" s="8"/>
      <c r="E1" s="8"/>
      <c r="F1" s="8"/>
      <c r="G1" s="8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 x14ac:dyDescent="0.45">
      <c r="A2" s="8" t="s">
        <v>22</v>
      </c>
      <c r="B2" s="8" t="s">
        <v>23</v>
      </c>
      <c r="C2" s="8" t="s">
        <v>24</v>
      </c>
      <c r="D2" s="8" t="s">
        <v>25</v>
      </c>
      <c r="E2" s="8" t="s">
        <v>26</v>
      </c>
      <c r="F2" s="8" t="s">
        <v>27</v>
      </c>
      <c r="G2" s="8" t="s">
        <v>28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 x14ac:dyDescent="0.45">
      <c r="A3" s="9">
        <v>1</v>
      </c>
      <c r="B3" s="9" t="s">
        <v>29</v>
      </c>
      <c r="C3" s="9">
        <v>1994</v>
      </c>
      <c r="D3" s="9" t="s">
        <v>30</v>
      </c>
      <c r="E3" s="9">
        <v>142</v>
      </c>
      <c r="F3" s="9" t="s">
        <v>31</v>
      </c>
      <c r="G3" s="9">
        <v>9.3000000000000007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 x14ac:dyDescent="0.45">
      <c r="A4" s="9">
        <v>2</v>
      </c>
      <c r="B4" s="9" t="s">
        <v>32</v>
      </c>
      <c r="C4" s="9">
        <v>1972</v>
      </c>
      <c r="D4" s="9" t="s">
        <v>30</v>
      </c>
      <c r="E4" s="9">
        <v>175</v>
      </c>
      <c r="F4" s="9" t="s">
        <v>33</v>
      </c>
      <c r="G4" s="9">
        <v>9.1999999999999993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 x14ac:dyDescent="0.45">
      <c r="A5" s="9">
        <v>3</v>
      </c>
      <c r="B5" s="9" t="s">
        <v>34</v>
      </c>
      <c r="C5" s="9">
        <v>2008</v>
      </c>
      <c r="D5" s="9" t="s">
        <v>35</v>
      </c>
      <c r="E5" s="9">
        <v>152</v>
      </c>
      <c r="F5" s="9" t="s">
        <v>36</v>
      </c>
      <c r="G5" s="9">
        <v>9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 x14ac:dyDescent="0.45">
      <c r="A6" s="9">
        <v>4</v>
      </c>
      <c r="B6" s="9" t="s">
        <v>37</v>
      </c>
      <c r="C6" s="9">
        <v>1974</v>
      </c>
      <c r="D6" s="9" t="s">
        <v>30</v>
      </c>
      <c r="E6" s="9">
        <v>202</v>
      </c>
      <c r="F6" s="9" t="s">
        <v>33</v>
      </c>
      <c r="G6" s="9">
        <v>9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 x14ac:dyDescent="0.45">
      <c r="A7" s="9">
        <v>5</v>
      </c>
      <c r="B7" s="9" t="s">
        <v>38</v>
      </c>
      <c r="C7" s="9">
        <v>2003</v>
      </c>
      <c r="D7" s="9" t="s">
        <v>35</v>
      </c>
      <c r="E7" s="9">
        <v>201</v>
      </c>
      <c r="F7" s="9" t="s">
        <v>39</v>
      </c>
      <c r="G7" s="9">
        <v>8.9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 x14ac:dyDescent="0.4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 x14ac:dyDescent="0.45">
      <c r="A9" s="10" t="s">
        <v>13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 x14ac:dyDescent="0.45">
      <c r="A10" s="6" t="str">
        <f ca="1">IFERROR(__xludf.DUMMYFUNCTION("query(IMDB,""select  avg(E) group by D"")"),"avg LENGTH")</f>
        <v>avg LENGTH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 x14ac:dyDescent="0.45">
      <c r="A11" s="6">
        <f ca="1">IFERROR(__xludf.DUMMYFUNCTION("""COMPUTED_VALUE"""),123)</f>
        <v>123</v>
      </c>
      <c r="B11" s="1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 x14ac:dyDescent="0.45">
      <c r="A12" s="6">
        <f ca="1">IFERROR(__xludf.DUMMYFUNCTION("""COMPUTED_VALUE"""),100)</f>
        <v>100</v>
      </c>
      <c r="B12" s="1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 x14ac:dyDescent="0.45">
      <c r="A13" s="6">
        <f ca="1">IFERROR(__xludf.DUMMYFUNCTION("""COMPUTED_VALUE"""),92.6)</f>
        <v>92.6</v>
      </c>
      <c r="B13" s="1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 x14ac:dyDescent="0.45">
      <c r="A14" s="6">
        <f ca="1">IFERROR(__xludf.DUMMYFUNCTION("""COMPUTED_VALUE"""),139.6)</f>
        <v>139.6</v>
      </c>
      <c r="B14" s="1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 x14ac:dyDescent="0.45">
      <c r="A15" s="6">
        <f ca="1">IFERROR(__xludf.DUMMYFUNCTION("""COMPUTED_VALUE"""),117.923076923076)</f>
        <v>117.923076923076</v>
      </c>
      <c r="B15" s="1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 x14ac:dyDescent="0.45">
      <c r="A16" s="6">
        <f ca="1">IFERROR(__xludf.DUMMYFUNCTION("""COMPUTED_VALUE"""),156.529411764705)</f>
        <v>156.529411764705</v>
      </c>
      <c r="B16" s="1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 x14ac:dyDescent="0.45">
      <c r="A17" s="6">
        <f ca="1">IFERROR(__xludf.DUMMYFUNCTION("""COMPUTED_VALUE"""),117.5)</f>
        <v>117.5</v>
      </c>
      <c r="B17" s="1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 x14ac:dyDescent="0.45">
      <c r="A18" s="6">
        <f ca="1">IFERROR(__xludf.DUMMYFUNCTION("""COMPUTED_VALUE"""),138.234042553191)</f>
        <v>138.23404255319099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 x14ac:dyDescent="0.45">
      <c r="A19" s="14" t="s">
        <v>202</v>
      </c>
      <c r="B19" s="6"/>
      <c r="C19" s="6"/>
      <c r="E19" s="6"/>
      <c r="F19" s="17" t="s">
        <v>203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 x14ac:dyDescent="0.45">
      <c r="A20" s="6" t="str">
        <f ca="1">IFERROR(__xludf.DUMMYFUNCTION("query(IMDB,""select D, avg(E),
sum(E),count(E) group by D"")"),"RATING")</f>
        <v>RATING</v>
      </c>
      <c r="B20" s="6" t="str">
        <f ca="1">IFERROR(__xludf.DUMMYFUNCTION("""COMPUTED_VALUE"""),"avg LENGTH")</f>
        <v>avg LENGTH</v>
      </c>
      <c r="C20" s="6" t="str">
        <f ca="1">IFERROR(__xludf.DUMMYFUNCTION("""COMPUTED_VALUE"""),"sum LENGTH")</f>
        <v>sum LENGTH</v>
      </c>
      <c r="D20" s="18" t="str">
        <f ca="1">IFERROR(__xludf.DUMMYFUNCTION("""COMPUTED_VALUE"""),"count LENGTH")</f>
        <v>count LENGTH</v>
      </c>
      <c r="E20" s="6"/>
      <c r="F20" s="6" t="str">
        <f ca="1">IFERROR(__xludf.DUMMYFUNCTION("query(IMDB,""select D, avg(E) ,sum(E),count(E) where D is not null group by D "")"),"RATING")</f>
        <v>RATING</v>
      </c>
      <c r="G20" s="6" t="str">
        <f ca="1">IFERROR(__xludf.DUMMYFUNCTION("""COMPUTED_VALUE"""),"avg LENGTH")</f>
        <v>avg LENGTH</v>
      </c>
      <c r="H20" s="6" t="str">
        <f ca="1">IFERROR(__xludf.DUMMYFUNCTION("""COMPUTED_VALUE"""),"sum LENGTH")</f>
        <v>sum LENGTH</v>
      </c>
      <c r="I20" s="6" t="str">
        <f ca="1">IFERROR(__xludf.DUMMYFUNCTION("""COMPUTED_VALUE"""),"count LENGTH")</f>
        <v>count LENGTH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45">
      <c r="A21" s="6"/>
      <c r="B21" s="6">
        <f ca="1">IFERROR(__xludf.DUMMYFUNCTION("""COMPUTED_VALUE"""),123)</f>
        <v>123</v>
      </c>
      <c r="C21" s="6">
        <f ca="1">IFERROR(__xludf.DUMMYFUNCTION("""COMPUTED_VALUE"""),369)</f>
        <v>369</v>
      </c>
      <c r="D21" s="6">
        <f ca="1">IFERROR(__xludf.DUMMYFUNCTION("""COMPUTED_VALUE"""),3)</f>
        <v>3</v>
      </c>
      <c r="E21" s="6"/>
      <c r="F21" s="6" t="str">
        <f ca="1">IFERROR(__xludf.DUMMYFUNCTION("""COMPUTED_VALUE"""),"Approved")</f>
        <v>Approved</v>
      </c>
      <c r="G21" s="6">
        <f ca="1">IFERROR(__xludf.DUMMYFUNCTION("""COMPUTED_VALUE"""),100)</f>
        <v>100</v>
      </c>
      <c r="H21" s="6">
        <f ca="1">IFERROR(__xludf.DUMMYFUNCTION("""COMPUTED_VALUE"""),300)</f>
        <v>300</v>
      </c>
      <c r="I21" s="6">
        <f ca="1">IFERROR(__xludf.DUMMYFUNCTION("""COMPUTED_VALUE"""),3)</f>
        <v>3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45">
      <c r="A22" s="6" t="str">
        <f ca="1">IFERROR(__xludf.DUMMYFUNCTION("""COMPUTED_VALUE"""),"Approved")</f>
        <v>Approved</v>
      </c>
      <c r="B22" s="6">
        <f ca="1">IFERROR(__xludf.DUMMYFUNCTION("""COMPUTED_VALUE"""),100)</f>
        <v>100</v>
      </c>
      <c r="C22" s="6">
        <f ca="1">IFERROR(__xludf.DUMMYFUNCTION("""COMPUTED_VALUE"""),300)</f>
        <v>300</v>
      </c>
      <c r="D22" s="6">
        <f ca="1">IFERROR(__xludf.DUMMYFUNCTION("""COMPUTED_VALUE"""),3)</f>
        <v>3</v>
      </c>
      <c r="E22" s="6"/>
      <c r="F22" s="6" t="str">
        <f ca="1">IFERROR(__xludf.DUMMYFUNCTION("""COMPUTED_VALUE"""),"G")</f>
        <v>G</v>
      </c>
      <c r="G22" s="6">
        <f ca="1">IFERROR(__xludf.DUMMYFUNCTION("""COMPUTED_VALUE"""),92.6)</f>
        <v>92.6</v>
      </c>
      <c r="H22" s="6">
        <f ca="1">IFERROR(__xludf.DUMMYFUNCTION("""COMPUTED_VALUE"""),463)</f>
        <v>463</v>
      </c>
      <c r="I22" s="6">
        <f ca="1">IFERROR(__xludf.DUMMYFUNCTION("""COMPUTED_VALUE"""),5)</f>
        <v>5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45">
      <c r="A23" s="6" t="str">
        <f ca="1">IFERROR(__xludf.DUMMYFUNCTION("""COMPUTED_VALUE"""),"G")</f>
        <v>G</v>
      </c>
      <c r="B23" s="6">
        <f ca="1">IFERROR(__xludf.DUMMYFUNCTION("""COMPUTED_VALUE"""),92.6)</f>
        <v>92.6</v>
      </c>
      <c r="C23" s="6">
        <f ca="1">IFERROR(__xludf.DUMMYFUNCTION("""COMPUTED_VALUE"""),463)</f>
        <v>463</v>
      </c>
      <c r="D23" s="6">
        <f ca="1">IFERROR(__xludf.DUMMYFUNCTION("""COMPUTED_VALUE"""),5)</f>
        <v>5</v>
      </c>
      <c r="E23" s="6"/>
      <c r="F23" s="6" t="str">
        <f ca="1">IFERROR(__xludf.DUMMYFUNCTION("""COMPUTED_VALUE"""),"Not Rated")</f>
        <v>Not Rated</v>
      </c>
      <c r="G23" s="6">
        <f ca="1">IFERROR(__xludf.DUMMYFUNCTION("""COMPUTED_VALUE"""),139.6)</f>
        <v>139.6</v>
      </c>
      <c r="H23" s="6">
        <f ca="1">IFERROR(__xludf.DUMMYFUNCTION("""COMPUTED_VALUE"""),1396)</f>
        <v>1396</v>
      </c>
      <c r="I23" s="6">
        <f ca="1">IFERROR(__xludf.DUMMYFUNCTION("""COMPUTED_VALUE"""),10)</f>
        <v>10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45">
      <c r="A24" s="6" t="str">
        <f ca="1">IFERROR(__xludf.DUMMYFUNCTION("""COMPUTED_VALUE"""),"Not Rated")</f>
        <v>Not Rated</v>
      </c>
      <c r="B24" s="6">
        <f ca="1">IFERROR(__xludf.DUMMYFUNCTION("""COMPUTED_VALUE"""),139.6)</f>
        <v>139.6</v>
      </c>
      <c r="C24" s="6">
        <f ca="1">IFERROR(__xludf.DUMMYFUNCTION("""COMPUTED_VALUE"""),1396)</f>
        <v>1396</v>
      </c>
      <c r="D24" s="6">
        <f ca="1">IFERROR(__xludf.DUMMYFUNCTION("""COMPUTED_VALUE"""),10)</f>
        <v>10</v>
      </c>
      <c r="E24" s="6"/>
      <c r="F24" s="6" t="str">
        <f ca="1">IFERROR(__xludf.DUMMYFUNCTION("""COMPUTED_VALUE"""),"PG")</f>
        <v>PG</v>
      </c>
      <c r="G24" s="6">
        <f ca="1">IFERROR(__xludf.DUMMYFUNCTION("""COMPUTED_VALUE"""),117.923076923076)</f>
        <v>117.923076923076</v>
      </c>
      <c r="H24" s="6">
        <f ca="1">IFERROR(__xludf.DUMMYFUNCTION("""COMPUTED_VALUE"""),1533)</f>
        <v>1533</v>
      </c>
      <c r="I24" s="6">
        <f ca="1">IFERROR(__xludf.DUMMYFUNCTION("""COMPUTED_VALUE"""),13)</f>
        <v>13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45">
      <c r="A25" s="6" t="str">
        <f ca="1">IFERROR(__xludf.DUMMYFUNCTION("""COMPUTED_VALUE"""),"PG")</f>
        <v>PG</v>
      </c>
      <c r="B25" s="6">
        <f ca="1">IFERROR(__xludf.DUMMYFUNCTION("""COMPUTED_VALUE"""),117.923076923076)</f>
        <v>117.923076923076</v>
      </c>
      <c r="C25" s="6">
        <f ca="1">IFERROR(__xludf.DUMMYFUNCTION("""COMPUTED_VALUE"""),1533)</f>
        <v>1533</v>
      </c>
      <c r="D25" s="6">
        <f ca="1">IFERROR(__xludf.DUMMYFUNCTION("""COMPUTED_VALUE"""),13)</f>
        <v>13</v>
      </c>
      <c r="E25" s="6"/>
      <c r="F25" s="6" t="str">
        <f ca="1">IFERROR(__xludf.DUMMYFUNCTION("""COMPUTED_VALUE"""),"PG-13")</f>
        <v>PG-13</v>
      </c>
      <c r="G25" s="6">
        <f ca="1">IFERROR(__xludf.DUMMYFUNCTION("""COMPUTED_VALUE"""),156.529411764705)</f>
        <v>156.529411764705</v>
      </c>
      <c r="H25" s="6">
        <f ca="1">IFERROR(__xludf.DUMMYFUNCTION("""COMPUTED_VALUE"""),2661)</f>
        <v>2661</v>
      </c>
      <c r="I25" s="6">
        <f ca="1">IFERROR(__xludf.DUMMYFUNCTION("""COMPUTED_VALUE"""),17)</f>
        <v>17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45">
      <c r="A26" s="6" t="str">
        <f ca="1">IFERROR(__xludf.DUMMYFUNCTION("""COMPUTED_VALUE"""),"PG-13")</f>
        <v>PG-13</v>
      </c>
      <c r="B26" s="6">
        <f ca="1">IFERROR(__xludf.DUMMYFUNCTION("""COMPUTED_VALUE"""),156.529411764705)</f>
        <v>156.529411764705</v>
      </c>
      <c r="C26" s="6">
        <f ca="1">IFERROR(__xludf.DUMMYFUNCTION("""COMPUTED_VALUE"""),2661)</f>
        <v>2661</v>
      </c>
      <c r="D26" s="6">
        <f ca="1">IFERROR(__xludf.DUMMYFUNCTION("""COMPUTED_VALUE"""),17)</f>
        <v>17</v>
      </c>
      <c r="E26" s="6"/>
      <c r="F26" s="6" t="str">
        <f ca="1">IFERROR(__xludf.DUMMYFUNCTION("""COMPUTED_VALUE"""),"Passed")</f>
        <v>Passed</v>
      </c>
      <c r="G26" s="6">
        <f ca="1">IFERROR(__xludf.DUMMYFUNCTION("""COMPUTED_VALUE"""),117.5)</f>
        <v>117.5</v>
      </c>
      <c r="H26" s="6">
        <f ca="1">IFERROR(__xludf.DUMMYFUNCTION("""COMPUTED_VALUE"""),235)</f>
        <v>235</v>
      </c>
      <c r="I26" s="6">
        <f ca="1">IFERROR(__xludf.DUMMYFUNCTION("""COMPUTED_VALUE"""),2)</f>
        <v>2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6.8" x14ac:dyDescent="0.45">
      <c r="A27" s="6" t="str">
        <f ca="1">IFERROR(__xludf.DUMMYFUNCTION("""COMPUTED_VALUE"""),"Passed")</f>
        <v>Passed</v>
      </c>
      <c r="B27" s="6">
        <f ca="1">IFERROR(__xludf.DUMMYFUNCTION("""COMPUTED_VALUE"""),117.5)</f>
        <v>117.5</v>
      </c>
      <c r="C27" s="6">
        <f ca="1">IFERROR(__xludf.DUMMYFUNCTION("""COMPUTED_VALUE"""),235)</f>
        <v>235</v>
      </c>
      <c r="D27" s="6">
        <f ca="1">IFERROR(__xludf.DUMMYFUNCTION("""COMPUTED_VALUE"""),2)</f>
        <v>2</v>
      </c>
      <c r="E27" s="6"/>
      <c r="F27" s="6" t="str">
        <f ca="1">IFERROR(__xludf.DUMMYFUNCTION("""COMPUTED_VALUE"""),"R")</f>
        <v>R</v>
      </c>
      <c r="G27" s="6">
        <f ca="1">IFERROR(__xludf.DUMMYFUNCTION("""COMPUTED_VALUE"""),138.234042553191)</f>
        <v>138.23404255319099</v>
      </c>
      <c r="H27" s="6">
        <f ca="1">IFERROR(__xludf.DUMMYFUNCTION("""COMPUTED_VALUE"""),6497)</f>
        <v>6497</v>
      </c>
      <c r="I27" s="6">
        <f ca="1">IFERROR(__xludf.DUMMYFUNCTION("""COMPUTED_VALUE"""),47)</f>
        <v>47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6.8" x14ac:dyDescent="0.45">
      <c r="A28" s="6" t="str">
        <f ca="1">IFERROR(__xludf.DUMMYFUNCTION("""COMPUTED_VALUE"""),"R")</f>
        <v>R</v>
      </c>
      <c r="B28" s="6">
        <f ca="1">IFERROR(__xludf.DUMMYFUNCTION("""COMPUTED_VALUE"""),138.234042553191)</f>
        <v>138.23404255319099</v>
      </c>
      <c r="C28" s="6">
        <f ca="1">IFERROR(__xludf.DUMMYFUNCTION("""COMPUTED_VALUE"""),6497)</f>
        <v>6497</v>
      </c>
      <c r="D28" s="6">
        <f ca="1">IFERROR(__xludf.DUMMYFUNCTION("""COMPUTED_VALUE"""),47)</f>
        <v>47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6.8" x14ac:dyDescent="0.4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6.8" x14ac:dyDescent="0.45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6.8" x14ac:dyDescent="0.45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6.8" x14ac:dyDescent="0.4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6.8" x14ac:dyDescent="0.4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6.8" x14ac:dyDescent="0.4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6.8" x14ac:dyDescent="0.4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6.8" x14ac:dyDescent="0.4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6.8" x14ac:dyDescent="0.4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6.8" x14ac:dyDescent="0.4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6.8" x14ac:dyDescent="0.4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6.8" x14ac:dyDescent="0.4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6.8" x14ac:dyDescent="0.4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6.8" x14ac:dyDescent="0.4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6.8" x14ac:dyDescent="0.4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6.8" x14ac:dyDescent="0.4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6.8" x14ac:dyDescent="0.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6.8" x14ac:dyDescent="0.4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6.8" x14ac:dyDescent="0.4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6.8" x14ac:dyDescent="0.4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6.8" x14ac:dyDescent="0.4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6.8" x14ac:dyDescent="0.4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6.8" x14ac:dyDescent="0.4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6.8" x14ac:dyDescent="0.4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6.8" x14ac:dyDescent="0.4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6.8" x14ac:dyDescent="0.4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6.8" x14ac:dyDescent="0.4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6.8" x14ac:dyDescent="0.4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6.8" x14ac:dyDescent="0.4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6.8" x14ac:dyDescent="0.4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6.8" x14ac:dyDescent="0.4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6.8" x14ac:dyDescent="0.4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6.8" x14ac:dyDescent="0.4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6.8" x14ac:dyDescent="0.4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6.8" x14ac:dyDescent="0.4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6.8" x14ac:dyDescent="0.4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6.8" x14ac:dyDescent="0.4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6.8" x14ac:dyDescent="0.4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6.8" x14ac:dyDescent="0.4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6.8" x14ac:dyDescent="0.4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6.8" x14ac:dyDescent="0.4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6.8" x14ac:dyDescent="0.4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6.8" x14ac:dyDescent="0.4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6.8" x14ac:dyDescent="0.4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6.8" x14ac:dyDescent="0.4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6.8" x14ac:dyDescent="0.4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6.8" x14ac:dyDescent="0.4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6.8" x14ac:dyDescent="0.4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6.8" x14ac:dyDescent="0.4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6.8" x14ac:dyDescent="0.4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6.8" x14ac:dyDescent="0.4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6.8" x14ac:dyDescent="0.4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6.8" x14ac:dyDescent="0.4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6.8" x14ac:dyDescent="0.4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6.8" x14ac:dyDescent="0.4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6.8" x14ac:dyDescent="0.4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6.8" x14ac:dyDescent="0.4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6.8" x14ac:dyDescent="0.4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6.8" x14ac:dyDescent="0.4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6.8" x14ac:dyDescent="0.4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6.8" x14ac:dyDescent="0.4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6.8" x14ac:dyDescent="0.4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6.8" x14ac:dyDescent="0.4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6.8" x14ac:dyDescent="0.4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6.8" x14ac:dyDescent="0.4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6.8" x14ac:dyDescent="0.4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6.8" x14ac:dyDescent="0.4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6.8" x14ac:dyDescent="0.4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6.8" x14ac:dyDescent="0.4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6.8" x14ac:dyDescent="0.4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6.8" x14ac:dyDescent="0.4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6.8" x14ac:dyDescent="0.4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6.8" x14ac:dyDescent="0.4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6.8" x14ac:dyDescent="0.4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6.8" x14ac:dyDescent="0.4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6.8" x14ac:dyDescent="0.4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6.8" x14ac:dyDescent="0.4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6.8" x14ac:dyDescent="0.4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6.8" x14ac:dyDescent="0.4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6.8" x14ac:dyDescent="0.4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6.8" x14ac:dyDescent="0.4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6.8" x14ac:dyDescent="0.4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6.8" x14ac:dyDescent="0.4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6.8" x14ac:dyDescent="0.4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6.8" x14ac:dyDescent="0.4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6.8" x14ac:dyDescent="0.4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6.8" x14ac:dyDescent="0.4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6.8" x14ac:dyDescent="0.4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6.8" x14ac:dyDescent="0.4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6.8" x14ac:dyDescent="0.4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6.8" x14ac:dyDescent="0.4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6.8" x14ac:dyDescent="0.4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6.8" x14ac:dyDescent="0.4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6.8" x14ac:dyDescent="0.4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6.8" x14ac:dyDescent="0.4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6.8" x14ac:dyDescent="0.4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6.8" x14ac:dyDescent="0.4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6.8" x14ac:dyDescent="0.4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6.8" x14ac:dyDescent="0.4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6.8" x14ac:dyDescent="0.4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6.8" x14ac:dyDescent="0.4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6.8" x14ac:dyDescent="0.4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6.8" x14ac:dyDescent="0.4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6.8" x14ac:dyDescent="0.4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6.8" x14ac:dyDescent="0.4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6.8" x14ac:dyDescent="0.4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6.8" x14ac:dyDescent="0.4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6.8" x14ac:dyDescent="0.4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6.8" x14ac:dyDescent="0.4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6.8" x14ac:dyDescent="0.4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6.8" x14ac:dyDescent="0.4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6.8" x14ac:dyDescent="0.4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6.8" x14ac:dyDescent="0.4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6.8" x14ac:dyDescent="0.4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6.8" x14ac:dyDescent="0.4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6.8" x14ac:dyDescent="0.4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6.8" x14ac:dyDescent="0.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6.8" x14ac:dyDescent="0.4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6.8" x14ac:dyDescent="0.4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6.8" x14ac:dyDescent="0.4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6.8" x14ac:dyDescent="0.4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6.8" x14ac:dyDescent="0.4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6.8" x14ac:dyDescent="0.4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6.8" x14ac:dyDescent="0.4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6.8" x14ac:dyDescent="0.4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6.8" x14ac:dyDescent="0.4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6.8" x14ac:dyDescent="0.4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6.8" x14ac:dyDescent="0.4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6.8" x14ac:dyDescent="0.4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6.8" x14ac:dyDescent="0.4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6.8" x14ac:dyDescent="0.4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6.8" x14ac:dyDescent="0.4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6.8" x14ac:dyDescent="0.4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6.8" x14ac:dyDescent="0.4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6.8" x14ac:dyDescent="0.4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6.8" x14ac:dyDescent="0.4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6.8" x14ac:dyDescent="0.4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6.8" x14ac:dyDescent="0.4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6.8" x14ac:dyDescent="0.4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6.8" x14ac:dyDescent="0.4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6.8" x14ac:dyDescent="0.4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6.8" x14ac:dyDescent="0.4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6.8" x14ac:dyDescent="0.4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6.8" x14ac:dyDescent="0.4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6.8" x14ac:dyDescent="0.4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6.8" x14ac:dyDescent="0.4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6.8" x14ac:dyDescent="0.4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6.8" x14ac:dyDescent="0.4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6.8" x14ac:dyDescent="0.4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6.8" x14ac:dyDescent="0.4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6.8" x14ac:dyDescent="0.4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6.8" x14ac:dyDescent="0.4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6.8" x14ac:dyDescent="0.4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6.8" x14ac:dyDescent="0.4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6.8" x14ac:dyDescent="0.4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6.8" x14ac:dyDescent="0.4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6.8" x14ac:dyDescent="0.4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6.8" x14ac:dyDescent="0.4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6.8" x14ac:dyDescent="0.4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6.8" x14ac:dyDescent="0.4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6.8" x14ac:dyDescent="0.4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6.8" x14ac:dyDescent="0.4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6.8" x14ac:dyDescent="0.4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6.8" x14ac:dyDescent="0.4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6.8" x14ac:dyDescent="0.4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6.8" x14ac:dyDescent="0.4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6.8" x14ac:dyDescent="0.4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6.8" x14ac:dyDescent="0.4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6.8" x14ac:dyDescent="0.4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6.8" x14ac:dyDescent="0.4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6.8" x14ac:dyDescent="0.4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6.8" x14ac:dyDescent="0.4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6.8" x14ac:dyDescent="0.4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6.8" x14ac:dyDescent="0.4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6.8" x14ac:dyDescent="0.4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6.8" x14ac:dyDescent="0.4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6.8" x14ac:dyDescent="0.4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6.8" x14ac:dyDescent="0.4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6.8" x14ac:dyDescent="0.4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6.8" x14ac:dyDescent="0.4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6.8" x14ac:dyDescent="0.4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6.8" x14ac:dyDescent="0.4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6.8" x14ac:dyDescent="0.4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6.8" x14ac:dyDescent="0.4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6.8" x14ac:dyDescent="0.4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6.8" x14ac:dyDescent="0.4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6.8" x14ac:dyDescent="0.4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6.8" x14ac:dyDescent="0.4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6.8" x14ac:dyDescent="0.4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6.8" x14ac:dyDescent="0.4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6.8" x14ac:dyDescent="0.4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6.8" x14ac:dyDescent="0.4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6.8" x14ac:dyDescent="0.4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6.8" x14ac:dyDescent="0.4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6.8" x14ac:dyDescent="0.4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6.8" x14ac:dyDescent="0.4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6.8" x14ac:dyDescent="0.4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6.8" x14ac:dyDescent="0.4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6.8" x14ac:dyDescent="0.4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6.8" x14ac:dyDescent="0.4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6.8" x14ac:dyDescent="0.4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6.8" x14ac:dyDescent="0.4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6.8" x14ac:dyDescent="0.4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6.8" x14ac:dyDescent="0.4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6.8" x14ac:dyDescent="0.4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6.8" x14ac:dyDescent="0.4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6.8" x14ac:dyDescent="0.4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6.8" x14ac:dyDescent="0.4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6.8" x14ac:dyDescent="0.4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6.8" x14ac:dyDescent="0.4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6.8" x14ac:dyDescent="0.4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6.8" x14ac:dyDescent="0.4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6.8" x14ac:dyDescent="0.4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6.8" x14ac:dyDescent="0.4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6.8" x14ac:dyDescent="0.4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6.8" x14ac:dyDescent="0.4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6.8" x14ac:dyDescent="0.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6.8" x14ac:dyDescent="0.4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6.8" x14ac:dyDescent="0.4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6.8" x14ac:dyDescent="0.4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6.8" x14ac:dyDescent="0.4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6.8" x14ac:dyDescent="0.4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6.8" x14ac:dyDescent="0.4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6.8" x14ac:dyDescent="0.4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6.8" x14ac:dyDescent="0.4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6.8" x14ac:dyDescent="0.4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6.8" x14ac:dyDescent="0.4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6.8" x14ac:dyDescent="0.4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6.8" x14ac:dyDescent="0.4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6.8" x14ac:dyDescent="0.4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6.8" x14ac:dyDescent="0.4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6.8" x14ac:dyDescent="0.4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6.8" x14ac:dyDescent="0.4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6.8" x14ac:dyDescent="0.4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6.8" x14ac:dyDescent="0.4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6.8" x14ac:dyDescent="0.4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6.8" x14ac:dyDescent="0.4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6.8" x14ac:dyDescent="0.4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6.8" x14ac:dyDescent="0.4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6.8" x14ac:dyDescent="0.4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6.8" x14ac:dyDescent="0.4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6.8" x14ac:dyDescent="0.4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6.8" x14ac:dyDescent="0.4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6.8" x14ac:dyDescent="0.4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6.8" x14ac:dyDescent="0.4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6.8" x14ac:dyDescent="0.4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6.8" x14ac:dyDescent="0.4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6.8" x14ac:dyDescent="0.4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6.8" x14ac:dyDescent="0.4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6.8" x14ac:dyDescent="0.4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6.8" x14ac:dyDescent="0.4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6.8" x14ac:dyDescent="0.4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6.8" x14ac:dyDescent="0.4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6.8" x14ac:dyDescent="0.4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6.8" x14ac:dyDescent="0.4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6.8" x14ac:dyDescent="0.4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6.8" x14ac:dyDescent="0.4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6.8" x14ac:dyDescent="0.4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6.8" x14ac:dyDescent="0.4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6.8" x14ac:dyDescent="0.4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6.8" x14ac:dyDescent="0.4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6.8" x14ac:dyDescent="0.4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6.8" x14ac:dyDescent="0.4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6.8" x14ac:dyDescent="0.4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6.8" x14ac:dyDescent="0.4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6.8" x14ac:dyDescent="0.4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6.8" x14ac:dyDescent="0.4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6.8" x14ac:dyDescent="0.4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6.8" x14ac:dyDescent="0.4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6.8" x14ac:dyDescent="0.4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6.8" x14ac:dyDescent="0.4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6.8" x14ac:dyDescent="0.4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6.8" x14ac:dyDescent="0.4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6.8" x14ac:dyDescent="0.4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6.8" x14ac:dyDescent="0.4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6.8" x14ac:dyDescent="0.4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6.8" x14ac:dyDescent="0.4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6.8" x14ac:dyDescent="0.4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6.8" x14ac:dyDescent="0.4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6.8" x14ac:dyDescent="0.4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6.8" x14ac:dyDescent="0.4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6.8" x14ac:dyDescent="0.4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6.8" x14ac:dyDescent="0.4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6.8" x14ac:dyDescent="0.4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6.8" x14ac:dyDescent="0.4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6.8" x14ac:dyDescent="0.4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6.8" x14ac:dyDescent="0.4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6.8" x14ac:dyDescent="0.4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6.8" x14ac:dyDescent="0.4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6.8" x14ac:dyDescent="0.4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6.8" x14ac:dyDescent="0.4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6.8" x14ac:dyDescent="0.4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6.8" x14ac:dyDescent="0.4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6.8" x14ac:dyDescent="0.4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6.8" x14ac:dyDescent="0.4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6.8" x14ac:dyDescent="0.4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6.8" x14ac:dyDescent="0.4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6.8" x14ac:dyDescent="0.4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6.8" x14ac:dyDescent="0.4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6.8" x14ac:dyDescent="0.4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6.8" x14ac:dyDescent="0.4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6.8" x14ac:dyDescent="0.4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6.8" x14ac:dyDescent="0.4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6.8" x14ac:dyDescent="0.4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6.8" x14ac:dyDescent="0.4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6.8" x14ac:dyDescent="0.4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6.8" x14ac:dyDescent="0.4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6.8" x14ac:dyDescent="0.4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6.8" x14ac:dyDescent="0.4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6.8" x14ac:dyDescent="0.4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6.8" x14ac:dyDescent="0.4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6.8" x14ac:dyDescent="0.4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6.8" x14ac:dyDescent="0.4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6.8" x14ac:dyDescent="0.4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6.8" x14ac:dyDescent="0.4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6.8" x14ac:dyDescent="0.4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6.8" x14ac:dyDescent="0.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6.8" x14ac:dyDescent="0.4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6.8" x14ac:dyDescent="0.4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6.8" x14ac:dyDescent="0.4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6.8" x14ac:dyDescent="0.4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6.8" x14ac:dyDescent="0.4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6.8" x14ac:dyDescent="0.4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6.8" x14ac:dyDescent="0.4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6.8" x14ac:dyDescent="0.4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6.8" x14ac:dyDescent="0.4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6.8" x14ac:dyDescent="0.4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6.8" x14ac:dyDescent="0.4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6.8" x14ac:dyDescent="0.4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6.8" x14ac:dyDescent="0.4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6.8" x14ac:dyDescent="0.4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6.8" x14ac:dyDescent="0.4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6.8" x14ac:dyDescent="0.4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6.8" x14ac:dyDescent="0.4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6.8" x14ac:dyDescent="0.4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6.8" x14ac:dyDescent="0.4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6.8" x14ac:dyDescent="0.4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6.8" x14ac:dyDescent="0.4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6.8" x14ac:dyDescent="0.4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6.8" x14ac:dyDescent="0.4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6.8" x14ac:dyDescent="0.4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6.8" x14ac:dyDescent="0.4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6.8" x14ac:dyDescent="0.4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6.8" x14ac:dyDescent="0.4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6.8" x14ac:dyDescent="0.4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6.8" x14ac:dyDescent="0.4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6.8" x14ac:dyDescent="0.4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6.8" x14ac:dyDescent="0.4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6.8" x14ac:dyDescent="0.4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6.8" x14ac:dyDescent="0.4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6.8" x14ac:dyDescent="0.4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6.8" x14ac:dyDescent="0.4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6.8" x14ac:dyDescent="0.4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6.8" x14ac:dyDescent="0.4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6.8" x14ac:dyDescent="0.4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6.8" x14ac:dyDescent="0.4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6.8" x14ac:dyDescent="0.4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6.8" x14ac:dyDescent="0.4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6.8" x14ac:dyDescent="0.4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6.8" x14ac:dyDescent="0.4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6.8" x14ac:dyDescent="0.4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6.8" x14ac:dyDescent="0.4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6.8" x14ac:dyDescent="0.4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6.8" x14ac:dyDescent="0.4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6.8" x14ac:dyDescent="0.4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6.8" x14ac:dyDescent="0.4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6.8" x14ac:dyDescent="0.4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6.8" x14ac:dyDescent="0.4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6.8" x14ac:dyDescent="0.4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6.8" x14ac:dyDescent="0.4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6.8" x14ac:dyDescent="0.4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6.8" x14ac:dyDescent="0.4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6.8" x14ac:dyDescent="0.4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6.8" x14ac:dyDescent="0.4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6.8" x14ac:dyDescent="0.4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6.8" x14ac:dyDescent="0.4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6.8" x14ac:dyDescent="0.4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6.8" x14ac:dyDescent="0.4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6.8" x14ac:dyDescent="0.4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6.8" x14ac:dyDescent="0.4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6.8" x14ac:dyDescent="0.4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6.8" x14ac:dyDescent="0.4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6.8" x14ac:dyDescent="0.4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6.8" x14ac:dyDescent="0.4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6.8" x14ac:dyDescent="0.4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6.8" x14ac:dyDescent="0.4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6.8" x14ac:dyDescent="0.4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6.8" x14ac:dyDescent="0.4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6.8" x14ac:dyDescent="0.4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6.8" x14ac:dyDescent="0.4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6.8" x14ac:dyDescent="0.4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6.8" x14ac:dyDescent="0.4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6.8" x14ac:dyDescent="0.4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6.8" x14ac:dyDescent="0.4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6.8" x14ac:dyDescent="0.4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6.8" x14ac:dyDescent="0.4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6.8" x14ac:dyDescent="0.4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6.8" x14ac:dyDescent="0.4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6.8" x14ac:dyDescent="0.4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6.8" x14ac:dyDescent="0.4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6.8" x14ac:dyDescent="0.4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6.8" x14ac:dyDescent="0.4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6.8" x14ac:dyDescent="0.4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6.8" x14ac:dyDescent="0.4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6.8" x14ac:dyDescent="0.4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6.8" x14ac:dyDescent="0.4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6.8" x14ac:dyDescent="0.4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6.8" x14ac:dyDescent="0.4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6.8" x14ac:dyDescent="0.4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6.8" x14ac:dyDescent="0.4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6.8" x14ac:dyDescent="0.4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6.8" x14ac:dyDescent="0.4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6.8" x14ac:dyDescent="0.4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6.8" x14ac:dyDescent="0.4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6.8" x14ac:dyDescent="0.4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6.8" x14ac:dyDescent="0.4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6.8" x14ac:dyDescent="0.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6.8" x14ac:dyDescent="0.4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6.8" x14ac:dyDescent="0.4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6.8" x14ac:dyDescent="0.4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6.8" x14ac:dyDescent="0.4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6.8" x14ac:dyDescent="0.4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6.8" x14ac:dyDescent="0.4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6.8" x14ac:dyDescent="0.4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6.8" x14ac:dyDescent="0.4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6.8" x14ac:dyDescent="0.4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6.8" x14ac:dyDescent="0.4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6.8" x14ac:dyDescent="0.4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6.8" x14ac:dyDescent="0.4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6.8" x14ac:dyDescent="0.4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6.8" x14ac:dyDescent="0.4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6.8" x14ac:dyDescent="0.4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6.8" x14ac:dyDescent="0.4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6.8" x14ac:dyDescent="0.4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6.8" x14ac:dyDescent="0.4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6.8" x14ac:dyDescent="0.4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6.8" x14ac:dyDescent="0.4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6.8" x14ac:dyDescent="0.4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6.8" x14ac:dyDescent="0.4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6.8" x14ac:dyDescent="0.4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6.8" x14ac:dyDescent="0.4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6.8" x14ac:dyDescent="0.4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6.8" x14ac:dyDescent="0.4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6.8" x14ac:dyDescent="0.4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6.8" x14ac:dyDescent="0.4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6.8" x14ac:dyDescent="0.4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6.8" x14ac:dyDescent="0.4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6.8" x14ac:dyDescent="0.4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6.8" x14ac:dyDescent="0.4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6.8" x14ac:dyDescent="0.4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6.8" x14ac:dyDescent="0.4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6.8" x14ac:dyDescent="0.4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6.8" x14ac:dyDescent="0.4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6.8" x14ac:dyDescent="0.4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6.8" x14ac:dyDescent="0.4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6.8" x14ac:dyDescent="0.4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6.8" x14ac:dyDescent="0.4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6.8" x14ac:dyDescent="0.4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6.8" x14ac:dyDescent="0.4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6.8" x14ac:dyDescent="0.4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6.8" x14ac:dyDescent="0.4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6.8" x14ac:dyDescent="0.4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6.8" x14ac:dyDescent="0.4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6.8" x14ac:dyDescent="0.4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6.8" x14ac:dyDescent="0.4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6.8" x14ac:dyDescent="0.4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6.8" x14ac:dyDescent="0.4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6.8" x14ac:dyDescent="0.4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6.8" x14ac:dyDescent="0.4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6.8" x14ac:dyDescent="0.4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6.8" x14ac:dyDescent="0.4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6.8" x14ac:dyDescent="0.4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6.8" x14ac:dyDescent="0.4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6.8" x14ac:dyDescent="0.4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6.8" x14ac:dyDescent="0.4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6.8" x14ac:dyDescent="0.4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6.8" x14ac:dyDescent="0.4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6.8" x14ac:dyDescent="0.4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6.8" x14ac:dyDescent="0.4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6.8" x14ac:dyDescent="0.4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6.8" x14ac:dyDescent="0.4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6.8" x14ac:dyDescent="0.4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6.8" x14ac:dyDescent="0.4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6.8" x14ac:dyDescent="0.4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6.8" x14ac:dyDescent="0.4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6.8" x14ac:dyDescent="0.4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6.8" x14ac:dyDescent="0.4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6.8" x14ac:dyDescent="0.4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6.8" x14ac:dyDescent="0.4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6.8" x14ac:dyDescent="0.4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6.8" x14ac:dyDescent="0.4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6.8" x14ac:dyDescent="0.4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6.8" x14ac:dyDescent="0.4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6.8" x14ac:dyDescent="0.4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6.8" x14ac:dyDescent="0.4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6.8" x14ac:dyDescent="0.4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6.8" x14ac:dyDescent="0.4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6.8" x14ac:dyDescent="0.4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6.8" x14ac:dyDescent="0.4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6.8" x14ac:dyDescent="0.4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6.8" x14ac:dyDescent="0.4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6.8" x14ac:dyDescent="0.4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6.8" x14ac:dyDescent="0.4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6.8" x14ac:dyDescent="0.4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6.8" x14ac:dyDescent="0.4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6.8" x14ac:dyDescent="0.4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6.8" x14ac:dyDescent="0.4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6.8" x14ac:dyDescent="0.4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6.8" x14ac:dyDescent="0.4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6.8" x14ac:dyDescent="0.4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6.8" x14ac:dyDescent="0.4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6.8" x14ac:dyDescent="0.4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6.8" x14ac:dyDescent="0.4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6.8" x14ac:dyDescent="0.4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6.8" x14ac:dyDescent="0.4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6.8" x14ac:dyDescent="0.4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6.8" x14ac:dyDescent="0.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6.8" x14ac:dyDescent="0.4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6.8" x14ac:dyDescent="0.4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6.8" x14ac:dyDescent="0.4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6.8" x14ac:dyDescent="0.4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6.8" x14ac:dyDescent="0.4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6.8" x14ac:dyDescent="0.4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6.8" x14ac:dyDescent="0.4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6.8" x14ac:dyDescent="0.4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6.8" x14ac:dyDescent="0.4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6.8" x14ac:dyDescent="0.4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6.8" x14ac:dyDescent="0.4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6.8" x14ac:dyDescent="0.4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6.8" x14ac:dyDescent="0.4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6.8" x14ac:dyDescent="0.4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6.8" x14ac:dyDescent="0.4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6.8" x14ac:dyDescent="0.4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6.8" x14ac:dyDescent="0.4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6.8" x14ac:dyDescent="0.4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6.8" x14ac:dyDescent="0.4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6.8" x14ac:dyDescent="0.4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6.8" x14ac:dyDescent="0.4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6.8" x14ac:dyDescent="0.4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6.8" x14ac:dyDescent="0.4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6.8" x14ac:dyDescent="0.4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6.8" x14ac:dyDescent="0.4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6.8" x14ac:dyDescent="0.4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6.8" x14ac:dyDescent="0.4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6.8" x14ac:dyDescent="0.4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6.8" x14ac:dyDescent="0.4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6.8" x14ac:dyDescent="0.4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6.8" x14ac:dyDescent="0.4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6.8" x14ac:dyDescent="0.4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6.8" x14ac:dyDescent="0.4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6.8" x14ac:dyDescent="0.4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6.8" x14ac:dyDescent="0.4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6.8" x14ac:dyDescent="0.4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6.8" x14ac:dyDescent="0.4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6.8" x14ac:dyDescent="0.4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6.8" x14ac:dyDescent="0.4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6.8" x14ac:dyDescent="0.4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6.8" x14ac:dyDescent="0.4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6.8" x14ac:dyDescent="0.4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6.8" x14ac:dyDescent="0.4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6.8" x14ac:dyDescent="0.4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6.8" x14ac:dyDescent="0.4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6.8" x14ac:dyDescent="0.4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6.8" x14ac:dyDescent="0.4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6.8" x14ac:dyDescent="0.4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6.8" x14ac:dyDescent="0.4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6.8" x14ac:dyDescent="0.4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6.8" x14ac:dyDescent="0.4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6.8" x14ac:dyDescent="0.4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6.8" x14ac:dyDescent="0.4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6.8" x14ac:dyDescent="0.4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6.8" x14ac:dyDescent="0.4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6.8" x14ac:dyDescent="0.4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6.8" x14ac:dyDescent="0.4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6.8" x14ac:dyDescent="0.4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6.8" x14ac:dyDescent="0.4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6.8" x14ac:dyDescent="0.4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6.8" x14ac:dyDescent="0.4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6.8" x14ac:dyDescent="0.4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6.8" x14ac:dyDescent="0.4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6.8" x14ac:dyDescent="0.4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6.8" x14ac:dyDescent="0.4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6.8" x14ac:dyDescent="0.4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6.8" x14ac:dyDescent="0.4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6.8" x14ac:dyDescent="0.4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6.8" x14ac:dyDescent="0.4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6.8" x14ac:dyDescent="0.4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6.8" x14ac:dyDescent="0.4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6.8" x14ac:dyDescent="0.4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6.8" x14ac:dyDescent="0.4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6.8" x14ac:dyDescent="0.4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6.8" x14ac:dyDescent="0.4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6.8" x14ac:dyDescent="0.4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6.8" x14ac:dyDescent="0.4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6.8" x14ac:dyDescent="0.4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6.8" x14ac:dyDescent="0.4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6.8" x14ac:dyDescent="0.4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6.8" x14ac:dyDescent="0.4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6.8" x14ac:dyDescent="0.4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6.8" x14ac:dyDescent="0.4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6.8" x14ac:dyDescent="0.4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6.8" x14ac:dyDescent="0.4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6.8" x14ac:dyDescent="0.4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6.8" x14ac:dyDescent="0.4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6.8" x14ac:dyDescent="0.4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6.8" x14ac:dyDescent="0.4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6.8" x14ac:dyDescent="0.4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6.8" x14ac:dyDescent="0.4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6.8" x14ac:dyDescent="0.4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6.8" x14ac:dyDescent="0.4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6.8" x14ac:dyDescent="0.4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6.8" x14ac:dyDescent="0.4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6.8" x14ac:dyDescent="0.4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6.8" x14ac:dyDescent="0.4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6.8" x14ac:dyDescent="0.4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6.8" x14ac:dyDescent="0.4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6.8" x14ac:dyDescent="0.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6.8" x14ac:dyDescent="0.4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6.8" x14ac:dyDescent="0.4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6.8" x14ac:dyDescent="0.4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6.8" x14ac:dyDescent="0.4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6.8" x14ac:dyDescent="0.4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6.8" x14ac:dyDescent="0.4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6.8" x14ac:dyDescent="0.4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6.8" x14ac:dyDescent="0.4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6.8" x14ac:dyDescent="0.4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6.8" x14ac:dyDescent="0.4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6.8" x14ac:dyDescent="0.4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6.8" x14ac:dyDescent="0.4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6.8" x14ac:dyDescent="0.4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6.8" x14ac:dyDescent="0.4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6.8" x14ac:dyDescent="0.4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6.8" x14ac:dyDescent="0.4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6.8" x14ac:dyDescent="0.4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6.8" x14ac:dyDescent="0.4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6.8" x14ac:dyDescent="0.4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6.8" x14ac:dyDescent="0.4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6.8" x14ac:dyDescent="0.4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6.8" x14ac:dyDescent="0.4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6.8" x14ac:dyDescent="0.4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6.8" x14ac:dyDescent="0.4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6.8" x14ac:dyDescent="0.4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6.8" x14ac:dyDescent="0.4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6.8" x14ac:dyDescent="0.4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6.8" x14ac:dyDescent="0.4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6.8" x14ac:dyDescent="0.4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6.8" x14ac:dyDescent="0.4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6.8" x14ac:dyDescent="0.4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6.8" x14ac:dyDescent="0.4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6.8" x14ac:dyDescent="0.4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6.8" x14ac:dyDescent="0.4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6.8" x14ac:dyDescent="0.4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6.8" x14ac:dyDescent="0.4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6.8" x14ac:dyDescent="0.4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6.8" x14ac:dyDescent="0.4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6.8" x14ac:dyDescent="0.4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6.8" x14ac:dyDescent="0.4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6.8" x14ac:dyDescent="0.4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6.8" x14ac:dyDescent="0.4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6.8" x14ac:dyDescent="0.4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6.8" x14ac:dyDescent="0.4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6.8" x14ac:dyDescent="0.4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6.8" x14ac:dyDescent="0.4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6.8" x14ac:dyDescent="0.4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6.8" x14ac:dyDescent="0.4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6.8" x14ac:dyDescent="0.4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6.8" x14ac:dyDescent="0.4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6.8" x14ac:dyDescent="0.4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6.8" x14ac:dyDescent="0.4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6.8" x14ac:dyDescent="0.4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6.8" x14ac:dyDescent="0.4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6.8" x14ac:dyDescent="0.4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6.8" x14ac:dyDescent="0.4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6.8" x14ac:dyDescent="0.4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6.8" x14ac:dyDescent="0.4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6.8" x14ac:dyDescent="0.4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6.8" x14ac:dyDescent="0.4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6.8" x14ac:dyDescent="0.4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6.8" x14ac:dyDescent="0.4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6.8" x14ac:dyDescent="0.4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6.8" x14ac:dyDescent="0.4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6.8" x14ac:dyDescent="0.4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6.8" x14ac:dyDescent="0.4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6.8" x14ac:dyDescent="0.4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6.8" x14ac:dyDescent="0.4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6.8" x14ac:dyDescent="0.4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6.8" x14ac:dyDescent="0.4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6.8" x14ac:dyDescent="0.4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6.8" x14ac:dyDescent="0.4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6.8" x14ac:dyDescent="0.4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6.8" x14ac:dyDescent="0.4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6.8" x14ac:dyDescent="0.4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6.8" x14ac:dyDescent="0.4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6.8" x14ac:dyDescent="0.4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6.8" x14ac:dyDescent="0.4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6.8" x14ac:dyDescent="0.4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6.8" x14ac:dyDescent="0.4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6.8" x14ac:dyDescent="0.4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6.8" x14ac:dyDescent="0.4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6.8" x14ac:dyDescent="0.4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6.8" x14ac:dyDescent="0.4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6.8" x14ac:dyDescent="0.4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6.8" x14ac:dyDescent="0.4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6.8" x14ac:dyDescent="0.4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6.8" x14ac:dyDescent="0.4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6.8" x14ac:dyDescent="0.4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6.8" x14ac:dyDescent="0.4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6.8" x14ac:dyDescent="0.4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6.8" x14ac:dyDescent="0.4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6.8" x14ac:dyDescent="0.4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6.8" x14ac:dyDescent="0.4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6.8" x14ac:dyDescent="0.4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6.8" x14ac:dyDescent="0.4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6.8" x14ac:dyDescent="0.4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6.8" x14ac:dyDescent="0.4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6.8" x14ac:dyDescent="0.4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6.8" x14ac:dyDescent="0.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6.8" x14ac:dyDescent="0.4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6.8" x14ac:dyDescent="0.4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6.8" x14ac:dyDescent="0.4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6.8" x14ac:dyDescent="0.4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6.8" x14ac:dyDescent="0.4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6.8" x14ac:dyDescent="0.4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6.8" x14ac:dyDescent="0.4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6.8" x14ac:dyDescent="0.4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6.8" x14ac:dyDescent="0.4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6.8" x14ac:dyDescent="0.4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6.8" x14ac:dyDescent="0.4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6.8" x14ac:dyDescent="0.4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6.8" x14ac:dyDescent="0.4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6.8" x14ac:dyDescent="0.4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6.8" x14ac:dyDescent="0.4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6.8" x14ac:dyDescent="0.4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6.8" x14ac:dyDescent="0.4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6.8" x14ac:dyDescent="0.4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6.8" x14ac:dyDescent="0.4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6.8" x14ac:dyDescent="0.4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6.8" x14ac:dyDescent="0.4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6.8" x14ac:dyDescent="0.4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6.8" x14ac:dyDescent="0.4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6.8" x14ac:dyDescent="0.4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6.8" x14ac:dyDescent="0.4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6.8" x14ac:dyDescent="0.4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6.8" x14ac:dyDescent="0.4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6.8" x14ac:dyDescent="0.4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6.8" x14ac:dyDescent="0.4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6.8" x14ac:dyDescent="0.4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6.8" x14ac:dyDescent="0.4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6.8" x14ac:dyDescent="0.4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6.8" x14ac:dyDescent="0.4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6.8" x14ac:dyDescent="0.4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6.8" x14ac:dyDescent="0.4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6.8" x14ac:dyDescent="0.4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6.8" x14ac:dyDescent="0.4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6.8" x14ac:dyDescent="0.4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6.8" x14ac:dyDescent="0.4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6.8" x14ac:dyDescent="0.4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6.8" x14ac:dyDescent="0.4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6.8" x14ac:dyDescent="0.4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6.8" x14ac:dyDescent="0.4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6.8" x14ac:dyDescent="0.4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6.8" x14ac:dyDescent="0.4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6.8" x14ac:dyDescent="0.4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6.8" x14ac:dyDescent="0.4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6.8" x14ac:dyDescent="0.4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6.8" x14ac:dyDescent="0.4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6.8" x14ac:dyDescent="0.4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6.8" x14ac:dyDescent="0.4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6.8" x14ac:dyDescent="0.4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6.8" x14ac:dyDescent="0.4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6.8" x14ac:dyDescent="0.4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6.8" x14ac:dyDescent="0.4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6.8" x14ac:dyDescent="0.4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6.8" x14ac:dyDescent="0.4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6.8" x14ac:dyDescent="0.4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6.8" x14ac:dyDescent="0.4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6.8" x14ac:dyDescent="0.4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6.8" x14ac:dyDescent="0.4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6.8" x14ac:dyDescent="0.4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6.8" x14ac:dyDescent="0.4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6.8" x14ac:dyDescent="0.4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6.8" x14ac:dyDescent="0.4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6.8" x14ac:dyDescent="0.4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6.8" x14ac:dyDescent="0.4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6.8" x14ac:dyDescent="0.4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6.8" x14ac:dyDescent="0.4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6.8" x14ac:dyDescent="0.4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6.8" x14ac:dyDescent="0.4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6.8" x14ac:dyDescent="0.4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6.8" x14ac:dyDescent="0.4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6.8" x14ac:dyDescent="0.4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6.8" x14ac:dyDescent="0.4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6.8" x14ac:dyDescent="0.4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6.8" x14ac:dyDescent="0.4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6.8" x14ac:dyDescent="0.4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6.8" x14ac:dyDescent="0.4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6.8" x14ac:dyDescent="0.4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6.8" x14ac:dyDescent="0.4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6.8" x14ac:dyDescent="0.4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6.8" x14ac:dyDescent="0.4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6.8" x14ac:dyDescent="0.4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6.8" x14ac:dyDescent="0.4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6.8" x14ac:dyDescent="0.4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6.8" x14ac:dyDescent="0.4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6.8" x14ac:dyDescent="0.4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6.8" x14ac:dyDescent="0.4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6.8" x14ac:dyDescent="0.4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6.8" x14ac:dyDescent="0.4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6.8" x14ac:dyDescent="0.4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6.8" x14ac:dyDescent="0.4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6.8" x14ac:dyDescent="0.4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6.8" x14ac:dyDescent="0.4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6.8" x14ac:dyDescent="0.4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6.8" x14ac:dyDescent="0.4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6.8" x14ac:dyDescent="0.4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6.8" x14ac:dyDescent="0.4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6.8" x14ac:dyDescent="0.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6.8" x14ac:dyDescent="0.4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6.8" x14ac:dyDescent="0.4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6.8" x14ac:dyDescent="0.4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6.8" x14ac:dyDescent="0.4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6.8" x14ac:dyDescent="0.4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6.8" x14ac:dyDescent="0.4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6.8" x14ac:dyDescent="0.4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6.8" x14ac:dyDescent="0.4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6.8" x14ac:dyDescent="0.4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6.8" x14ac:dyDescent="0.4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6.8" x14ac:dyDescent="0.4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6.8" x14ac:dyDescent="0.4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6.8" x14ac:dyDescent="0.4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6.8" x14ac:dyDescent="0.4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6.8" x14ac:dyDescent="0.4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6.8" x14ac:dyDescent="0.4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6.8" x14ac:dyDescent="0.4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6.8" x14ac:dyDescent="0.4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6.8" x14ac:dyDescent="0.4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6.8" x14ac:dyDescent="0.4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6.8" x14ac:dyDescent="0.4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6.8" x14ac:dyDescent="0.4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6.8" x14ac:dyDescent="0.4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6.8" x14ac:dyDescent="0.4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6.8" x14ac:dyDescent="0.4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6.8" x14ac:dyDescent="0.4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6.8" x14ac:dyDescent="0.4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6.8" x14ac:dyDescent="0.4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6.8" x14ac:dyDescent="0.4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6.8" x14ac:dyDescent="0.4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6.8" x14ac:dyDescent="0.4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6.8" x14ac:dyDescent="0.4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6.8" x14ac:dyDescent="0.4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6.8" x14ac:dyDescent="0.4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6.8" x14ac:dyDescent="0.4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6.8" x14ac:dyDescent="0.4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6.8" x14ac:dyDescent="0.4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6.8" x14ac:dyDescent="0.4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6.8" x14ac:dyDescent="0.4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6.8" x14ac:dyDescent="0.4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6.8" x14ac:dyDescent="0.4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6.8" x14ac:dyDescent="0.4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6.8" x14ac:dyDescent="0.4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6.8" x14ac:dyDescent="0.4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6.8" x14ac:dyDescent="0.4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6.8" x14ac:dyDescent="0.4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6.8" x14ac:dyDescent="0.4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6.8" x14ac:dyDescent="0.4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6.8" x14ac:dyDescent="0.4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6.8" x14ac:dyDescent="0.4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6.8" x14ac:dyDescent="0.4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6.8" x14ac:dyDescent="0.4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6.8" x14ac:dyDescent="0.4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6.8" x14ac:dyDescent="0.4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6.8" x14ac:dyDescent="0.4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6.8" x14ac:dyDescent="0.4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6.8" x14ac:dyDescent="0.4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6.8" x14ac:dyDescent="0.4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6.8" x14ac:dyDescent="0.4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6.8" x14ac:dyDescent="0.4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6.8" x14ac:dyDescent="0.4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6.8" x14ac:dyDescent="0.4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6.8" x14ac:dyDescent="0.4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6.8" x14ac:dyDescent="0.4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6.8" x14ac:dyDescent="0.4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6.8" x14ac:dyDescent="0.4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6.8" x14ac:dyDescent="0.4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6.8" x14ac:dyDescent="0.4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6.8" x14ac:dyDescent="0.4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6.8" x14ac:dyDescent="0.4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6.8" x14ac:dyDescent="0.4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6.8" x14ac:dyDescent="0.4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6.8" x14ac:dyDescent="0.4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6.8" x14ac:dyDescent="0.4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6.8" x14ac:dyDescent="0.4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6.8" x14ac:dyDescent="0.4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6.8" x14ac:dyDescent="0.4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6.8" x14ac:dyDescent="0.4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6.8" x14ac:dyDescent="0.4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6.8" x14ac:dyDescent="0.4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6.8" x14ac:dyDescent="0.4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6.8" x14ac:dyDescent="0.4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6.8" x14ac:dyDescent="0.4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6.8" x14ac:dyDescent="0.4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6.8" x14ac:dyDescent="0.4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6.8" x14ac:dyDescent="0.4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6.8" x14ac:dyDescent="0.4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6.8" x14ac:dyDescent="0.4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6.8" x14ac:dyDescent="0.4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6.8" x14ac:dyDescent="0.4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6.8" x14ac:dyDescent="0.4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6.8" x14ac:dyDescent="0.4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6.8" x14ac:dyDescent="0.4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6.8" x14ac:dyDescent="0.4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6.8" x14ac:dyDescent="0.4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6.8" x14ac:dyDescent="0.4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6.8" x14ac:dyDescent="0.4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6.8" x14ac:dyDescent="0.4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6.8" x14ac:dyDescent="0.4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6.8" x14ac:dyDescent="0.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6.8" x14ac:dyDescent="0.4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6.8" x14ac:dyDescent="0.4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6.8" x14ac:dyDescent="0.4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6.8" x14ac:dyDescent="0.4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6.8" x14ac:dyDescent="0.4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6.8" x14ac:dyDescent="0.4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6.8" x14ac:dyDescent="0.4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6.8" x14ac:dyDescent="0.4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6.8" x14ac:dyDescent="0.4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6.8" x14ac:dyDescent="0.4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6.8" x14ac:dyDescent="0.4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6.8" x14ac:dyDescent="0.4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6.8" x14ac:dyDescent="0.4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6.8" x14ac:dyDescent="0.4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6.8" x14ac:dyDescent="0.4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6.8" x14ac:dyDescent="0.4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6.8" x14ac:dyDescent="0.4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6.8" x14ac:dyDescent="0.4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6.8" x14ac:dyDescent="0.4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6.8" x14ac:dyDescent="0.4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6.8" x14ac:dyDescent="0.4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6.8" x14ac:dyDescent="0.4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6.8" x14ac:dyDescent="0.4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6.8" x14ac:dyDescent="0.4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6.8" x14ac:dyDescent="0.4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6.8" x14ac:dyDescent="0.4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6.8" x14ac:dyDescent="0.4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6.8" x14ac:dyDescent="0.4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6.8" x14ac:dyDescent="0.4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6.8" x14ac:dyDescent="0.4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6.8" x14ac:dyDescent="0.4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6.8" x14ac:dyDescent="0.4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6.8" x14ac:dyDescent="0.4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6.8" x14ac:dyDescent="0.4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6.8" x14ac:dyDescent="0.4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6.8" x14ac:dyDescent="0.4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6.8" x14ac:dyDescent="0.4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6.8" x14ac:dyDescent="0.4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6.8" x14ac:dyDescent="0.4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6.8" x14ac:dyDescent="0.4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6.8" x14ac:dyDescent="0.4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6.8" x14ac:dyDescent="0.4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6.8" x14ac:dyDescent="0.4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6.8" x14ac:dyDescent="0.4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6.8" x14ac:dyDescent="0.4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6.8" x14ac:dyDescent="0.4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6.8" x14ac:dyDescent="0.4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6.8" x14ac:dyDescent="0.4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6.8" x14ac:dyDescent="0.4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6.8" x14ac:dyDescent="0.4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6.8" x14ac:dyDescent="0.4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6.8" x14ac:dyDescent="0.4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6.8" x14ac:dyDescent="0.4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6.8" x14ac:dyDescent="0.4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6.8" x14ac:dyDescent="0.4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6.8" x14ac:dyDescent="0.4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1"/>
  <sheetViews>
    <sheetView workbookViewId="0"/>
  </sheetViews>
  <sheetFormatPr defaultColWidth="12.6640625" defaultRowHeight="15.75" customHeight="1" x14ac:dyDescent="0.25"/>
  <cols>
    <col min="1" max="7" width="12.6640625" customWidth="1"/>
  </cols>
  <sheetData>
    <row r="1" spans="1:26" ht="15.75" customHeight="1" x14ac:dyDescent="0.45">
      <c r="A1" s="8" t="s">
        <v>193</v>
      </c>
      <c r="B1" s="8"/>
      <c r="C1" s="8"/>
      <c r="D1" s="8"/>
      <c r="E1" s="8"/>
      <c r="F1" s="8"/>
      <c r="G1" s="8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 x14ac:dyDescent="0.45">
      <c r="A2" s="8" t="s">
        <v>22</v>
      </c>
      <c r="B2" s="8" t="s">
        <v>23</v>
      </c>
      <c r="C2" s="8" t="s">
        <v>24</v>
      </c>
      <c r="D2" s="8" t="s">
        <v>25</v>
      </c>
      <c r="E2" s="8" t="s">
        <v>26</v>
      </c>
      <c r="F2" s="8" t="s">
        <v>27</v>
      </c>
      <c r="G2" s="8" t="s">
        <v>28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 x14ac:dyDescent="0.45">
      <c r="A3" s="9">
        <v>1</v>
      </c>
      <c r="B3" s="9" t="s">
        <v>29</v>
      </c>
      <c r="C3" s="9">
        <v>1994</v>
      </c>
      <c r="D3" s="9" t="s">
        <v>30</v>
      </c>
      <c r="E3" s="9">
        <v>142</v>
      </c>
      <c r="F3" s="9" t="s">
        <v>31</v>
      </c>
      <c r="G3" s="9">
        <v>9.3000000000000007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 x14ac:dyDescent="0.45">
      <c r="A4" s="9">
        <v>2</v>
      </c>
      <c r="B4" s="9" t="s">
        <v>32</v>
      </c>
      <c r="C4" s="9">
        <v>1972</v>
      </c>
      <c r="D4" s="9" t="s">
        <v>30</v>
      </c>
      <c r="E4" s="9">
        <v>175</v>
      </c>
      <c r="F4" s="9" t="s">
        <v>33</v>
      </c>
      <c r="G4" s="9">
        <v>9.1999999999999993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 x14ac:dyDescent="0.45">
      <c r="A5" s="9">
        <v>3</v>
      </c>
      <c r="B5" s="9" t="s">
        <v>34</v>
      </c>
      <c r="C5" s="9">
        <v>2008</v>
      </c>
      <c r="D5" s="9" t="s">
        <v>35</v>
      </c>
      <c r="E5" s="9">
        <v>152</v>
      </c>
      <c r="F5" s="9" t="s">
        <v>36</v>
      </c>
      <c r="G5" s="9">
        <v>9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 x14ac:dyDescent="0.45">
      <c r="A6" s="9">
        <v>4</v>
      </c>
      <c r="B6" s="9" t="s">
        <v>37</v>
      </c>
      <c r="C6" s="9">
        <v>1974</v>
      </c>
      <c r="D6" s="9" t="s">
        <v>30</v>
      </c>
      <c r="E6" s="9">
        <v>202</v>
      </c>
      <c r="F6" s="9" t="s">
        <v>33</v>
      </c>
      <c r="G6" s="9">
        <v>9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 x14ac:dyDescent="0.45">
      <c r="A7" s="9">
        <v>5</v>
      </c>
      <c r="B7" s="9" t="s">
        <v>38</v>
      </c>
      <c r="C7" s="9">
        <v>2003</v>
      </c>
      <c r="D7" s="9" t="s">
        <v>35</v>
      </c>
      <c r="E7" s="9">
        <v>201</v>
      </c>
      <c r="F7" s="9" t="s">
        <v>39</v>
      </c>
      <c r="G7" s="9">
        <v>8.9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 x14ac:dyDescent="0.4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 x14ac:dyDescent="0.45">
      <c r="A9" s="10" t="s">
        <v>204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 x14ac:dyDescent="0.45">
      <c r="A10" s="6" t="str">
        <f ca="1">IFERROR(__xludf.DUMMYFUNCTION("QUERY(IMDB,""select A,B,C limit 5"")"),"NO")</f>
        <v>NO</v>
      </c>
      <c r="B10" s="6" t="str">
        <f ca="1">IFERROR(__xludf.DUMMYFUNCTION("""COMPUTED_VALUE"""),"MOVIE_NAME")</f>
        <v>MOVIE_NAME</v>
      </c>
      <c r="C10" s="6" t="str">
        <f ca="1">IFERROR(__xludf.DUMMYFUNCTION("""COMPUTED_VALUE"""),"YEAR")</f>
        <v>YEAR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 x14ac:dyDescent="0.45">
      <c r="A11" s="6">
        <f ca="1">IFERROR(__xludf.DUMMYFUNCTION("""COMPUTED_VALUE"""),1)</f>
        <v>1</v>
      </c>
      <c r="B11" s="6" t="str">
        <f ca="1">IFERROR(__xludf.DUMMYFUNCTION("""COMPUTED_VALUE"""),"The Shawshank Redemption")</f>
        <v>The Shawshank Redemption</v>
      </c>
      <c r="C11" s="6">
        <f ca="1">IFERROR(__xludf.DUMMYFUNCTION("""COMPUTED_VALUE"""),1994)</f>
        <v>1994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 x14ac:dyDescent="0.45">
      <c r="A12" s="6">
        <f ca="1">IFERROR(__xludf.DUMMYFUNCTION("""COMPUTED_VALUE"""),2)</f>
        <v>2</v>
      </c>
      <c r="B12" s="6" t="str">
        <f ca="1">IFERROR(__xludf.DUMMYFUNCTION("""COMPUTED_VALUE"""),"The Godfather")</f>
        <v>The Godfather</v>
      </c>
      <c r="C12" s="6">
        <f ca="1">IFERROR(__xludf.DUMMYFUNCTION("""COMPUTED_VALUE"""),1972)</f>
        <v>1972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 x14ac:dyDescent="0.45">
      <c r="A13" s="6">
        <f ca="1">IFERROR(__xludf.DUMMYFUNCTION("""COMPUTED_VALUE"""),3)</f>
        <v>3</v>
      </c>
      <c r="B13" s="6" t="str">
        <f ca="1">IFERROR(__xludf.DUMMYFUNCTION("""COMPUTED_VALUE"""),"The Dark Knight")</f>
        <v>The Dark Knight</v>
      </c>
      <c r="C13" s="6">
        <f ca="1">IFERROR(__xludf.DUMMYFUNCTION("""COMPUTED_VALUE"""),2008)</f>
        <v>2008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 x14ac:dyDescent="0.45">
      <c r="A14" s="6">
        <f ca="1">IFERROR(__xludf.DUMMYFUNCTION("""COMPUTED_VALUE"""),4)</f>
        <v>4</v>
      </c>
      <c r="B14" s="6" t="str">
        <f ca="1">IFERROR(__xludf.DUMMYFUNCTION("""COMPUTED_VALUE"""),"The Godfather: Part II")</f>
        <v>The Godfather: Part II</v>
      </c>
      <c r="C14" s="6">
        <f ca="1">IFERROR(__xludf.DUMMYFUNCTION("""COMPUTED_VALUE"""),1974)</f>
        <v>1974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 x14ac:dyDescent="0.45">
      <c r="A15" s="6">
        <f ca="1">IFERROR(__xludf.DUMMYFUNCTION("""COMPUTED_VALUE"""),5)</f>
        <v>5</v>
      </c>
      <c r="B15" s="6" t="str">
        <f ca="1">IFERROR(__xludf.DUMMYFUNCTION("""COMPUTED_VALUE"""),"The Lord of the Rings: The Return of the King")</f>
        <v>The Lord of the Rings: The Return of the King</v>
      </c>
      <c r="C15" s="6">
        <f ca="1">IFERROR(__xludf.DUMMYFUNCTION("""COMPUTED_VALUE"""),2003)</f>
        <v>2003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 x14ac:dyDescent="0.4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 x14ac:dyDescent="0.4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 x14ac:dyDescent="0.45">
      <c r="A18" s="18" t="str">
        <f ca="1">IFERROR(__xludf.DUMMYFUNCTION("QUERY(IMDB,""select A,B,C limit 5 label A 'movie_id',
B 'Movie_title',C 'Release year'"")"),"movie_id")</f>
        <v>movie_id</v>
      </c>
      <c r="B18" s="6" t="str">
        <f ca="1">IFERROR(__xludf.DUMMYFUNCTION("""COMPUTED_VALUE"""),"Movie_title")</f>
        <v>Movie_title</v>
      </c>
      <c r="C18" s="6" t="str">
        <f ca="1">IFERROR(__xludf.DUMMYFUNCTION("""COMPUTED_VALUE"""),"Release year")</f>
        <v>Release year</v>
      </c>
      <c r="D18" s="6"/>
      <c r="E18" s="6" t="str">
        <f ca="1">IFERROR(__xludf.DUMMYFUNCTION("QUERY(IMDB,""select D,avg(G) where D is not null group by D"")"),"RATING")</f>
        <v>RATING</v>
      </c>
      <c r="F18" s="6" t="str">
        <f ca="1">IFERROR(__xludf.DUMMYFUNCTION("""COMPUTED_VALUE"""),"avg SCORE")</f>
        <v>avg SCORE</v>
      </c>
      <c r="H18" s="6" t="str">
        <f ca="1">IFERROR(__xludf.DUMMYFUNCTION("QUERY(IMDB,""select D,avg(G) where D is not null group by D label avg(G) 'avg_score'"")"),"RATING")</f>
        <v>RATING</v>
      </c>
      <c r="I18" s="6" t="str">
        <f ca="1">IFERROR(__xludf.DUMMYFUNCTION("""COMPUTED_VALUE"""),"avg_score")</f>
        <v>avg_score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 x14ac:dyDescent="0.45">
      <c r="A19" s="6">
        <f ca="1">IFERROR(__xludf.DUMMYFUNCTION("""COMPUTED_VALUE"""),1)</f>
        <v>1</v>
      </c>
      <c r="B19" s="6" t="str">
        <f ca="1">IFERROR(__xludf.DUMMYFUNCTION("""COMPUTED_VALUE"""),"The Shawshank Redemption")</f>
        <v>The Shawshank Redemption</v>
      </c>
      <c r="C19" s="6">
        <f ca="1">IFERROR(__xludf.DUMMYFUNCTION("""COMPUTED_VALUE"""),1994)</f>
        <v>1994</v>
      </c>
      <c r="D19" s="6"/>
      <c r="E19" s="18" t="str">
        <f ca="1">IFERROR(__xludf.DUMMYFUNCTION("""COMPUTED_VALUE"""),"Approved")</f>
        <v>Approved</v>
      </c>
      <c r="F19" s="6">
        <f ca="1">IFERROR(__xludf.DUMMYFUNCTION("""COMPUTED_VALUE"""),8.56666666666666)</f>
        <v>8.5666666666666593</v>
      </c>
      <c r="G19" s="6"/>
      <c r="H19" s="6" t="str">
        <f ca="1">IFERROR(__xludf.DUMMYFUNCTION("""COMPUTED_VALUE"""),"Approved")</f>
        <v>Approved</v>
      </c>
      <c r="I19" s="6">
        <f ca="1">IFERROR(__xludf.DUMMYFUNCTION("""COMPUTED_VALUE"""),8.56666666666666)</f>
        <v>8.5666666666666593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 x14ac:dyDescent="0.45">
      <c r="A20" s="6">
        <f ca="1">IFERROR(__xludf.DUMMYFUNCTION("""COMPUTED_VALUE"""),2)</f>
        <v>2</v>
      </c>
      <c r="B20" s="6" t="str">
        <f ca="1">IFERROR(__xludf.DUMMYFUNCTION("""COMPUTED_VALUE"""),"The Godfather")</f>
        <v>The Godfather</v>
      </c>
      <c r="C20" s="6">
        <f ca="1">IFERROR(__xludf.DUMMYFUNCTION("""COMPUTED_VALUE"""),1972)</f>
        <v>1972</v>
      </c>
      <c r="D20" s="6"/>
      <c r="E20" s="6" t="str">
        <f ca="1">IFERROR(__xludf.DUMMYFUNCTION("""COMPUTED_VALUE"""),"G")</f>
        <v>G</v>
      </c>
      <c r="F20" s="6">
        <f ca="1">IFERROR(__xludf.DUMMYFUNCTION("""COMPUTED_VALUE"""),8.44)</f>
        <v>8.44</v>
      </c>
      <c r="G20" s="6"/>
      <c r="H20" s="6" t="str">
        <f ca="1">IFERROR(__xludf.DUMMYFUNCTION("""COMPUTED_VALUE"""),"G")</f>
        <v>G</v>
      </c>
      <c r="I20" s="6">
        <f ca="1">IFERROR(__xludf.DUMMYFUNCTION("""COMPUTED_VALUE"""),8.44)</f>
        <v>8.44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45">
      <c r="A21" s="6">
        <f ca="1">IFERROR(__xludf.DUMMYFUNCTION("""COMPUTED_VALUE"""),3)</f>
        <v>3</v>
      </c>
      <c r="B21" s="6" t="str">
        <f ca="1">IFERROR(__xludf.DUMMYFUNCTION("""COMPUTED_VALUE"""),"The Dark Knight")</f>
        <v>The Dark Knight</v>
      </c>
      <c r="C21" s="6">
        <f ca="1">IFERROR(__xludf.DUMMYFUNCTION("""COMPUTED_VALUE"""),2008)</f>
        <v>2008</v>
      </c>
      <c r="D21" s="6"/>
      <c r="E21" s="6" t="str">
        <f ca="1">IFERROR(__xludf.DUMMYFUNCTION("""COMPUTED_VALUE"""),"Not Rated")</f>
        <v>Not Rated</v>
      </c>
      <c r="F21" s="6">
        <f ca="1">IFERROR(__xludf.DUMMYFUNCTION("""COMPUTED_VALUE"""),8.41999999999999)</f>
        <v>8.4199999999999893</v>
      </c>
      <c r="G21" s="6"/>
      <c r="H21" s="6" t="str">
        <f ca="1">IFERROR(__xludf.DUMMYFUNCTION("""COMPUTED_VALUE"""),"Not Rated")</f>
        <v>Not Rated</v>
      </c>
      <c r="I21" s="6">
        <f ca="1">IFERROR(__xludf.DUMMYFUNCTION("""COMPUTED_VALUE"""),8.41999999999999)</f>
        <v>8.4199999999999893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45">
      <c r="A22" s="6">
        <f ca="1">IFERROR(__xludf.DUMMYFUNCTION("""COMPUTED_VALUE"""),4)</f>
        <v>4</v>
      </c>
      <c r="B22" s="6" t="str">
        <f ca="1">IFERROR(__xludf.DUMMYFUNCTION("""COMPUTED_VALUE"""),"The Godfather: Part II")</f>
        <v>The Godfather: Part II</v>
      </c>
      <c r="C22" s="6">
        <f ca="1">IFERROR(__xludf.DUMMYFUNCTION("""COMPUTED_VALUE"""),1974)</f>
        <v>1974</v>
      </c>
      <c r="D22" s="6"/>
      <c r="E22" s="6" t="str">
        <f ca="1">IFERROR(__xludf.DUMMYFUNCTION("""COMPUTED_VALUE"""),"PG")</f>
        <v>PG</v>
      </c>
      <c r="F22" s="6">
        <f ca="1">IFERROR(__xludf.DUMMYFUNCTION("""COMPUTED_VALUE"""),8.48461538461538)</f>
        <v>8.4846153846153793</v>
      </c>
      <c r="G22" s="6"/>
      <c r="H22" s="6" t="str">
        <f ca="1">IFERROR(__xludf.DUMMYFUNCTION("""COMPUTED_VALUE"""),"PG")</f>
        <v>PG</v>
      </c>
      <c r="I22" s="6">
        <f ca="1">IFERROR(__xludf.DUMMYFUNCTION("""COMPUTED_VALUE"""),8.48461538461538)</f>
        <v>8.4846153846153793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45">
      <c r="A23" s="6">
        <f ca="1">IFERROR(__xludf.DUMMYFUNCTION("""COMPUTED_VALUE"""),5)</f>
        <v>5</v>
      </c>
      <c r="B23" s="6" t="str">
        <f ca="1">IFERROR(__xludf.DUMMYFUNCTION("""COMPUTED_VALUE"""),"The Lord of the Rings: The Return of the King")</f>
        <v>The Lord of the Rings: The Return of the King</v>
      </c>
      <c r="C23" s="6">
        <f ca="1">IFERROR(__xludf.DUMMYFUNCTION("""COMPUTED_VALUE"""),2003)</f>
        <v>2003</v>
      </c>
      <c r="D23" s="6"/>
      <c r="E23" s="6" t="str">
        <f ca="1">IFERROR(__xludf.DUMMYFUNCTION("""COMPUTED_VALUE"""),"PG-13")</f>
        <v>PG-13</v>
      </c>
      <c r="F23" s="6">
        <f ca="1">IFERROR(__xludf.DUMMYFUNCTION("""COMPUTED_VALUE"""),8.6)</f>
        <v>8.6</v>
      </c>
      <c r="G23" s="6"/>
      <c r="H23" s="6" t="str">
        <f ca="1">IFERROR(__xludf.DUMMYFUNCTION("""COMPUTED_VALUE"""),"PG-13")</f>
        <v>PG-13</v>
      </c>
      <c r="I23" s="6">
        <f ca="1">IFERROR(__xludf.DUMMYFUNCTION("""COMPUTED_VALUE"""),8.6)</f>
        <v>8.6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45">
      <c r="A24" s="6"/>
      <c r="B24" s="6"/>
      <c r="C24" s="6"/>
      <c r="D24" s="6"/>
      <c r="E24" s="6" t="str">
        <f ca="1">IFERROR(__xludf.DUMMYFUNCTION("""COMPUTED_VALUE"""),"Passed")</f>
        <v>Passed</v>
      </c>
      <c r="F24" s="6">
        <f ca="1">IFERROR(__xludf.DUMMYFUNCTION("""COMPUTED_VALUE"""),8.4)</f>
        <v>8.4</v>
      </c>
      <c r="G24" s="6"/>
      <c r="H24" s="6" t="str">
        <f ca="1">IFERROR(__xludf.DUMMYFUNCTION("""COMPUTED_VALUE"""),"Passed")</f>
        <v>Passed</v>
      </c>
      <c r="I24" s="6">
        <f ca="1">IFERROR(__xludf.DUMMYFUNCTION("""COMPUTED_VALUE"""),8.4)</f>
        <v>8.4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45">
      <c r="A25" s="6"/>
      <c r="B25" s="6"/>
      <c r="C25" s="6"/>
      <c r="D25" s="6"/>
      <c r="E25" s="6" t="str">
        <f ca="1">IFERROR(__xludf.DUMMYFUNCTION("""COMPUTED_VALUE"""),"R")</f>
        <v>R</v>
      </c>
      <c r="F25" s="6">
        <f ca="1">IFERROR(__xludf.DUMMYFUNCTION("""COMPUTED_VALUE"""),8.53617021276595)</f>
        <v>8.5361702127659491</v>
      </c>
      <c r="G25" s="6"/>
      <c r="H25" s="6" t="str">
        <f ca="1">IFERROR(__xludf.DUMMYFUNCTION("""COMPUTED_VALUE"""),"R")</f>
        <v>R</v>
      </c>
      <c r="I25" s="6">
        <f ca="1">IFERROR(__xludf.DUMMYFUNCTION("""COMPUTED_VALUE"""),8.53617021276595)</f>
        <v>8.5361702127659491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4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6.8" x14ac:dyDescent="0.4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6.8" x14ac:dyDescent="0.4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6.8" x14ac:dyDescent="0.4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6.8" x14ac:dyDescent="0.4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6.8" x14ac:dyDescent="0.4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6.8" x14ac:dyDescent="0.4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6.8" x14ac:dyDescent="0.4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6.8" x14ac:dyDescent="0.4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6.8" x14ac:dyDescent="0.4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6.8" x14ac:dyDescent="0.4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6.8" x14ac:dyDescent="0.4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6.8" x14ac:dyDescent="0.4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6.8" x14ac:dyDescent="0.4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6.8" x14ac:dyDescent="0.4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6.8" x14ac:dyDescent="0.4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6.8" x14ac:dyDescent="0.4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6.8" x14ac:dyDescent="0.4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6.8" x14ac:dyDescent="0.4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6.8" x14ac:dyDescent="0.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6.8" x14ac:dyDescent="0.4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6.8" x14ac:dyDescent="0.4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6.8" x14ac:dyDescent="0.4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6.8" x14ac:dyDescent="0.4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6.8" x14ac:dyDescent="0.4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6.8" x14ac:dyDescent="0.4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6.8" x14ac:dyDescent="0.4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6.8" x14ac:dyDescent="0.4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6.8" x14ac:dyDescent="0.4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6.8" x14ac:dyDescent="0.4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6.8" x14ac:dyDescent="0.4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6.8" x14ac:dyDescent="0.4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6.8" x14ac:dyDescent="0.4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6.8" x14ac:dyDescent="0.4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6.8" x14ac:dyDescent="0.4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6.8" x14ac:dyDescent="0.4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6.8" x14ac:dyDescent="0.4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6.8" x14ac:dyDescent="0.4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6.8" x14ac:dyDescent="0.4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6.8" x14ac:dyDescent="0.4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6.8" x14ac:dyDescent="0.4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6.8" x14ac:dyDescent="0.4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6.8" x14ac:dyDescent="0.4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6.8" x14ac:dyDescent="0.4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6.8" x14ac:dyDescent="0.4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6.8" x14ac:dyDescent="0.4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6.8" x14ac:dyDescent="0.4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6.8" x14ac:dyDescent="0.4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6.8" x14ac:dyDescent="0.4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6.8" x14ac:dyDescent="0.4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6.8" x14ac:dyDescent="0.4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6.8" x14ac:dyDescent="0.4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6.8" x14ac:dyDescent="0.4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6.8" x14ac:dyDescent="0.4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6.8" x14ac:dyDescent="0.4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6.8" x14ac:dyDescent="0.4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6.8" x14ac:dyDescent="0.4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6.8" x14ac:dyDescent="0.4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6.8" x14ac:dyDescent="0.4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6.8" x14ac:dyDescent="0.4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6.8" x14ac:dyDescent="0.4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6.8" x14ac:dyDescent="0.4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6.8" x14ac:dyDescent="0.4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6.8" x14ac:dyDescent="0.4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6.8" x14ac:dyDescent="0.4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6.8" x14ac:dyDescent="0.4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6.8" x14ac:dyDescent="0.4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6.8" x14ac:dyDescent="0.4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6.8" x14ac:dyDescent="0.4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6.8" x14ac:dyDescent="0.4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6.8" x14ac:dyDescent="0.4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6.8" x14ac:dyDescent="0.4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6.8" x14ac:dyDescent="0.4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6.8" x14ac:dyDescent="0.4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6.8" x14ac:dyDescent="0.4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6.8" x14ac:dyDescent="0.4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6.8" x14ac:dyDescent="0.4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6.8" x14ac:dyDescent="0.4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6.8" x14ac:dyDescent="0.4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6.8" x14ac:dyDescent="0.4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6.8" x14ac:dyDescent="0.4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6.8" x14ac:dyDescent="0.4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6.8" x14ac:dyDescent="0.4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6.8" x14ac:dyDescent="0.4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6.8" x14ac:dyDescent="0.4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6.8" x14ac:dyDescent="0.4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6.8" x14ac:dyDescent="0.4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6.8" x14ac:dyDescent="0.4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6.8" x14ac:dyDescent="0.4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6.8" x14ac:dyDescent="0.4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6.8" x14ac:dyDescent="0.4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6.8" x14ac:dyDescent="0.4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6.8" x14ac:dyDescent="0.4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6.8" x14ac:dyDescent="0.4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6.8" x14ac:dyDescent="0.4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6.8" x14ac:dyDescent="0.4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6.8" x14ac:dyDescent="0.4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6.8" x14ac:dyDescent="0.4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6.8" x14ac:dyDescent="0.4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6.8" x14ac:dyDescent="0.4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6.8" x14ac:dyDescent="0.4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6.8" x14ac:dyDescent="0.4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6.8" x14ac:dyDescent="0.4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6.8" x14ac:dyDescent="0.4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6.8" x14ac:dyDescent="0.4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6.8" x14ac:dyDescent="0.4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6.8" x14ac:dyDescent="0.4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6.8" x14ac:dyDescent="0.4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6.8" x14ac:dyDescent="0.4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6.8" x14ac:dyDescent="0.4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6.8" x14ac:dyDescent="0.4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6.8" x14ac:dyDescent="0.4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6.8" x14ac:dyDescent="0.4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6.8" x14ac:dyDescent="0.4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6.8" x14ac:dyDescent="0.4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6.8" x14ac:dyDescent="0.4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6.8" x14ac:dyDescent="0.4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6.8" x14ac:dyDescent="0.4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6.8" x14ac:dyDescent="0.4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6.8" x14ac:dyDescent="0.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6.8" x14ac:dyDescent="0.4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6.8" x14ac:dyDescent="0.4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6.8" x14ac:dyDescent="0.4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6.8" x14ac:dyDescent="0.4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6.8" x14ac:dyDescent="0.4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6.8" x14ac:dyDescent="0.4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6.8" x14ac:dyDescent="0.4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6.8" x14ac:dyDescent="0.4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6.8" x14ac:dyDescent="0.4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6.8" x14ac:dyDescent="0.4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6.8" x14ac:dyDescent="0.4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6.8" x14ac:dyDescent="0.4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6.8" x14ac:dyDescent="0.4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6.8" x14ac:dyDescent="0.4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6.8" x14ac:dyDescent="0.4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6.8" x14ac:dyDescent="0.4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6.8" x14ac:dyDescent="0.4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6.8" x14ac:dyDescent="0.4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6.8" x14ac:dyDescent="0.4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6.8" x14ac:dyDescent="0.4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6.8" x14ac:dyDescent="0.4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6.8" x14ac:dyDescent="0.4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6.8" x14ac:dyDescent="0.4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6.8" x14ac:dyDescent="0.4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6.8" x14ac:dyDescent="0.4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6.8" x14ac:dyDescent="0.4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6.8" x14ac:dyDescent="0.4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6.8" x14ac:dyDescent="0.4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6.8" x14ac:dyDescent="0.4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6.8" x14ac:dyDescent="0.4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6.8" x14ac:dyDescent="0.4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6.8" x14ac:dyDescent="0.4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6.8" x14ac:dyDescent="0.4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6.8" x14ac:dyDescent="0.4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6.8" x14ac:dyDescent="0.4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6.8" x14ac:dyDescent="0.4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6.8" x14ac:dyDescent="0.4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6.8" x14ac:dyDescent="0.4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6.8" x14ac:dyDescent="0.4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6.8" x14ac:dyDescent="0.4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6.8" x14ac:dyDescent="0.4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6.8" x14ac:dyDescent="0.4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6.8" x14ac:dyDescent="0.4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6.8" x14ac:dyDescent="0.4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6.8" x14ac:dyDescent="0.4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6.8" x14ac:dyDescent="0.4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6.8" x14ac:dyDescent="0.4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6.8" x14ac:dyDescent="0.4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6.8" x14ac:dyDescent="0.4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6.8" x14ac:dyDescent="0.4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6.8" x14ac:dyDescent="0.4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6.8" x14ac:dyDescent="0.4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6.8" x14ac:dyDescent="0.4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6.8" x14ac:dyDescent="0.4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6.8" x14ac:dyDescent="0.4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6.8" x14ac:dyDescent="0.4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6.8" x14ac:dyDescent="0.4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6.8" x14ac:dyDescent="0.4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6.8" x14ac:dyDescent="0.4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6.8" x14ac:dyDescent="0.4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6.8" x14ac:dyDescent="0.4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6.8" x14ac:dyDescent="0.4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6.8" x14ac:dyDescent="0.4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6.8" x14ac:dyDescent="0.4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6.8" x14ac:dyDescent="0.4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6.8" x14ac:dyDescent="0.4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6.8" x14ac:dyDescent="0.4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6.8" x14ac:dyDescent="0.4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6.8" x14ac:dyDescent="0.4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6.8" x14ac:dyDescent="0.4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6.8" x14ac:dyDescent="0.4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6.8" x14ac:dyDescent="0.4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6.8" x14ac:dyDescent="0.4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6.8" x14ac:dyDescent="0.4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6.8" x14ac:dyDescent="0.4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6.8" x14ac:dyDescent="0.4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6.8" x14ac:dyDescent="0.4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6.8" x14ac:dyDescent="0.4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6.8" x14ac:dyDescent="0.4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6.8" x14ac:dyDescent="0.4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6.8" x14ac:dyDescent="0.4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6.8" x14ac:dyDescent="0.4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6.8" x14ac:dyDescent="0.4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6.8" x14ac:dyDescent="0.4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6.8" x14ac:dyDescent="0.4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6.8" x14ac:dyDescent="0.4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6.8" x14ac:dyDescent="0.4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6.8" x14ac:dyDescent="0.4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6.8" x14ac:dyDescent="0.4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6.8" x14ac:dyDescent="0.4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6.8" x14ac:dyDescent="0.4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6.8" x14ac:dyDescent="0.4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6.8" x14ac:dyDescent="0.4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6.8" x14ac:dyDescent="0.4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6.8" x14ac:dyDescent="0.4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6.8" x14ac:dyDescent="0.4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6.8" x14ac:dyDescent="0.4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6.8" x14ac:dyDescent="0.4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6.8" x14ac:dyDescent="0.4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6.8" x14ac:dyDescent="0.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6.8" x14ac:dyDescent="0.4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6.8" x14ac:dyDescent="0.4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6.8" x14ac:dyDescent="0.4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6.8" x14ac:dyDescent="0.4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6.8" x14ac:dyDescent="0.4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6.8" x14ac:dyDescent="0.4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6.8" x14ac:dyDescent="0.4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6.8" x14ac:dyDescent="0.4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6.8" x14ac:dyDescent="0.4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6.8" x14ac:dyDescent="0.4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6.8" x14ac:dyDescent="0.4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6.8" x14ac:dyDescent="0.4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6.8" x14ac:dyDescent="0.4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6.8" x14ac:dyDescent="0.4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6.8" x14ac:dyDescent="0.4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6.8" x14ac:dyDescent="0.4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6.8" x14ac:dyDescent="0.4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6.8" x14ac:dyDescent="0.4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6.8" x14ac:dyDescent="0.4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6.8" x14ac:dyDescent="0.4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6.8" x14ac:dyDescent="0.4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6.8" x14ac:dyDescent="0.4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6.8" x14ac:dyDescent="0.4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6.8" x14ac:dyDescent="0.4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6.8" x14ac:dyDescent="0.4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6.8" x14ac:dyDescent="0.4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6.8" x14ac:dyDescent="0.4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6.8" x14ac:dyDescent="0.4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6.8" x14ac:dyDescent="0.4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6.8" x14ac:dyDescent="0.4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6.8" x14ac:dyDescent="0.4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6.8" x14ac:dyDescent="0.4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6.8" x14ac:dyDescent="0.4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6.8" x14ac:dyDescent="0.4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6.8" x14ac:dyDescent="0.4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6.8" x14ac:dyDescent="0.4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6.8" x14ac:dyDescent="0.4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6.8" x14ac:dyDescent="0.4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6.8" x14ac:dyDescent="0.4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6.8" x14ac:dyDescent="0.4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6.8" x14ac:dyDescent="0.4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6.8" x14ac:dyDescent="0.4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6.8" x14ac:dyDescent="0.4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6.8" x14ac:dyDescent="0.4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6.8" x14ac:dyDescent="0.4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6.8" x14ac:dyDescent="0.4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6.8" x14ac:dyDescent="0.4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6.8" x14ac:dyDescent="0.4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6.8" x14ac:dyDescent="0.4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6.8" x14ac:dyDescent="0.4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6.8" x14ac:dyDescent="0.4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6.8" x14ac:dyDescent="0.4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6.8" x14ac:dyDescent="0.4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6.8" x14ac:dyDescent="0.4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6.8" x14ac:dyDescent="0.4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6.8" x14ac:dyDescent="0.4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6.8" x14ac:dyDescent="0.4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6.8" x14ac:dyDescent="0.4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6.8" x14ac:dyDescent="0.4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6.8" x14ac:dyDescent="0.4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6.8" x14ac:dyDescent="0.4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6.8" x14ac:dyDescent="0.4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6.8" x14ac:dyDescent="0.4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6.8" x14ac:dyDescent="0.4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6.8" x14ac:dyDescent="0.4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6.8" x14ac:dyDescent="0.4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6.8" x14ac:dyDescent="0.4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6.8" x14ac:dyDescent="0.4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6.8" x14ac:dyDescent="0.4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6.8" x14ac:dyDescent="0.4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6.8" x14ac:dyDescent="0.4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6.8" x14ac:dyDescent="0.4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6.8" x14ac:dyDescent="0.4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6.8" x14ac:dyDescent="0.4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6.8" x14ac:dyDescent="0.4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6.8" x14ac:dyDescent="0.4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6.8" x14ac:dyDescent="0.4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6.8" x14ac:dyDescent="0.4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6.8" x14ac:dyDescent="0.4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6.8" x14ac:dyDescent="0.4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6.8" x14ac:dyDescent="0.4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6.8" x14ac:dyDescent="0.4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6.8" x14ac:dyDescent="0.4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6.8" x14ac:dyDescent="0.4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6.8" x14ac:dyDescent="0.4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6.8" x14ac:dyDescent="0.4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6.8" x14ac:dyDescent="0.4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6.8" x14ac:dyDescent="0.4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6.8" x14ac:dyDescent="0.4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6.8" x14ac:dyDescent="0.4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6.8" x14ac:dyDescent="0.4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6.8" x14ac:dyDescent="0.4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6.8" x14ac:dyDescent="0.4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6.8" x14ac:dyDescent="0.4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6.8" x14ac:dyDescent="0.4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6.8" x14ac:dyDescent="0.4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6.8" x14ac:dyDescent="0.4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6.8" x14ac:dyDescent="0.4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6.8" x14ac:dyDescent="0.4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6.8" x14ac:dyDescent="0.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6.8" x14ac:dyDescent="0.4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6.8" x14ac:dyDescent="0.4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6.8" x14ac:dyDescent="0.4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6.8" x14ac:dyDescent="0.4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6.8" x14ac:dyDescent="0.4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6.8" x14ac:dyDescent="0.4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6.8" x14ac:dyDescent="0.4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6.8" x14ac:dyDescent="0.4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6.8" x14ac:dyDescent="0.4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6.8" x14ac:dyDescent="0.4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6.8" x14ac:dyDescent="0.4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6.8" x14ac:dyDescent="0.4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6.8" x14ac:dyDescent="0.4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6.8" x14ac:dyDescent="0.4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6.8" x14ac:dyDescent="0.4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6.8" x14ac:dyDescent="0.4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6.8" x14ac:dyDescent="0.4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6.8" x14ac:dyDescent="0.4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6.8" x14ac:dyDescent="0.4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6.8" x14ac:dyDescent="0.4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6.8" x14ac:dyDescent="0.4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6.8" x14ac:dyDescent="0.4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6.8" x14ac:dyDescent="0.4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6.8" x14ac:dyDescent="0.4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6.8" x14ac:dyDescent="0.4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6.8" x14ac:dyDescent="0.4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6.8" x14ac:dyDescent="0.4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6.8" x14ac:dyDescent="0.4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6.8" x14ac:dyDescent="0.4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6.8" x14ac:dyDescent="0.4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6.8" x14ac:dyDescent="0.4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6.8" x14ac:dyDescent="0.4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6.8" x14ac:dyDescent="0.4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6.8" x14ac:dyDescent="0.4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6.8" x14ac:dyDescent="0.4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6.8" x14ac:dyDescent="0.4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6.8" x14ac:dyDescent="0.4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6.8" x14ac:dyDescent="0.4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6.8" x14ac:dyDescent="0.4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6.8" x14ac:dyDescent="0.4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6.8" x14ac:dyDescent="0.4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6.8" x14ac:dyDescent="0.4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6.8" x14ac:dyDescent="0.4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6.8" x14ac:dyDescent="0.4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6.8" x14ac:dyDescent="0.4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6.8" x14ac:dyDescent="0.4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6.8" x14ac:dyDescent="0.4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6.8" x14ac:dyDescent="0.4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6.8" x14ac:dyDescent="0.4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6.8" x14ac:dyDescent="0.4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6.8" x14ac:dyDescent="0.4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6.8" x14ac:dyDescent="0.4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6.8" x14ac:dyDescent="0.4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6.8" x14ac:dyDescent="0.4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6.8" x14ac:dyDescent="0.4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6.8" x14ac:dyDescent="0.4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6.8" x14ac:dyDescent="0.4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6.8" x14ac:dyDescent="0.4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6.8" x14ac:dyDescent="0.4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6.8" x14ac:dyDescent="0.4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6.8" x14ac:dyDescent="0.4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6.8" x14ac:dyDescent="0.4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6.8" x14ac:dyDescent="0.4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6.8" x14ac:dyDescent="0.4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6.8" x14ac:dyDescent="0.4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6.8" x14ac:dyDescent="0.4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6.8" x14ac:dyDescent="0.4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6.8" x14ac:dyDescent="0.4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6.8" x14ac:dyDescent="0.4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6.8" x14ac:dyDescent="0.4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6.8" x14ac:dyDescent="0.4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6.8" x14ac:dyDescent="0.4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6.8" x14ac:dyDescent="0.4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6.8" x14ac:dyDescent="0.4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6.8" x14ac:dyDescent="0.4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6.8" x14ac:dyDescent="0.4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6.8" x14ac:dyDescent="0.4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6.8" x14ac:dyDescent="0.4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6.8" x14ac:dyDescent="0.4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6.8" x14ac:dyDescent="0.4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6.8" x14ac:dyDescent="0.4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6.8" x14ac:dyDescent="0.4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6.8" x14ac:dyDescent="0.4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6.8" x14ac:dyDescent="0.4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6.8" x14ac:dyDescent="0.4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6.8" x14ac:dyDescent="0.4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6.8" x14ac:dyDescent="0.4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6.8" x14ac:dyDescent="0.4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6.8" x14ac:dyDescent="0.4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6.8" x14ac:dyDescent="0.4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6.8" x14ac:dyDescent="0.4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6.8" x14ac:dyDescent="0.4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6.8" x14ac:dyDescent="0.4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6.8" x14ac:dyDescent="0.4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6.8" x14ac:dyDescent="0.4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6.8" x14ac:dyDescent="0.4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6.8" x14ac:dyDescent="0.4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6.8" x14ac:dyDescent="0.4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6.8" x14ac:dyDescent="0.4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6.8" x14ac:dyDescent="0.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6.8" x14ac:dyDescent="0.4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6.8" x14ac:dyDescent="0.4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6.8" x14ac:dyDescent="0.4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6.8" x14ac:dyDescent="0.4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6.8" x14ac:dyDescent="0.4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6.8" x14ac:dyDescent="0.4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6.8" x14ac:dyDescent="0.4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6.8" x14ac:dyDescent="0.4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6.8" x14ac:dyDescent="0.4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6.8" x14ac:dyDescent="0.4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6.8" x14ac:dyDescent="0.4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6.8" x14ac:dyDescent="0.4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6.8" x14ac:dyDescent="0.4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6.8" x14ac:dyDescent="0.4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6.8" x14ac:dyDescent="0.4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6.8" x14ac:dyDescent="0.4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6.8" x14ac:dyDescent="0.4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6.8" x14ac:dyDescent="0.4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6.8" x14ac:dyDescent="0.4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6.8" x14ac:dyDescent="0.4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6.8" x14ac:dyDescent="0.4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6.8" x14ac:dyDescent="0.4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6.8" x14ac:dyDescent="0.4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6.8" x14ac:dyDescent="0.4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6.8" x14ac:dyDescent="0.4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6.8" x14ac:dyDescent="0.4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6.8" x14ac:dyDescent="0.4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6.8" x14ac:dyDescent="0.4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6.8" x14ac:dyDescent="0.4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6.8" x14ac:dyDescent="0.4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6.8" x14ac:dyDescent="0.4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6.8" x14ac:dyDescent="0.4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6.8" x14ac:dyDescent="0.4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6.8" x14ac:dyDescent="0.4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6.8" x14ac:dyDescent="0.4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6.8" x14ac:dyDescent="0.4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6.8" x14ac:dyDescent="0.4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6.8" x14ac:dyDescent="0.4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6.8" x14ac:dyDescent="0.4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6.8" x14ac:dyDescent="0.4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6.8" x14ac:dyDescent="0.4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6.8" x14ac:dyDescent="0.4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6.8" x14ac:dyDescent="0.4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6.8" x14ac:dyDescent="0.4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6.8" x14ac:dyDescent="0.4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6.8" x14ac:dyDescent="0.4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6.8" x14ac:dyDescent="0.4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6.8" x14ac:dyDescent="0.4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6.8" x14ac:dyDescent="0.4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6.8" x14ac:dyDescent="0.4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6.8" x14ac:dyDescent="0.4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6.8" x14ac:dyDescent="0.4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6.8" x14ac:dyDescent="0.4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6.8" x14ac:dyDescent="0.4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6.8" x14ac:dyDescent="0.4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6.8" x14ac:dyDescent="0.4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6.8" x14ac:dyDescent="0.4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6.8" x14ac:dyDescent="0.4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6.8" x14ac:dyDescent="0.4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6.8" x14ac:dyDescent="0.4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6.8" x14ac:dyDescent="0.4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6.8" x14ac:dyDescent="0.4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6.8" x14ac:dyDescent="0.4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6.8" x14ac:dyDescent="0.4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6.8" x14ac:dyDescent="0.4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6.8" x14ac:dyDescent="0.4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6.8" x14ac:dyDescent="0.4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6.8" x14ac:dyDescent="0.4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6.8" x14ac:dyDescent="0.4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6.8" x14ac:dyDescent="0.4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6.8" x14ac:dyDescent="0.4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6.8" x14ac:dyDescent="0.4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6.8" x14ac:dyDescent="0.4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6.8" x14ac:dyDescent="0.4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6.8" x14ac:dyDescent="0.4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6.8" x14ac:dyDescent="0.4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6.8" x14ac:dyDescent="0.4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6.8" x14ac:dyDescent="0.4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6.8" x14ac:dyDescent="0.4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6.8" x14ac:dyDescent="0.4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6.8" x14ac:dyDescent="0.4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6.8" x14ac:dyDescent="0.4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6.8" x14ac:dyDescent="0.4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6.8" x14ac:dyDescent="0.4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6.8" x14ac:dyDescent="0.4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6.8" x14ac:dyDescent="0.4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6.8" x14ac:dyDescent="0.4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6.8" x14ac:dyDescent="0.4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6.8" x14ac:dyDescent="0.4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6.8" x14ac:dyDescent="0.4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6.8" x14ac:dyDescent="0.4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6.8" x14ac:dyDescent="0.4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6.8" x14ac:dyDescent="0.4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6.8" x14ac:dyDescent="0.4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6.8" x14ac:dyDescent="0.4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6.8" x14ac:dyDescent="0.4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6.8" x14ac:dyDescent="0.4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6.8" x14ac:dyDescent="0.4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6.8" x14ac:dyDescent="0.4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6.8" x14ac:dyDescent="0.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6.8" x14ac:dyDescent="0.4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6.8" x14ac:dyDescent="0.4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6.8" x14ac:dyDescent="0.4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6.8" x14ac:dyDescent="0.4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6.8" x14ac:dyDescent="0.4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6.8" x14ac:dyDescent="0.4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6.8" x14ac:dyDescent="0.4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6.8" x14ac:dyDescent="0.4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6.8" x14ac:dyDescent="0.4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6.8" x14ac:dyDescent="0.4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6.8" x14ac:dyDescent="0.4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6.8" x14ac:dyDescent="0.4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6.8" x14ac:dyDescent="0.4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6.8" x14ac:dyDescent="0.4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6.8" x14ac:dyDescent="0.4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6.8" x14ac:dyDescent="0.4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6.8" x14ac:dyDescent="0.4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6.8" x14ac:dyDescent="0.4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6.8" x14ac:dyDescent="0.4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6.8" x14ac:dyDescent="0.4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6.8" x14ac:dyDescent="0.4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6.8" x14ac:dyDescent="0.4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6.8" x14ac:dyDescent="0.4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6.8" x14ac:dyDescent="0.4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6.8" x14ac:dyDescent="0.4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6.8" x14ac:dyDescent="0.4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6.8" x14ac:dyDescent="0.4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6.8" x14ac:dyDescent="0.4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6.8" x14ac:dyDescent="0.4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6.8" x14ac:dyDescent="0.4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6.8" x14ac:dyDescent="0.4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6.8" x14ac:dyDescent="0.4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6.8" x14ac:dyDescent="0.4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6.8" x14ac:dyDescent="0.4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6.8" x14ac:dyDescent="0.4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6.8" x14ac:dyDescent="0.4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6.8" x14ac:dyDescent="0.4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6.8" x14ac:dyDescent="0.4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6.8" x14ac:dyDescent="0.4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6.8" x14ac:dyDescent="0.4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6.8" x14ac:dyDescent="0.4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6.8" x14ac:dyDescent="0.4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6.8" x14ac:dyDescent="0.4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6.8" x14ac:dyDescent="0.4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6.8" x14ac:dyDescent="0.4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6.8" x14ac:dyDescent="0.4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6.8" x14ac:dyDescent="0.4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6.8" x14ac:dyDescent="0.4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6.8" x14ac:dyDescent="0.4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6.8" x14ac:dyDescent="0.4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6.8" x14ac:dyDescent="0.4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6.8" x14ac:dyDescent="0.4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6.8" x14ac:dyDescent="0.4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6.8" x14ac:dyDescent="0.4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6.8" x14ac:dyDescent="0.4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6.8" x14ac:dyDescent="0.4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6.8" x14ac:dyDescent="0.4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6.8" x14ac:dyDescent="0.4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6.8" x14ac:dyDescent="0.4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6.8" x14ac:dyDescent="0.4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6.8" x14ac:dyDescent="0.4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6.8" x14ac:dyDescent="0.4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6.8" x14ac:dyDescent="0.4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6.8" x14ac:dyDescent="0.4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6.8" x14ac:dyDescent="0.4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6.8" x14ac:dyDescent="0.4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6.8" x14ac:dyDescent="0.4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6.8" x14ac:dyDescent="0.4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6.8" x14ac:dyDescent="0.4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6.8" x14ac:dyDescent="0.4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6.8" x14ac:dyDescent="0.4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6.8" x14ac:dyDescent="0.4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6.8" x14ac:dyDescent="0.4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6.8" x14ac:dyDescent="0.4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6.8" x14ac:dyDescent="0.4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6.8" x14ac:dyDescent="0.4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6.8" x14ac:dyDescent="0.4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6.8" x14ac:dyDescent="0.4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6.8" x14ac:dyDescent="0.4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6.8" x14ac:dyDescent="0.4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6.8" x14ac:dyDescent="0.4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6.8" x14ac:dyDescent="0.4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6.8" x14ac:dyDescent="0.4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6.8" x14ac:dyDescent="0.4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6.8" x14ac:dyDescent="0.4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6.8" x14ac:dyDescent="0.4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6.8" x14ac:dyDescent="0.4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6.8" x14ac:dyDescent="0.4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6.8" x14ac:dyDescent="0.4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6.8" x14ac:dyDescent="0.4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6.8" x14ac:dyDescent="0.4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6.8" x14ac:dyDescent="0.4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6.8" x14ac:dyDescent="0.4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6.8" x14ac:dyDescent="0.4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6.8" x14ac:dyDescent="0.4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6.8" x14ac:dyDescent="0.4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6.8" x14ac:dyDescent="0.4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6.8" x14ac:dyDescent="0.4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6.8" x14ac:dyDescent="0.4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6.8" x14ac:dyDescent="0.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6.8" x14ac:dyDescent="0.4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6.8" x14ac:dyDescent="0.4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6.8" x14ac:dyDescent="0.4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6.8" x14ac:dyDescent="0.4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6.8" x14ac:dyDescent="0.4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6.8" x14ac:dyDescent="0.4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6.8" x14ac:dyDescent="0.4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6.8" x14ac:dyDescent="0.4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6.8" x14ac:dyDescent="0.4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6.8" x14ac:dyDescent="0.4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6.8" x14ac:dyDescent="0.4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6.8" x14ac:dyDescent="0.4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6.8" x14ac:dyDescent="0.4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6.8" x14ac:dyDescent="0.4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6.8" x14ac:dyDescent="0.4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6.8" x14ac:dyDescent="0.4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6.8" x14ac:dyDescent="0.4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6.8" x14ac:dyDescent="0.4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6.8" x14ac:dyDescent="0.4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6.8" x14ac:dyDescent="0.4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6.8" x14ac:dyDescent="0.4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6.8" x14ac:dyDescent="0.4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6.8" x14ac:dyDescent="0.4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6.8" x14ac:dyDescent="0.4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6.8" x14ac:dyDescent="0.4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6.8" x14ac:dyDescent="0.4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6.8" x14ac:dyDescent="0.4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6.8" x14ac:dyDescent="0.4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6.8" x14ac:dyDescent="0.4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6.8" x14ac:dyDescent="0.4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6.8" x14ac:dyDescent="0.4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6.8" x14ac:dyDescent="0.4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6.8" x14ac:dyDescent="0.4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6.8" x14ac:dyDescent="0.4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6.8" x14ac:dyDescent="0.4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6.8" x14ac:dyDescent="0.4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6.8" x14ac:dyDescent="0.4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6.8" x14ac:dyDescent="0.4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6.8" x14ac:dyDescent="0.4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6.8" x14ac:dyDescent="0.4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6.8" x14ac:dyDescent="0.4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6.8" x14ac:dyDescent="0.4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6.8" x14ac:dyDescent="0.4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6.8" x14ac:dyDescent="0.4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6.8" x14ac:dyDescent="0.4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6.8" x14ac:dyDescent="0.4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6.8" x14ac:dyDescent="0.4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6.8" x14ac:dyDescent="0.4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6.8" x14ac:dyDescent="0.4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6.8" x14ac:dyDescent="0.4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6.8" x14ac:dyDescent="0.4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6.8" x14ac:dyDescent="0.4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6.8" x14ac:dyDescent="0.4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6.8" x14ac:dyDescent="0.4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6.8" x14ac:dyDescent="0.4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6.8" x14ac:dyDescent="0.4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6.8" x14ac:dyDescent="0.4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6.8" x14ac:dyDescent="0.4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6.8" x14ac:dyDescent="0.4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6.8" x14ac:dyDescent="0.4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6.8" x14ac:dyDescent="0.4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6.8" x14ac:dyDescent="0.4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6.8" x14ac:dyDescent="0.4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6.8" x14ac:dyDescent="0.4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6.8" x14ac:dyDescent="0.4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6.8" x14ac:dyDescent="0.4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6.8" x14ac:dyDescent="0.4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6.8" x14ac:dyDescent="0.4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6.8" x14ac:dyDescent="0.4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6.8" x14ac:dyDescent="0.4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6.8" x14ac:dyDescent="0.4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6.8" x14ac:dyDescent="0.4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6.8" x14ac:dyDescent="0.4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6.8" x14ac:dyDescent="0.4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6.8" x14ac:dyDescent="0.4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6.8" x14ac:dyDescent="0.4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6.8" x14ac:dyDescent="0.4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6.8" x14ac:dyDescent="0.4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6.8" x14ac:dyDescent="0.4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6.8" x14ac:dyDescent="0.4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6.8" x14ac:dyDescent="0.4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6.8" x14ac:dyDescent="0.4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6.8" x14ac:dyDescent="0.4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6.8" x14ac:dyDescent="0.4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6.8" x14ac:dyDescent="0.4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6.8" x14ac:dyDescent="0.4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6.8" x14ac:dyDescent="0.4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6.8" x14ac:dyDescent="0.4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6.8" x14ac:dyDescent="0.4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6.8" x14ac:dyDescent="0.4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6.8" x14ac:dyDescent="0.4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6.8" x14ac:dyDescent="0.4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6.8" x14ac:dyDescent="0.4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6.8" x14ac:dyDescent="0.4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6.8" x14ac:dyDescent="0.4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6.8" x14ac:dyDescent="0.4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6.8" x14ac:dyDescent="0.4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6.8" x14ac:dyDescent="0.4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6.8" x14ac:dyDescent="0.4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6.8" x14ac:dyDescent="0.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6.8" x14ac:dyDescent="0.4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6.8" x14ac:dyDescent="0.4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6.8" x14ac:dyDescent="0.4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6.8" x14ac:dyDescent="0.4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6.8" x14ac:dyDescent="0.4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6.8" x14ac:dyDescent="0.4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6.8" x14ac:dyDescent="0.4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6.8" x14ac:dyDescent="0.4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6.8" x14ac:dyDescent="0.4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6.8" x14ac:dyDescent="0.4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6.8" x14ac:dyDescent="0.4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6.8" x14ac:dyDescent="0.4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6.8" x14ac:dyDescent="0.4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6.8" x14ac:dyDescent="0.4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6.8" x14ac:dyDescent="0.4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6.8" x14ac:dyDescent="0.4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6.8" x14ac:dyDescent="0.4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6.8" x14ac:dyDescent="0.4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6.8" x14ac:dyDescent="0.4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6.8" x14ac:dyDescent="0.4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6.8" x14ac:dyDescent="0.4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6.8" x14ac:dyDescent="0.4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6.8" x14ac:dyDescent="0.4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6.8" x14ac:dyDescent="0.4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6.8" x14ac:dyDescent="0.4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6.8" x14ac:dyDescent="0.4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6.8" x14ac:dyDescent="0.4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6.8" x14ac:dyDescent="0.4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6.8" x14ac:dyDescent="0.4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6.8" x14ac:dyDescent="0.4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6.8" x14ac:dyDescent="0.4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6.8" x14ac:dyDescent="0.4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6.8" x14ac:dyDescent="0.4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6.8" x14ac:dyDescent="0.4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6.8" x14ac:dyDescent="0.4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6.8" x14ac:dyDescent="0.4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6.8" x14ac:dyDescent="0.4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6.8" x14ac:dyDescent="0.4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6.8" x14ac:dyDescent="0.4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6.8" x14ac:dyDescent="0.4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6.8" x14ac:dyDescent="0.4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6.8" x14ac:dyDescent="0.4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6.8" x14ac:dyDescent="0.4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6.8" x14ac:dyDescent="0.4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6.8" x14ac:dyDescent="0.4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6.8" x14ac:dyDescent="0.4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6.8" x14ac:dyDescent="0.4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6.8" x14ac:dyDescent="0.4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6.8" x14ac:dyDescent="0.4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6.8" x14ac:dyDescent="0.4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6.8" x14ac:dyDescent="0.4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6.8" x14ac:dyDescent="0.4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6.8" x14ac:dyDescent="0.4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6.8" x14ac:dyDescent="0.4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6.8" x14ac:dyDescent="0.4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6.8" x14ac:dyDescent="0.4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6.8" x14ac:dyDescent="0.4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6.8" x14ac:dyDescent="0.4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6.8" x14ac:dyDescent="0.4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6.8" x14ac:dyDescent="0.4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6.8" x14ac:dyDescent="0.4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6.8" x14ac:dyDescent="0.4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6.8" x14ac:dyDescent="0.4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6.8" x14ac:dyDescent="0.4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6.8" x14ac:dyDescent="0.4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6.8" x14ac:dyDescent="0.4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6.8" x14ac:dyDescent="0.4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6.8" x14ac:dyDescent="0.4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6.8" x14ac:dyDescent="0.4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6.8" x14ac:dyDescent="0.4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6.8" x14ac:dyDescent="0.4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6.8" x14ac:dyDescent="0.4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6.8" x14ac:dyDescent="0.4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6.8" x14ac:dyDescent="0.4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6.8" x14ac:dyDescent="0.4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6.8" x14ac:dyDescent="0.4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6.8" x14ac:dyDescent="0.4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6.8" x14ac:dyDescent="0.4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6.8" x14ac:dyDescent="0.4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6.8" x14ac:dyDescent="0.4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6.8" x14ac:dyDescent="0.4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6.8" x14ac:dyDescent="0.4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6.8" x14ac:dyDescent="0.4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6.8" x14ac:dyDescent="0.4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6.8" x14ac:dyDescent="0.4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6.8" x14ac:dyDescent="0.4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6.8" x14ac:dyDescent="0.4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6.8" x14ac:dyDescent="0.4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6.8" x14ac:dyDescent="0.4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6.8" x14ac:dyDescent="0.4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6.8" x14ac:dyDescent="0.4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6.8" x14ac:dyDescent="0.4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6.8" x14ac:dyDescent="0.4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6.8" x14ac:dyDescent="0.4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6.8" x14ac:dyDescent="0.4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6.8" x14ac:dyDescent="0.4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6.8" x14ac:dyDescent="0.4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6.8" x14ac:dyDescent="0.4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6.8" x14ac:dyDescent="0.4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6.8" x14ac:dyDescent="0.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6.8" x14ac:dyDescent="0.4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6.8" x14ac:dyDescent="0.4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6.8" x14ac:dyDescent="0.4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6.8" x14ac:dyDescent="0.4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6.8" x14ac:dyDescent="0.4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6.8" x14ac:dyDescent="0.4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6.8" x14ac:dyDescent="0.4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6.8" x14ac:dyDescent="0.4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6.8" x14ac:dyDescent="0.4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6.8" x14ac:dyDescent="0.4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6.8" x14ac:dyDescent="0.4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6.8" x14ac:dyDescent="0.4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6.8" x14ac:dyDescent="0.4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6.8" x14ac:dyDescent="0.4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6.8" x14ac:dyDescent="0.4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6.8" x14ac:dyDescent="0.4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6.8" x14ac:dyDescent="0.4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6.8" x14ac:dyDescent="0.4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6.8" x14ac:dyDescent="0.4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6.8" x14ac:dyDescent="0.4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6.8" x14ac:dyDescent="0.4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6.8" x14ac:dyDescent="0.4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6.8" x14ac:dyDescent="0.4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6.8" x14ac:dyDescent="0.4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6.8" x14ac:dyDescent="0.4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6.8" x14ac:dyDescent="0.4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6.8" x14ac:dyDescent="0.4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6.8" x14ac:dyDescent="0.4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6.8" x14ac:dyDescent="0.4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6.8" x14ac:dyDescent="0.4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6.8" x14ac:dyDescent="0.4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6.8" x14ac:dyDescent="0.4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6.8" x14ac:dyDescent="0.4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6.8" x14ac:dyDescent="0.4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6.8" x14ac:dyDescent="0.4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6.8" x14ac:dyDescent="0.4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6.8" x14ac:dyDescent="0.4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6.8" x14ac:dyDescent="0.4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6.8" x14ac:dyDescent="0.4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6.8" x14ac:dyDescent="0.4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6.8" x14ac:dyDescent="0.4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6.8" x14ac:dyDescent="0.4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6.8" x14ac:dyDescent="0.4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6.8" x14ac:dyDescent="0.4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6.8" x14ac:dyDescent="0.4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6.8" x14ac:dyDescent="0.4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6.8" x14ac:dyDescent="0.4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6.8" x14ac:dyDescent="0.4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6.8" x14ac:dyDescent="0.4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6.8" x14ac:dyDescent="0.4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6.8" x14ac:dyDescent="0.4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6.8" x14ac:dyDescent="0.4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6.8" x14ac:dyDescent="0.4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6.8" x14ac:dyDescent="0.4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6.8" x14ac:dyDescent="0.4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6.8" x14ac:dyDescent="0.4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6.8" x14ac:dyDescent="0.4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6.8" x14ac:dyDescent="0.4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6.8" x14ac:dyDescent="0.4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6.8" x14ac:dyDescent="0.4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6.8" x14ac:dyDescent="0.4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6.8" x14ac:dyDescent="0.4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6.8" x14ac:dyDescent="0.4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6.8" x14ac:dyDescent="0.4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6.8" x14ac:dyDescent="0.4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6.8" x14ac:dyDescent="0.4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6.8" x14ac:dyDescent="0.4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6.8" x14ac:dyDescent="0.4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6.8" x14ac:dyDescent="0.4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6.8" x14ac:dyDescent="0.4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6.8" x14ac:dyDescent="0.4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6.8" x14ac:dyDescent="0.4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6.8" x14ac:dyDescent="0.4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6.8" x14ac:dyDescent="0.4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6.8" x14ac:dyDescent="0.4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6.8" x14ac:dyDescent="0.4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6.8" x14ac:dyDescent="0.4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6.8" x14ac:dyDescent="0.4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6.8" x14ac:dyDescent="0.4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6.8" x14ac:dyDescent="0.4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6.8" x14ac:dyDescent="0.4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6.8" x14ac:dyDescent="0.4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6.8" x14ac:dyDescent="0.4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6.8" x14ac:dyDescent="0.4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6.8" x14ac:dyDescent="0.4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6.8" x14ac:dyDescent="0.4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6.8" x14ac:dyDescent="0.4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6.8" x14ac:dyDescent="0.4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6.8" x14ac:dyDescent="0.4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6.8" x14ac:dyDescent="0.4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6.8" x14ac:dyDescent="0.4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6.8" x14ac:dyDescent="0.4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6.8" x14ac:dyDescent="0.4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6.8" x14ac:dyDescent="0.4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6.8" x14ac:dyDescent="0.4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6.8" x14ac:dyDescent="0.4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6.8" x14ac:dyDescent="0.4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6.8" x14ac:dyDescent="0.4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6.8" x14ac:dyDescent="0.4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6.8" x14ac:dyDescent="0.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6.8" x14ac:dyDescent="0.4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6.8" x14ac:dyDescent="0.4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6.8" x14ac:dyDescent="0.4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6.8" x14ac:dyDescent="0.4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6.8" x14ac:dyDescent="0.4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6.8" x14ac:dyDescent="0.4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6.8" x14ac:dyDescent="0.4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6.8" x14ac:dyDescent="0.4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6.8" x14ac:dyDescent="0.4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6.8" x14ac:dyDescent="0.4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6.8" x14ac:dyDescent="0.4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6.8" x14ac:dyDescent="0.4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6.8" x14ac:dyDescent="0.4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6.8" x14ac:dyDescent="0.4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6.8" x14ac:dyDescent="0.4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6.8" x14ac:dyDescent="0.4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6.8" x14ac:dyDescent="0.4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6.8" x14ac:dyDescent="0.4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6.8" x14ac:dyDescent="0.4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6.8" x14ac:dyDescent="0.4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6.8" x14ac:dyDescent="0.4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6.8" x14ac:dyDescent="0.4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6.8" x14ac:dyDescent="0.4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6.8" x14ac:dyDescent="0.4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6.8" x14ac:dyDescent="0.4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6.8" x14ac:dyDescent="0.4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6.8" x14ac:dyDescent="0.4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6.8" x14ac:dyDescent="0.4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6.8" x14ac:dyDescent="0.4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6.8" x14ac:dyDescent="0.4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6.8" x14ac:dyDescent="0.4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6.8" x14ac:dyDescent="0.4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6.8" x14ac:dyDescent="0.4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6.8" x14ac:dyDescent="0.4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6.8" x14ac:dyDescent="0.4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6.8" x14ac:dyDescent="0.4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6.8" x14ac:dyDescent="0.4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6.8" x14ac:dyDescent="0.4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6.8" x14ac:dyDescent="0.4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6.8" x14ac:dyDescent="0.4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6.8" x14ac:dyDescent="0.4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6.8" x14ac:dyDescent="0.4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6.8" x14ac:dyDescent="0.4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6.8" x14ac:dyDescent="0.4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6.8" x14ac:dyDescent="0.4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6.8" x14ac:dyDescent="0.4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6.8" x14ac:dyDescent="0.4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6.8" x14ac:dyDescent="0.4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6.8" x14ac:dyDescent="0.4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6.8" x14ac:dyDescent="0.4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6.8" x14ac:dyDescent="0.4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6.8" x14ac:dyDescent="0.4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6.8" x14ac:dyDescent="0.4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6.8" x14ac:dyDescent="0.4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6.8" x14ac:dyDescent="0.4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6.8" x14ac:dyDescent="0.4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CH1002"/>
  <sheetViews>
    <sheetView workbookViewId="0"/>
  </sheetViews>
  <sheetFormatPr defaultColWidth="12.6640625" defaultRowHeight="15.75" customHeight="1" x14ac:dyDescent="0.25"/>
  <cols>
    <col min="1" max="7" width="12.6640625" customWidth="1"/>
  </cols>
  <sheetData>
    <row r="1" spans="1:86" ht="15.75" customHeight="1" x14ac:dyDescent="0.45">
      <c r="A1" s="8" t="s">
        <v>193</v>
      </c>
      <c r="B1" s="8"/>
      <c r="C1" s="8"/>
      <c r="D1" s="8"/>
      <c r="E1" s="8"/>
      <c r="F1" s="8"/>
      <c r="G1" s="8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</row>
    <row r="2" spans="1:86" ht="15.75" customHeight="1" x14ac:dyDescent="0.45">
      <c r="A2" s="8" t="s">
        <v>22</v>
      </c>
      <c r="B2" s="8" t="s">
        <v>23</v>
      </c>
      <c r="C2" s="8" t="s">
        <v>24</v>
      </c>
      <c r="D2" s="8" t="s">
        <v>25</v>
      </c>
      <c r="E2" s="8" t="s">
        <v>26</v>
      </c>
      <c r="F2" s="8" t="s">
        <v>27</v>
      </c>
      <c r="G2" s="8" t="s">
        <v>28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</row>
    <row r="3" spans="1:86" ht="15.75" customHeight="1" x14ac:dyDescent="0.45">
      <c r="A3" s="9">
        <v>1</v>
      </c>
      <c r="B3" s="9" t="s">
        <v>29</v>
      </c>
      <c r="C3" s="9">
        <v>1994</v>
      </c>
      <c r="D3" s="9" t="s">
        <v>30</v>
      </c>
      <c r="E3" s="9">
        <v>142</v>
      </c>
      <c r="F3" s="9" t="s">
        <v>31</v>
      </c>
      <c r="G3" s="9">
        <v>9.3000000000000007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</row>
    <row r="4" spans="1:86" ht="15.75" customHeight="1" x14ac:dyDescent="0.45">
      <c r="A4" s="9">
        <v>2</v>
      </c>
      <c r="B4" s="9" t="s">
        <v>32</v>
      </c>
      <c r="C4" s="9">
        <v>1972</v>
      </c>
      <c r="D4" s="9" t="s">
        <v>30</v>
      </c>
      <c r="E4" s="9">
        <v>175</v>
      </c>
      <c r="F4" s="9" t="s">
        <v>33</v>
      </c>
      <c r="G4" s="9">
        <v>9.1999999999999993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</row>
    <row r="5" spans="1:86" ht="15.75" customHeight="1" x14ac:dyDescent="0.45">
      <c r="A5" s="9">
        <v>3</v>
      </c>
      <c r="B5" s="9" t="s">
        <v>34</v>
      </c>
      <c r="C5" s="9">
        <v>2008</v>
      </c>
      <c r="D5" s="9" t="s">
        <v>35</v>
      </c>
      <c r="E5" s="9">
        <v>152</v>
      </c>
      <c r="F5" s="9" t="s">
        <v>36</v>
      </c>
      <c r="G5" s="9">
        <v>9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</row>
    <row r="6" spans="1:86" ht="15.75" customHeight="1" x14ac:dyDescent="0.45">
      <c r="A6" s="9">
        <v>4</v>
      </c>
      <c r="B6" s="9" t="s">
        <v>37</v>
      </c>
      <c r="C6" s="9">
        <v>1974</v>
      </c>
      <c r="D6" s="9" t="s">
        <v>30</v>
      </c>
      <c r="E6" s="9">
        <v>202</v>
      </c>
      <c r="F6" s="9" t="s">
        <v>33</v>
      </c>
      <c r="G6" s="9">
        <v>9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</row>
    <row r="7" spans="1:86" ht="15.75" customHeight="1" x14ac:dyDescent="0.45">
      <c r="A7" s="9">
        <v>5</v>
      </c>
      <c r="B7" s="9" t="s">
        <v>38</v>
      </c>
      <c r="C7" s="9">
        <v>2003</v>
      </c>
      <c r="D7" s="9" t="s">
        <v>35</v>
      </c>
      <c r="E7" s="9">
        <v>201</v>
      </c>
      <c r="F7" s="9" t="s">
        <v>39</v>
      </c>
      <c r="G7" s="9">
        <v>8.9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</row>
    <row r="8" spans="1:86" ht="15.75" customHeight="1" x14ac:dyDescent="0.4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</row>
    <row r="9" spans="1:86" ht="15.75" customHeight="1" x14ac:dyDescent="0.45">
      <c r="A9" s="10" t="s">
        <v>205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</row>
    <row r="10" spans="1:86" ht="15.75" customHeight="1" x14ac:dyDescent="0.45">
      <c r="A10" s="19" t="s">
        <v>206</v>
      </c>
      <c r="D10" s="20" t="s">
        <v>207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</row>
    <row r="11" spans="1:86" ht="15.75" customHeight="1" x14ac:dyDescent="0.45">
      <c r="A11" s="18" t="str">
        <f ca="1">IFERROR(__xludf.DUMMYFUNCTION("QUERY(IMDB,""select D,avg(G) 
where D is not null group by D"")"),"RATING")</f>
        <v>RATING</v>
      </c>
      <c r="B11" s="18" t="str">
        <f ca="1">IFERROR(__xludf.DUMMYFUNCTION("""COMPUTED_VALUE"""),"avg SCORE")</f>
        <v>avg SCORE</v>
      </c>
      <c r="D11" s="18" t="str">
        <f ca="1">IFERROR(__xludf.DUMMYFUNCTION("QUERY(IMDB,""select avg(G) pivot D"")"),"")</f>
        <v/>
      </c>
      <c r="E11" s="18" t="str">
        <f ca="1">IFERROR(__xludf.DUMMYFUNCTION("""COMPUTED_VALUE"""),"Approved")</f>
        <v>Approved</v>
      </c>
      <c r="F11" s="18" t="str">
        <f ca="1">IFERROR(__xludf.DUMMYFUNCTION("""COMPUTED_VALUE"""),"G")</f>
        <v>G</v>
      </c>
      <c r="G11" s="6" t="str">
        <f ca="1">IFERROR(__xludf.DUMMYFUNCTION("""COMPUTED_VALUE"""),"Not Rated")</f>
        <v>Not Rated</v>
      </c>
      <c r="H11" s="6" t="str">
        <f ca="1">IFERROR(__xludf.DUMMYFUNCTION("""COMPUTED_VALUE"""),"PG")</f>
        <v>PG</v>
      </c>
      <c r="I11" s="6" t="str">
        <f ca="1">IFERROR(__xludf.DUMMYFUNCTION("""COMPUTED_VALUE"""),"PG-13")</f>
        <v>PG-13</v>
      </c>
      <c r="J11" s="6" t="str">
        <f ca="1">IFERROR(__xludf.DUMMYFUNCTION("""COMPUTED_VALUE"""),"Passed")</f>
        <v>Passed</v>
      </c>
      <c r="K11" s="6" t="str">
        <f ca="1">IFERROR(__xludf.DUMMYFUNCTION("""COMPUTED_VALUE"""),"R")</f>
        <v>R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</row>
    <row r="12" spans="1:86" ht="15.75" customHeight="1" x14ac:dyDescent="0.45">
      <c r="A12" s="18" t="str">
        <f ca="1">IFERROR(__xludf.DUMMYFUNCTION("""COMPUTED_VALUE"""),"Approved")</f>
        <v>Approved</v>
      </c>
      <c r="B12" s="18">
        <f ca="1">IFERROR(__xludf.DUMMYFUNCTION("""COMPUTED_VALUE"""),8.56666666666666)</f>
        <v>8.5666666666666593</v>
      </c>
      <c r="D12" s="18">
        <f ca="1">IFERROR(__xludf.DUMMYFUNCTION("""COMPUTED_VALUE"""),8.33333333333333)</f>
        <v>8.3333333333333304</v>
      </c>
      <c r="E12" s="18">
        <f ca="1">IFERROR(__xludf.DUMMYFUNCTION("""COMPUTED_VALUE"""),8.56666666666666)</f>
        <v>8.5666666666666593</v>
      </c>
      <c r="F12" s="18">
        <f ca="1">IFERROR(__xludf.DUMMYFUNCTION("""COMPUTED_VALUE"""),8.44)</f>
        <v>8.44</v>
      </c>
      <c r="G12" s="6">
        <f ca="1">IFERROR(__xludf.DUMMYFUNCTION("""COMPUTED_VALUE"""),8.41999999999999)</f>
        <v>8.4199999999999893</v>
      </c>
      <c r="H12" s="6">
        <f ca="1">IFERROR(__xludf.DUMMYFUNCTION("""COMPUTED_VALUE"""),8.48461538461538)</f>
        <v>8.4846153846153793</v>
      </c>
      <c r="I12" s="6">
        <f ca="1">IFERROR(__xludf.DUMMYFUNCTION("""COMPUTED_VALUE"""),8.6)</f>
        <v>8.6</v>
      </c>
      <c r="J12" s="6">
        <f ca="1">IFERROR(__xludf.DUMMYFUNCTION("""COMPUTED_VALUE"""),8.4)</f>
        <v>8.4</v>
      </c>
      <c r="K12" s="6">
        <f ca="1">IFERROR(__xludf.DUMMYFUNCTION("""COMPUTED_VALUE"""),8.53617021276595)</f>
        <v>8.5361702127659491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</row>
    <row r="13" spans="1:86" ht="15.75" customHeight="1" x14ac:dyDescent="0.45">
      <c r="A13" s="18" t="str">
        <f ca="1">IFERROR(__xludf.DUMMYFUNCTION("""COMPUTED_VALUE"""),"G")</f>
        <v>G</v>
      </c>
      <c r="B13" s="18">
        <f ca="1">IFERROR(__xludf.DUMMYFUNCTION("""COMPUTED_VALUE"""),8.44)</f>
        <v>8.44</v>
      </c>
      <c r="D13" s="20" t="s">
        <v>208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</row>
    <row r="14" spans="1:86" ht="15.75" customHeight="1" x14ac:dyDescent="0.45">
      <c r="A14" s="18" t="str">
        <f ca="1">IFERROR(__xludf.DUMMYFUNCTION("""COMPUTED_VALUE"""),"Not Rated")</f>
        <v>Not Rated</v>
      </c>
      <c r="B14" s="18">
        <f ca="1">IFERROR(__xludf.DUMMYFUNCTION("""COMPUTED_VALUE"""),8.41999999999999)</f>
        <v>8.4199999999999893</v>
      </c>
      <c r="D14" s="18" t="str">
        <f ca="1">IFERROR(__xludf.DUMMYFUNCTION("QUERY(IMDB,""select avg(G) where D is not null pivot D"")"),"Approved")</f>
        <v>Approved</v>
      </c>
      <c r="E14" s="18" t="str">
        <f ca="1">IFERROR(__xludf.DUMMYFUNCTION("""COMPUTED_VALUE"""),"G")</f>
        <v>G</v>
      </c>
      <c r="F14" s="18" t="str">
        <f ca="1">IFERROR(__xludf.DUMMYFUNCTION("""COMPUTED_VALUE"""),"Not Rated")</f>
        <v>Not Rated</v>
      </c>
      <c r="G14" s="6" t="str">
        <f ca="1">IFERROR(__xludf.DUMMYFUNCTION("""COMPUTED_VALUE"""),"PG")</f>
        <v>PG</v>
      </c>
      <c r="H14" s="6" t="str">
        <f ca="1">IFERROR(__xludf.DUMMYFUNCTION("""COMPUTED_VALUE"""),"PG-13")</f>
        <v>PG-13</v>
      </c>
      <c r="I14" s="6" t="str">
        <f ca="1">IFERROR(__xludf.DUMMYFUNCTION("""COMPUTED_VALUE"""),"Passed")</f>
        <v>Passed</v>
      </c>
      <c r="J14" s="6" t="str">
        <f ca="1">IFERROR(__xludf.DUMMYFUNCTION("""COMPUTED_VALUE"""),"R")</f>
        <v>R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</row>
    <row r="15" spans="1:86" ht="15.75" customHeight="1" x14ac:dyDescent="0.45">
      <c r="A15" s="18" t="str">
        <f ca="1">IFERROR(__xludf.DUMMYFUNCTION("""COMPUTED_VALUE"""),"PG")</f>
        <v>PG</v>
      </c>
      <c r="B15" s="18">
        <f ca="1">IFERROR(__xludf.DUMMYFUNCTION("""COMPUTED_VALUE"""),8.48461538461538)</f>
        <v>8.4846153846153793</v>
      </c>
      <c r="D15" s="18">
        <f ca="1">IFERROR(__xludf.DUMMYFUNCTION("""COMPUTED_VALUE"""),8.56666666666666)</f>
        <v>8.5666666666666593</v>
      </c>
      <c r="E15" s="18">
        <f ca="1">IFERROR(__xludf.DUMMYFUNCTION("""COMPUTED_VALUE"""),8.44)</f>
        <v>8.44</v>
      </c>
      <c r="F15" s="18">
        <f ca="1">IFERROR(__xludf.DUMMYFUNCTION("""COMPUTED_VALUE"""),8.41999999999999)</f>
        <v>8.4199999999999893</v>
      </c>
      <c r="G15" s="6">
        <f ca="1">IFERROR(__xludf.DUMMYFUNCTION("""COMPUTED_VALUE"""),8.48461538461538)</f>
        <v>8.4846153846153793</v>
      </c>
      <c r="H15" s="6">
        <f ca="1">IFERROR(__xludf.DUMMYFUNCTION("""COMPUTED_VALUE"""),8.6)</f>
        <v>8.6</v>
      </c>
      <c r="I15" s="6">
        <f ca="1">IFERROR(__xludf.DUMMYFUNCTION("""COMPUTED_VALUE"""),8.4)</f>
        <v>8.4</v>
      </c>
      <c r="J15" s="6">
        <f ca="1">IFERROR(__xludf.DUMMYFUNCTION("""COMPUTED_VALUE"""),8.53617021276595)</f>
        <v>8.5361702127659491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</row>
    <row r="16" spans="1:86" ht="15.75" customHeight="1" x14ac:dyDescent="0.45">
      <c r="A16" s="18" t="str">
        <f ca="1">IFERROR(__xludf.DUMMYFUNCTION("""COMPUTED_VALUE"""),"PG-13")</f>
        <v>PG-13</v>
      </c>
      <c r="B16" s="18">
        <f ca="1">IFERROR(__xludf.DUMMYFUNCTION("""COMPUTED_VALUE"""),8.6)</f>
        <v>8.6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</row>
    <row r="17" spans="1:86" ht="15.75" customHeight="1" x14ac:dyDescent="0.45">
      <c r="A17" s="18" t="str">
        <f ca="1">IFERROR(__xludf.DUMMYFUNCTION("""COMPUTED_VALUE"""),"Passed")</f>
        <v>Passed</v>
      </c>
      <c r="B17" s="18">
        <f ca="1">IFERROR(__xludf.DUMMYFUNCTION("""COMPUTED_VALUE"""),8.4)</f>
        <v>8.4</v>
      </c>
      <c r="D17" s="20" t="s">
        <v>209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</row>
    <row r="18" spans="1:86" ht="15.75" customHeight="1" x14ac:dyDescent="0.45">
      <c r="A18" s="18" t="str">
        <f ca="1">IFERROR(__xludf.DUMMYFUNCTION("""COMPUTED_VALUE"""),"R")</f>
        <v>R</v>
      </c>
      <c r="B18" s="18">
        <f ca="1">IFERROR(__xludf.DUMMYFUNCTION("""COMPUTED_VALUE"""),8.53617021276595)</f>
        <v>8.5361702127659491</v>
      </c>
      <c r="D18" s="18" t="str">
        <f ca="1">IFERROR(__xludf.DUMMYFUNCTION("TRANSPOSE(query(IMDB,""select AVG(G) where D is not null pivot D""))"),"Approved")</f>
        <v>Approved</v>
      </c>
      <c r="E18" s="18">
        <f ca="1">IFERROR(__xludf.DUMMYFUNCTION("""COMPUTED_VALUE"""),8.56666666666666)</f>
        <v>8.5666666666666593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</row>
    <row r="19" spans="1:86" ht="15.75" customHeight="1" x14ac:dyDescent="0.45">
      <c r="D19" s="18" t="str">
        <f ca="1">IFERROR(__xludf.DUMMYFUNCTION("""COMPUTED_VALUE"""),"G")</f>
        <v>G</v>
      </c>
      <c r="E19" s="18">
        <f ca="1">IFERROR(__xludf.DUMMYFUNCTION("""COMPUTED_VALUE"""),8.44)</f>
        <v>8.44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</row>
    <row r="20" spans="1:86" ht="15.75" customHeight="1" x14ac:dyDescent="0.45">
      <c r="A20" s="6"/>
      <c r="B20" s="6"/>
      <c r="C20" s="6"/>
      <c r="D20" s="6" t="str">
        <f ca="1">IFERROR(__xludf.DUMMYFUNCTION("""COMPUTED_VALUE"""),"Not Rated")</f>
        <v>Not Rated</v>
      </c>
      <c r="E20" s="6">
        <f ca="1">IFERROR(__xludf.DUMMYFUNCTION("""COMPUTED_VALUE"""),8.41999999999999)</f>
        <v>8.4199999999999893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</row>
    <row r="21" spans="1:86" ht="15.75" customHeight="1" x14ac:dyDescent="0.45">
      <c r="A21" s="6"/>
      <c r="B21" s="6"/>
      <c r="C21" s="6"/>
      <c r="D21" s="6" t="str">
        <f ca="1">IFERROR(__xludf.DUMMYFUNCTION("""COMPUTED_VALUE"""),"PG")</f>
        <v>PG</v>
      </c>
      <c r="E21" s="6">
        <f ca="1">IFERROR(__xludf.DUMMYFUNCTION("""COMPUTED_VALUE"""),8.48461538461538)</f>
        <v>8.4846153846153793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</row>
    <row r="22" spans="1:86" ht="15.75" customHeight="1" x14ac:dyDescent="0.45">
      <c r="A22" s="6"/>
      <c r="B22" s="6"/>
      <c r="C22" s="6"/>
      <c r="D22" s="6" t="str">
        <f ca="1">IFERROR(__xludf.DUMMYFUNCTION("""COMPUTED_VALUE"""),"PG-13")</f>
        <v>PG-13</v>
      </c>
      <c r="E22" s="6">
        <f ca="1">IFERROR(__xludf.DUMMYFUNCTION("""COMPUTED_VALUE"""),8.6)</f>
        <v>8.6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</row>
    <row r="23" spans="1:86" ht="15.75" customHeight="1" x14ac:dyDescent="0.45">
      <c r="A23" s="6"/>
      <c r="B23" s="6"/>
      <c r="C23" s="6"/>
      <c r="D23" s="6" t="str">
        <f ca="1">IFERROR(__xludf.DUMMYFUNCTION("""COMPUTED_VALUE"""),"Passed")</f>
        <v>Passed</v>
      </c>
      <c r="E23" s="6">
        <f ca="1">IFERROR(__xludf.DUMMYFUNCTION("""COMPUTED_VALUE"""),8.4)</f>
        <v>8.4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</row>
    <row r="24" spans="1:86" ht="15.75" customHeight="1" x14ac:dyDescent="0.45">
      <c r="A24" s="6"/>
      <c r="B24" s="6"/>
      <c r="C24" s="6"/>
      <c r="D24" s="6" t="str">
        <f ca="1">IFERROR(__xludf.DUMMYFUNCTION("""COMPUTED_VALUE"""),"R")</f>
        <v>R</v>
      </c>
      <c r="E24" s="6">
        <f ca="1">IFERROR(__xludf.DUMMYFUNCTION("""COMPUTED_VALUE"""),8.53617021276595)</f>
        <v>8.5361702127659491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</row>
    <row r="25" spans="1:86" ht="15.75" customHeight="1" x14ac:dyDescent="0.4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</row>
    <row r="26" spans="1:86" ht="15.75" customHeight="1" x14ac:dyDescent="0.4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</row>
    <row r="27" spans="1:86" ht="16.8" x14ac:dyDescent="0.4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</row>
    <row r="28" spans="1:86" ht="16.8" x14ac:dyDescent="0.4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</row>
    <row r="29" spans="1:86" ht="16.8" x14ac:dyDescent="0.4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</row>
    <row r="30" spans="1:86" ht="16.8" x14ac:dyDescent="0.4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</row>
    <row r="31" spans="1:86" ht="16.8" x14ac:dyDescent="0.4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</row>
    <row r="32" spans="1:86" ht="16.8" x14ac:dyDescent="0.4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</row>
    <row r="33" spans="1:86" ht="16.8" x14ac:dyDescent="0.4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</row>
    <row r="34" spans="1:86" ht="16.8" x14ac:dyDescent="0.4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</row>
    <row r="35" spans="1:86" ht="16.8" x14ac:dyDescent="0.4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</row>
    <row r="36" spans="1:86" ht="16.8" x14ac:dyDescent="0.4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</row>
    <row r="37" spans="1:86" ht="16.8" x14ac:dyDescent="0.4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</row>
    <row r="38" spans="1:86" ht="16.8" x14ac:dyDescent="0.4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</row>
    <row r="39" spans="1:86" ht="16.8" x14ac:dyDescent="0.4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</row>
    <row r="40" spans="1:86" ht="16.8" x14ac:dyDescent="0.4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</row>
    <row r="41" spans="1:86" ht="16.8" x14ac:dyDescent="0.4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</row>
    <row r="42" spans="1:86" ht="16.8" x14ac:dyDescent="0.4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</row>
    <row r="43" spans="1:86" ht="16.8" x14ac:dyDescent="0.4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</row>
    <row r="44" spans="1:86" ht="16.8" x14ac:dyDescent="0.4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</row>
    <row r="45" spans="1:86" ht="16.8" x14ac:dyDescent="0.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</row>
    <row r="46" spans="1:86" ht="16.8" x14ac:dyDescent="0.4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</row>
    <row r="47" spans="1:86" ht="16.8" x14ac:dyDescent="0.4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</row>
    <row r="48" spans="1:86" ht="16.8" x14ac:dyDescent="0.4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</row>
    <row r="49" spans="1:86" ht="16.8" x14ac:dyDescent="0.4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</row>
    <row r="50" spans="1:86" ht="16.8" x14ac:dyDescent="0.4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</row>
    <row r="51" spans="1:86" ht="16.8" x14ac:dyDescent="0.4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</row>
    <row r="52" spans="1:86" ht="16.8" x14ac:dyDescent="0.4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</row>
    <row r="53" spans="1:86" ht="16.8" x14ac:dyDescent="0.4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</row>
    <row r="54" spans="1:86" ht="16.8" x14ac:dyDescent="0.4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</row>
    <row r="55" spans="1:86" ht="16.8" x14ac:dyDescent="0.4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</row>
    <row r="56" spans="1:86" ht="16.8" x14ac:dyDescent="0.4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</row>
    <row r="57" spans="1:86" ht="16.8" x14ac:dyDescent="0.4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</row>
    <row r="58" spans="1:86" ht="16.8" x14ac:dyDescent="0.4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</row>
    <row r="59" spans="1:86" ht="16.8" x14ac:dyDescent="0.4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</row>
    <row r="60" spans="1:86" ht="16.8" x14ac:dyDescent="0.4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</row>
    <row r="61" spans="1:86" ht="16.8" x14ac:dyDescent="0.4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</row>
    <row r="62" spans="1:86" ht="16.8" x14ac:dyDescent="0.4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</row>
    <row r="63" spans="1:86" ht="16.8" x14ac:dyDescent="0.4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</row>
    <row r="64" spans="1:86" ht="16.8" x14ac:dyDescent="0.4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</row>
    <row r="65" spans="1:86" ht="16.8" x14ac:dyDescent="0.4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</row>
    <row r="66" spans="1:86" ht="16.8" x14ac:dyDescent="0.4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</row>
    <row r="67" spans="1:86" ht="16.8" x14ac:dyDescent="0.4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</row>
    <row r="68" spans="1:86" ht="16.8" x14ac:dyDescent="0.4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</row>
    <row r="69" spans="1:86" ht="16.8" x14ac:dyDescent="0.4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</row>
    <row r="70" spans="1:86" ht="16.8" x14ac:dyDescent="0.4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</row>
    <row r="71" spans="1:86" ht="16.8" x14ac:dyDescent="0.4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</row>
    <row r="72" spans="1:86" ht="16.8" x14ac:dyDescent="0.4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</row>
    <row r="73" spans="1:86" ht="16.8" x14ac:dyDescent="0.4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</row>
    <row r="74" spans="1:86" ht="16.8" x14ac:dyDescent="0.4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</row>
    <row r="75" spans="1:86" ht="16.8" x14ac:dyDescent="0.4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</row>
    <row r="76" spans="1:86" ht="16.8" x14ac:dyDescent="0.4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</row>
    <row r="77" spans="1:86" ht="16.8" x14ac:dyDescent="0.4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</row>
    <row r="78" spans="1:86" ht="16.8" x14ac:dyDescent="0.4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</row>
    <row r="79" spans="1:86" ht="16.8" x14ac:dyDescent="0.4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</row>
    <row r="80" spans="1:86" ht="16.8" x14ac:dyDescent="0.4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</row>
    <row r="81" spans="1:86" ht="16.8" x14ac:dyDescent="0.4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</row>
    <row r="82" spans="1:86" ht="16.8" x14ac:dyDescent="0.4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</row>
    <row r="83" spans="1:86" ht="16.8" x14ac:dyDescent="0.4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</row>
    <row r="84" spans="1:86" ht="16.8" x14ac:dyDescent="0.4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</row>
    <row r="85" spans="1:86" ht="16.8" x14ac:dyDescent="0.4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</row>
    <row r="86" spans="1:86" ht="16.8" x14ac:dyDescent="0.4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</row>
    <row r="87" spans="1:86" ht="16.8" x14ac:dyDescent="0.4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</row>
    <row r="88" spans="1:86" ht="16.8" x14ac:dyDescent="0.4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</row>
    <row r="89" spans="1:86" ht="16.8" x14ac:dyDescent="0.4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</row>
    <row r="90" spans="1:86" ht="16.8" x14ac:dyDescent="0.4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</row>
    <row r="91" spans="1:86" ht="16.8" x14ac:dyDescent="0.4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</row>
    <row r="92" spans="1:86" ht="16.8" x14ac:dyDescent="0.4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</row>
    <row r="93" spans="1:86" ht="16.8" x14ac:dyDescent="0.4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</row>
    <row r="94" spans="1:86" ht="16.8" x14ac:dyDescent="0.4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</row>
    <row r="95" spans="1:86" ht="16.8" x14ac:dyDescent="0.4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</row>
    <row r="96" spans="1:86" ht="16.8" x14ac:dyDescent="0.4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</row>
    <row r="97" spans="1:86" ht="16.8" x14ac:dyDescent="0.4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</row>
    <row r="98" spans="1:86" ht="16.8" x14ac:dyDescent="0.4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</row>
    <row r="99" spans="1:86" ht="16.8" x14ac:dyDescent="0.4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</row>
    <row r="100" spans="1:86" ht="16.8" x14ac:dyDescent="0.4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</row>
    <row r="101" spans="1:86" ht="16.8" x14ac:dyDescent="0.4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</row>
    <row r="102" spans="1:86" ht="16.8" x14ac:dyDescent="0.4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</row>
    <row r="103" spans="1:86" ht="16.8" x14ac:dyDescent="0.4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</row>
    <row r="104" spans="1:86" ht="16.8" x14ac:dyDescent="0.4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</row>
    <row r="105" spans="1:86" ht="16.8" x14ac:dyDescent="0.4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</row>
    <row r="106" spans="1:86" ht="16.8" x14ac:dyDescent="0.4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</row>
    <row r="107" spans="1:86" ht="16.8" x14ac:dyDescent="0.4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</row>
    <row r="108" spans="1:86" ht="16.8" x14ac:dyDescent="0.4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</row>
    <row r="109" spans="1:86" ht="16.8" x14ac:dyDescent="0.4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</row>
    <row r="110" spans="1:86" ht="16.8" x14ac:dyDescent="0.4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</row>
    <row r="111" spans="1:86" ht="16.8" x14ac:dyDescent="0.4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</row>
    <row r="112" spans="1:86" ht="16.8" x14ac:dyDescent="0.4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</row>
    <row r="113" spans="1:86" ht="16.8" x14ac:dyDescent="0.4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</row>
    <row r="114" spans="1:86" ht="16.8" x14ac:dyDescent="0.4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</row>
    <row r="115" spans="1:86" ht="16.8" x14ac:dyDescent="0.4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</row>
    <row r="116" spans="1:86" ht="16.8" x14ac:dyDescent="0.4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</row>
    <row r="117" spans="1:86" ht="16.8" x14ac:dyDescent="0.4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</row>
    <row r="118" spans="1:86" ht="16.8" x14ac:dyDescent="0.4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</row>
    <row r="119" spans="1:86" ht="16.8" x14ac:dyDescent="0.4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</row>
    <row r="120" spans="1:86" ht="16.8" x14ac:dyDescent="0.4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</row>
    <row r="121" spans="1:86" ht="16.8" x14ac:dyDescent="0.4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</row>
    <row r="122" spans="1:86" ht="16.8" x14ac:dyDescent="0.4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</row>
    <row r="123" spans="1:86" ht="16.8" x14ac:dyDescent="0.4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</row>
    <row r="124" spans="1:86" ht="16.8" x14ac:dyDescent="0.4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</row>
    <row r="125" spans="1:86" ht="16.8" x14ac:dyDescent="0.4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</row>
    <row r="126" spans="1:86" ht="16.8" x14ac:dyDescent="0.4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</row>
    <row r="127" spans="1:86" ht="16.8" x14ac:dyDescent="0.4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</row>
    <row r="128" spans="1:86" ht="16.8" x14ac:dyDescent="0.4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</row>
    <row r="129" spans="1:86" ht="16.8" x14ac:dyDescent="0.4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</row>
    <row r="130" spans="1:86" ht="16.8" x14ac:dyDescent="0.4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</row>
    <row r="131" spans="1:86" ht="16.8" x14ac:dyDescent="0.4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</row>
    <row r="132" spans="1:86" ht="16.8" x14ac:dyDescent="0.4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</row>
    <row r="133" spans="1:86" ht="16.8" x14ac:dyDescent="0.4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</row>
    <row r="134" spans="1:86" ht="16.8" x14ac:dyDescent="0.4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</row>
    <row r="135" spans="1:86" ht="16.8" x14ac:dyDescent="0.4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</row>
    <row r="136" spans="1:86" ht="16.8" x14ac:dyDescent="0.4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</row>
    <row r="137" spans="1:86" ht="16.8" x14ac:dyDescent="0.4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</row>
    <row r="138" spans="1:86" ht="16.8" x14ac:dyDescent="0.4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</row>
    <row r="139" spans="1:86" ht="16.8" x14ac:dyDescent="0.4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</row>
    <row r="140" spans="1:86" ht="16.8" x14ac:dyDescent="0.4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</row>
    <row r="141" spans="1:86" ht="16.8" x14ac:dyDescent="0.4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</row>
    <row r="142" spans="1:86" ht="16.8" x14ac:dyDescent="0.4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</row>
    <row r="143" spans="1:86" ht="16.8" x14ac:dyDescent="0.4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</row>
    <row r="144" spans="1:86" ht="16.8" x14ac:dyDescent="0.4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</row>
    <row r="145" spans="1:86" ht="16.8" x14ac:dyDescent="0.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</row>
    <row r="146" spans="1:86" ht="16.8" x14ac:dyDescent="0.4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</row>
    <row r="147" spans="1:86" ht="16.8" x14ac:dyDescent="0.4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</row>
    <row r="148" spans="1:86" ht="16.8" x14ac:dyDescent="0.4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</row>
    <row r="149" spans="1:86" ht="16.8" x14ac:dyDescent="0.4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</row>
    <row r="150" spans="1:86" ht="16.8" x14ac:dyDescent="0.4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</row>
    <row r="151" spans="1:86" ht="16.8" x14ac:dyDescent="0.4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</row>
    <row r="152" spans="1:86" ht="16.8" x14ac:dyDescent="0.4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</row>
    <row r="153" spans="1:86" ht="16.8" x14ac:dyDescent="0.4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</row>
    <row r="154" spans="1:86" ht="16.8" x14ac:dyDescent="0.4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</row>
    <row r="155" spans="1:86" ht="16.8" x14ac:dyDescent="0.4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</row>
    <row r="156" spans="1:86" ht="16.8" x14ac:dyDescent="0.4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</row>
    <row r="157" spans="1:86" ht="16.8" x14ac:dyDescent="0.4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</row>
    <row r="158" spans="1:86" ht="16.8" x14ac:dyDescent="0.4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</row>
    <row r="159" spans="1:86" ht="16.8" x14ac:dyDescent="0.4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</row>
    <row r="160" spans="1:86" ht="16.8" x14ac:dyDescent="0.4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</row>
    <row r="161" spans="1:86" ht="16.8" x14ac:dyDescent="0.4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</row>
    <row r="162" spans="1:86" ht="16.8" x14ac:dyDescent="0.4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</row>
    <row r="163" spans="1:86" ht="16.8" x14ac:dyDescent="0.4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</row>
    <row r="164" spans="1:86" ht="16.8" x14ac:dyDescent="0.4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</row>
    <row r="165" spans="1:86" ht="16.8" x14ac:dyDescent="0.4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</row>
    <row r="166" spans="1:86" ht="16.8" x14ac:dyDescent="0.4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</row>
    <row r="167" spans="1:86" ht="16.8" x14ac:dyDescent="0.4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</row>
    <row r="168" spans="1:86" ht="16.8" x14ac:dyDescent="0.4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</row>
    <row r="169" spans="1:86" ht="16.8" x14ac:dyDescent="0.4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</row>
    <row r="170" spans="1:86" ht="16.8" x14ac:dyDescent="0.4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</row>
    <row r="171" spans="1:86" ht="16.8" x14ac:dyDescent="0.4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</row>
    <row r="172" spans="1:86" ht="16.8" x14ac:dyDescent="0.4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</row>
    <row r="173" spans="1:86" ht="16.8" x14ac:dyDescent="0.4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</row>
    <row r="174" spans="1:86" ht="16.8" x14ac:dyDescent="0.4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</row>
    <row r="175" spans="1:86" ht="16.8" x14ac:dyDescent="0.4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</row>
    <row r="176" spans="1:86" ht="16.8" x14ac:dyDescent="0.4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</row>
    <row r="177" spans="1:86" ht="16.8" x14ac:dyDescent="0.4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</row>
    <row r="178" spans="1:86" ht="16.8" x14ac:dyDescent="0.4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</row>
    <row r="179" spans="1:86" ht="16.8" x14ac:dyDescent="0.4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</row>
    <row r="180" spans="1:86" ht="16.8" x14ac:dyDescent="0.4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</row>
    <row r="181" spans="1:86" ht="16.8" x14ac:dyDescent="0.4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</row>
    <row r="182" spans="1:86" ht="16.8" x14ac:dyDescent="0.4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</row>
    <row r="183" spans="1:86" ht="16.8" x14ac:dyDescent="0.4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</row>
    <row r="184" spans="1:86" ht="16.8" x14ac:dyDescent="0.4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</row>
    <row r="185" spans="1:86" ht="16.8" x14ac:dyDescent="0.4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</row>
    <row r="186" spans="1:86" ht="16.8" x14ac:dyDescent="0.4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</row>
    <row r="187" spans="1:86" ht="16.8" x14ac:dyDescent="0.4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</row>
    <row r="188" spans="1:86" ht="16.8" x14ac:dyDescent="0.4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</row>
    <row r="189" spans="1:86" ht="16.8" x14ac:dyDescent="0.4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</row>
    <row r="190" spans="1:86" ht="16.8" x14ac:dyDescent="0.4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</row>
    <row r="191" spans="1:86" ht="16.8" x14ac:dyDescent="0.4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</row>
    <row r="192" spans="1:86" ht="16.8" x14ac:dyDescent="0.4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</row>
    <row r="193" spans="1:86" ht="16.8" x14ac:dyDescent="0.4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</row>
    <row r="194" spans="1:86" ht="16.8" x14ac:dyDescent="0.4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</row>
    <row r="195" spans="1:86" ht="16.8" x14ac:dyDescent="0.4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</row>
    <row r="196" spans="1:86" ht="16.8" x14ac:dyDescent="0.4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</row>
    <row r="197" spans="1:86" ht="16.8" x14ac:dyDescent="0.4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</row>
    <row r="198" spans="1:86" ht="16.8" x14ac:dyDescent="0.4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</row>
    <row r="199" spans="1:86" ht="16.8" x14ac:dyDescent="0.4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</row>
    <row r="200" spans="1:86" ht="16.8" x14ac:dyDescent="0.4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</row>
    <row r="201" spans="1:86" ht="16.8" x14ac:dyDescent="0.4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</row>
    <row r="202" spans="1:86" ht="16.8" x14ac:dyDescent="0.4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</row>
    <row r="203" spans="1:86" ht="16.8" x14ac:dyDescent="0.4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</row>
    <row r="204" spans="1:86" ht="16.8" x14ac:dyDescent="0.4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</row>
    <row r="205" spans="1:86" ht="16.8" x14ac:dyDescent="0.4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</row>
    <row r="206" spans="1:86" ht="16.8" x14ac:dyDescent="0.4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</row>
    <row r="207" spans="1:86" ht="16.8" x14ac:dyDescent="0.4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</row>
    <row r="208" spans="1:86" ht="16.8" x14ac:dyDescent="0.4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</row>
    <row r="209" spans="1:86" ht="16.8" x14ac:dyDescent="0.4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</row>
    <row r="210" spans="1:86" ht="16.8" x14ac:dyDescent="0.4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</row>
    <row r="211" spans="1:86" ht="16.8" x14ac:dyDescent="0.4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</row>
    <row r="212" spans="1:86" ht="16.8" x14ac:dyDescent="0.4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</row>
    <row r="213" spans="1:86" ht="16.8" x14ac:dyDescent="0.4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</row>
    <row r="214" spans="1:86" ht="16.8" x14ac:dyDescent="0.4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</row>
    <row r="215" spans="1:86" ht="16.8" x14ac:dyDescent="0.4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</row>
    <row r="216" spans="1:86" ht="16.8" x14ac:dyDescent="0.4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</row>
    <row r="217" spans="1:86" ht="16.8" x14ac:dyDescent="0.4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</row>
    <row r="218" spans="1:86" ht="16.8" x14ac:dyDescent="0.4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</row>
    <row r="219" spans="1:86" ht="16.8" x14ac:dyDescent="0.4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</row>
    <row r="220" spans="1:86" ht="16.8" x14ac:dyDescent="0.4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</row>
    <row r="221" spans="1:86" ht="16.8" x14ac:dyDescent="0.4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</row>
    <row r="222" spans="1:86" ht="16.8" x14ac:dyDescent="0.4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</row>
    <row r="223" spans="1:86" ht="16.8" x14ac:dyDescent="0.4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</row>
    <row r="224" spans="1:86" ht="16.8" x14ac:dyDescent="0.4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</row>
    <row r="225" spans="1:86" ht="16.8" x14ac:dyDescent="0.4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</row>
    <row r="226" spans="1:86" ht="16.8" x14ac:dyDescent="0.4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</row>
    <row r="227" spans="1:86" ht="16.8" x14ac:dyDescent="0.4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</row>
    <row r="228" spans="1:86" ht="16.8" x14ac:dyDescent="0.4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</row>
    <row r="229" spans="1:86" ht="16.8" x14ac:dyDescent="0.4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</row>
    <row r="230" spans="1:86" ht="16.8" x14ac:dyDescent="0.4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</row>
    <row r="231" spans="1:86" ht="16.8" x14ac:dyDescent="0.4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</row>
    <row r="232" spans="1:86" ht="16.8" x14ac:dyDescent="0.4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</row>
    <row r="233" spans="1:86" ht="16.8" x14ac:dyDescent="0.4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</row>
    <row r="234" spans="1:86" ht="16.8" x14ac:dyDescent="0.4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</row>
    <row r="235" spans="1:86" ht="16.8" x14ac:dyDescent="0.4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</row>
    <row r="236" spans="1:86" ht="16.8" x14ac:dyDescent="0.4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</row>
    <row r="237" spans="1:86" ht="16.8" x14ac:dyDescent="0.4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</row>
    <row r="238" spans="1:86" ht="16.8" x14ac:dyDescent="0.4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</row>
    <row r="239" spans="1:86" ht="16.8" x14ac:dyDescent="0.4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</row>
    <row r="240" spans="1:86" ht="16.8" x14ac:dyDescent="0.4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</row>
    <row r="241" spans="1:86" ht="16.8" x14ac:dyDescent="0.4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</row>
    <row r="242" spans="1:86" ht="16.8" x14ac:dyDescent="0.4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</row>
    <row r="243" spans="1:86" ht="16.8" x14ac:dyDescent="0.4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</row>
    <row r="244" spans="1:86" ht="16.8" x14ac:dyDescent="0.4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</row>
    <row r="245" spans="1:86" ht="16.8" x14ac:dyDescent="0.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</row>
    <row r="246" spans="1:86" ht="16.8" x14ac:dyDescent="0.4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</row>
    <row r="247" spans="1:86" ht="16.8" x14ac:dyDescent="0.4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</row>
    <row r="248" spans="1:86" ht="16.8" x14ac:dyDescent="0.4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</row>
    <row r="249" spans="1:86" ht="16.8" x14ac:dyDescent="0.4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</row>
    <row r="250" spans="1:86" ht="16.8" x14ac:dyDescent="0.4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</row>
    <row r="251" spans="1:86" ht="16.8" x14ac:dyDescent="0.4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</row>
    <row r="252" spans="1:86" ht="16.8" x14ac:dyDescent="0.4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</row>
    <row r="253" spans="1:86" ht="16.8" x14ac:dyDescent="0.4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</row>
    <row r="254" spans="1:86" ht="16.8" x14ac:dyDescent="0.4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</row>
    <row r="255" spans="1:86" ht="16.8" x14ac:dyDescent="0.4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</row>
    <row r="256" spans="1:86" ht="16.8" x14ac:dyDescent="0.4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</row>
    <row r="257" spans="1:86" ht="16.8" x14ac:dyDescent="0.4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</row>
    <row r="258" spans="1:86" ht="16.8" x14ac:dyDescent="0.4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</row>
    <row r="259" spans="1:86" ht="16.8" x14ac:dyDescent="0.4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</row>
    <row r="260" spans="1:86" ht="16.8" x14ac:dyDescent="0.4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</row>
    <row r="261" spans="1:86" ht="16.8" x14ac:dyDescent="0.4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</row>
    <row r="262" spans="1:86" ht="16.8" x14ac:dyDescent="0.4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</row>
    <row r="263" spans="1:86" ht="16.8" x14ac:dyDescent="0.4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</row>
    <row r="264" spans="1:86" ht="16.8" x14ac:dyDescent="0.4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</row>
    <row r="265" spans="1:86" ht="16.8" x14ac:dyDescent="0.4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</row>
    <row r="266" spans="1:86" ht="16.8" x14ac:dyDescent="0.4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</row>
    <row r="267" spans="1:86" ht="16.8" x14ac:dyDescent="0.4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</row>
    <row r="268" spans="1:86" ht="16.8" x14ac:dyDescent="0.4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</row>
    <row r="269" spans="1:86" ht="16.8" x14ac:dyDescent="0.4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</row>
    <row r="270" spans="1:86" ht="16.8" x14ac:dyDescent="0.4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</row>
    <row r="271" spans="1:86" ht="16.8" x14ac:dyDescent="0.4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</row>
    <row r="272" spans="1:86" ht="16.8" x14ac:dyDescent="0.4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</row>
    <row r="273" spans="1:86" ht="16.8" x14ac:dyDescent="0.4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</row>
    <row r="274" spans="1:86" ht="16.8" x14ac:dyDescent="0.4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</row>
    <row r="275" spans="1:86" ht="16.8" x14ac:dyDescent="0.4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</row>
    <row r="276" spans="1:86" ht="16.8" x14ac:dyDescent="0.4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</row>
    <row r="277" spans="1:86" ht="16.8" x14ac:dyDescent="0.4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</row>
    <row r="278" spans="1:86" ht="16.8" x14ac:dyDescent="0.4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</row>
    <row r="279" spans="1:86" ht="16.8" x14ac:dyDescent="0.4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</row>
    <row r="280" spans="1:86" ht="16.8" x14ac:dyDescent="0.4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</row>
    <row r="281" spans="1:86" ht="16.8" x14ac:dyDescent="0.4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</row>
    <row r="282" spans="1:86" ht="16.8" x14ac:dyDescent="0.4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</row>
    <row r="283" spans="1:86" ht="16.8" x14ac:dyDescent="0.4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</row>
    <row r="284" spans="1:86" ht="16.8" x14ac:dyDescent="0.4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</row>
    <row r="285" spans="1:86" ht="16.8" x14ac:dyDescent="0.4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</row>
    <row r="286" spans="1:86" ht="16.8" x14ac:dyDescent="0.4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</row>
    <row r="287" spans="1:86" ht="16.8" x14ac:dyDescent="0.4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</row>
    <row r="288" spans="1:86" ht="16.8" x14ac:dyDescent="0.4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</row>
    <row r="289" spans="1:86" ht="16.8" x14ac:dyDescent="0.4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</row>
    <row r="290" spans="1:86" ht="16.8" x14ac:dyDescent="0.4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</row>
    <row r="291" spans="1:86" ht="16.8" x14ac:dyDescent="0.4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</row>
    <row r="292" spans="1:86" ht="16.8" x14ac:dyDescent="0.4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</row>
    <row r="293" spans="1:86" ht="16.8" x14ac:dyDescent="0.4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</row>
    <row r="294" spans="1:86" ht="16.8" x14ac:dyDescent="0.4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</row>
    <row r="295" spans="1:86" ht="16.8" x14ac:dyDescent="0.4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</row>
    <row r="296" spans="1:86" ht="16.8" x14ac:dyDescent="0.4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</row>
    <row r="297" spans="1:86" ht="16.8" x14ac:dyDescent="0.4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</row>
    <row r="298" spans="1:86" ht="16.8" x14ac:dyDescent="0.4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</row>
    <row r="299" spans="1:86" ht="16.8" x14ac:dyDescent="0.4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</row>
    <row r="300" spans="1:86" ht="16.8" x14ac:dyDescent="0.4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</row>
    <row r="301" spans="1:86" ht="16.8" x14ac:dyDescent="0.4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</row>
    <row r="302" spans="1:86" ht="16.8" x14ac:dyDescent="0.4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</row>
    <row r="303" spans="1:86" ht="16.8" x14ac:dyDescent="0.4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</row>
    <row r="304" spans="1:86" ht="16.8" x14ac:dyDescent="0.4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</row>
    <row r="305" spans="1:86" ht="16.8" x14ac:dyDescent="0.4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</row>
    <row r="306" spans="1:86" ht="16.8" x14ac:dyDescent="0.4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</row>
    <row r="307" spans="1:86" ht="16.8" x14ac:dyDescent="0.4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</row>
    <row r="308" spans="1:86" ht="16.8" x14ac:dyDescent="0.4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</row>
    <row r="309" spans="1:86" ht="16.8" x14ac:dyDescent="0.4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</row>
    <row r="310" spans="1:86" ht="16.8" x14ac:dyDescent="0.4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</row>
    <row r="311" spans="1:86" ht="16.8" x14ac:dyDescent="0.4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</row>
    <row r="312" spans="1:86" ht="16.8" x14ac:dyDescent="0.4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</row>
    <row r="313" spans="1:86" ht="16.8" x14ac:dyDescent="0.4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</row>
    <row r="314" spans="1:86" ht="16.8" x14ac:dyDescent="0.4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</row>
    <row r="315" spans="1:86" ht="16.8" x14ac:dyDescent="0.4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</row>
    <row r="316" spans="1:86" ht="16.8" x14ac:dyDescent="0.4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</row>
    <row r="317" spans="1:86" ht="16.8" x14ac:dyDescent="0.4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</row>
    <row r="318" spans="1:86" ht="16.8" x14ac:dyDescent="0.4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</row>
    <row r="319" spans="1:86" ht="16.8" x14ac:dyDescent="0.4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</row>
    <row r="320" spans="1:86" ht="16.8" x14ac:dyDescent="0.4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</row>
    <row r="321" spans="1:86" ht="16.8" x14ac:dyDescent="0.4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</row>
    <row r="322" spans="1:86" ht="16.8" x14ac:dyDescent="0.4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</row>
    <row r="323" spans="1:86" ht="16.8" x14ac:dyDescent="0.4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</row>
    <row r="324" spans="1:86" ht="16.8" x14ac:dyDescent="0.4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</row>
    <row r="325" spans="1:86" ht="16.8" x14ac:dyDescent="0.4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</row>
    <row r="326" spans="1:86" ht="16.8" x14ac:dyDescent="0.4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</row>
    <row r="327" spans="1:86" ht="16.8" x14ac:dyDescent="0.4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</row>
    <row r="328" spans="1:86" ht="16.8" x14ac:dyDescent="0.4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</row>
    <row r="329" spans="1:86" ht="16.8" x14ac:dyDescent="0.4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</row>
    <row r="330" spans="1:86" ht="16.8" x14ac:dyDescent="0.4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</row>
    <row r="331" spans="1:86" ht="16.8" x14ac:dyDescent="0.4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</row>
    <row r="332" spans="1:86" ht="16.8" x14ac:dyDescent="0.4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</row>
    <row r="333" spans="1:86" ht="16.8" x14ac:dyDescent="0.4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</row>
    <row r="334" spans="1:86" ht="16.8" x14ac:dyDescent="0.4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</row>
    <row r="335" spans="1:86" ht="16.8" x14ac:dyDescent="0.4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</row>
    <row r="336" spans="1:86" ht="16.8" x14ac:dyDescent="0.4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</row>
    <row r="337" spans="1:86" ht="16.8" x14ac:dyDescent="0.4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</row>
    <row r="338" spans="1:86" ht="16.8" x14ac:dyDescent="0.4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</row>
    <row r="339" spans="1:86" ht="16.8" x14ac:dyDescent="0.4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</row>
    <row r="340" spans="1:86" ht="16.8" x14ac:dyDescent="0.4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</row>
    <row r="341" spans="1:86" ht="16.8" x14ac:dyDescent="0.4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</row>
    <row r="342" spans="1:86" ht="16.8" x14ac:dyDescent="0.4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</row>
    <row r="343" spans="1:86" ht="16.8" x14ac:dyDescent="0.4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</row>
    <row r="344" spans="1:86" ht="16.8" x14ac:dyDescent="0.4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</row>
    <row r="345" spans="1:86" ht="16.8" x14ac:dyDescent="0.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</row>
    <row r="346" spans="1:86" ht="16.8" x14ac:dyDescent="0.4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</row>
    <row r="347" spans="1:86" ht="16.8" x14ac:dyDescent="0.4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</row>
    <row r="348" spans="1:86" ht="16.8" x14ac:dyDescent="0.4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</row>
    <row r="349" spans="1:86" ht="16.8" x14ac:dyDescent="0.4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</row>
    <row r="350" spans="1:86" ht="16.8" x14ac:dyDescent="0.4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</row>
    <row r="351" spans="1:86" ht="16.8" x14ac:dyDescent="0.4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</row>
    <row r="352" spans="1:86" ht="16.8" x14ac:dyDescent="0.4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</row>
    <row r="353" spans="1:86" ht="16.8" x14ac:dyDescent="0.4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</row>
    <row r="354" spans="1:86" ht="16.8" x14ac:dyDescent="0.4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</row>
    <row r="355" spans="1:86" ht="16.8" x14ac:dyDescent="0.4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</row>
    <row r="356" spans="1:86" ht="16.8" x14ac:dyDescent="0.4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</row>
    <row r="357" spans="1:86" ht="16.8" x14ac:dyDescent="0.4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</row>
    <row r="358" spans="1:86" ht="16.8" x14ac:dyDescent="0.4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</row>
    <row r="359" spans="1:86" ht="16.8" x14ac:dyDescent="0.4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</row>
    <row r="360" spans="1:86" ht="16.8" x14ac:dyDescent="0.4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</row>
    <row r="361" spans="1:86" ht="16.8" x14ac:dyDescent="0.4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</row>
    <row r="362" spans="1:86" ht="16.8" x14ac:dyDescent="0.4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</row>
    <row r="363" spans="1:86" ht="16.8" x14ac:dyDescent="0.4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</row>
    <row r="364" spans="1:86" ht="16.8" x14ac:dyDescent="0.4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</row>
    <row r="365" spans="1:86" ht="16.8" x14ac:dyDescent="0.4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</row>
    <row r="366" spans="1:86" ht="16.8" x14ac:dyDescent="0.4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</row>
    <row r="367" spans="1:86" ht="16.8" x14ac:dyDescent="0.4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</row>
    <row r="368" spans="1:86" ht="16.8" x14ac:dyDescent="0.4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</row>
    <row r="369" spans="1:86" ht="16.8" x14ac:dyDescent="0.4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</row>
    <row r="370" spans="1:86" ht="16.8" x14ac:dyDescent="0.4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</row>
    <row r="371" spans="1:86" ht="16.8" x14ac:dyDescent="0.4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</row>
    <row r="372" spans="1:86" ht="16.8" x14ac:dyDescent="0.4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</row>
    <row r="373" spans="1:86" ht="16.8" x14ac:dyDescent="0.4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</row>
    <row r="374" spans="1:86" ht="16.8" x14ac:dyDescent="0.4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</row>
    <row r="375" spans="1:86" ht="16.8" x14ac:dyDescent="0.4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</row>
    <row r="376" spans="1:86" ht="16.8" x14ac:dyDescent="0.4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</row>
    <row r="377" spans="1:86" ht="16.8" x14ac:dyDescent="0.4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</row>
    <row r="378" spans="1:86" ht="16.8" x14ac:dyDescent="0.4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</row>
    <row r="379" spans="1:86" ht="16.8" x14ac:dyDescent="0.4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</row>
    <row r="380" spans="1:86" ht="16.8" x14ac:dyDescent="0.4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</row>
    <row r="381" spans="1:86" ht="16.8" x14ac:dyDescent="0.4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</row>
    <row r="382" spans="1:86" ht="16.8" x14ac:dyDescent="0.4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</row>
    <row r="383" spans="1:86" ht="16.8" x14ac:dyDescent="0.4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</row>
    <row r="384" spans="1:86" ht="16.8" x14ac:dyDescent="0.4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</row>
    <row r="385" spans="1:86" ht="16.8" x14ac:dyDescent="0.4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</row>
    <row r="386" spans="1:86" ht="16.8" x14ac:dyDescent="0.4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</row>
    <row r="387" spans="1:86" ht="16.8" x14ac:dyDescent="0.4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</row>
    <row r="388" spans="1:86" ht="16.8" x14ac:dyDescent="0.4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</row>
    <row r="389" spans="1:86" ht="16.8" x14ac:dyDescent="0.4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</row>
    <row r="390" spans="1:86" ht="16.8" x14ac:dyDescent="0.4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</row>
    <row r="391" spans="1:86" ht="16.8" x14ac:dyDescent="0.4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</row>
    <row r="392" spans="1:86" ht="16.8" x14ac:dyDescent="0.4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</row>
    <row r="393" spans="1:86" ht="16.8" x14ac:dyDescent="0.4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</row>
    <row r="394" spans="1:86" ht="16.8" x14ac:dyDescent="0.4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</row>
    <row r="395" spans="1:86" ht="16.8" x14ac:dyDescent="0.4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</row>
    <row r="396" spans="1:86" ht="16.8" x14ac:dyDescent="0.4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</row>
    <row r="397" spans="1:86" ht="16.8" x14ac:dyDescent="0.4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</row>
    <row r="398" spans="1:86" ht="16.8" x14ac:dyDescent="0.4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</row>
    <row r="399" spans="1:86" ht="16.8" x14ac:dyDescent="0.4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</row>
    <row r="400" spans="1:86" ht="16.8" x14ac:dyDescent="0.4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</row>
    <row r="401" spans="1:86" ht="16.8" x14ac:dyDescent="0.4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</row>
    <row r="402" spans="1:86" ht="16.8" x14ac:dyDescent="0.4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</row>
    <row r="403" spans="1:86" ht="16.8" x14ac:dyDescent="0.4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</row>
    <row r="404" spans="1:86" ht="16.8" x14ac:dyDescent="0.4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</row>
    <row r="405" spans="1:86" ht="16.8" x14ac:dyDescent="0.4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</row>
    <row r="406" spans="1:86" ht="16.8" x14ac:dyDescent="0.4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</row>
    <row r="407" spans="1:86" ht="16.8" x14ac:dyDescent="0.4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</row>
    <row r="408" spans="1:86" ht="16.8" x14ac:dyDescent="0.4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</row>
    <row r="409" spans="1:86" ht="16.8" x14ac:dyDescent="0.4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</row>
    <row r="410" spans="1:86" ht="16.8" x14ac:dyDescent="0.4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</row>
    <row r="411" spans="1:86" ht="16.8" x14ac:dyDescent="0.4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</row>
    <row r="412" spans="1:86" ht="16.8" x14ac:dyDescent="0.4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</row>
    <row r="413" spans="1:86" ht="16.8" x14ac:dyDescent="0.4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</row>
    <row r="414" spans="1:86" ht="16.8" x14ac:dyDescent="0.4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</row>
    <row r="415" spans="1:86" ht="16.8" x14ac:dyDescent="0.4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</row>
    <row r="416" spans="1:86" ht="16.8" x14ac:dyDescent="0.4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</row>
    <row r="417" spans="1:86" ht="16.8" x14ac:dyDescent="0.4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</row>
    <row r="418" spans="1:86" ht="16.8" x14ac:dyDescent="0.4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</row>
    <row r="419" spans="1:86" ht="16.8" x14ac:dyDescent="0.4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</row>
    <row r="420" spans="1:86" ht="16.8" x14ac:dyDescent="0.4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</row>
    <row r="421" spans="1:86" ht="16.8" x14ac:dyDescent="0.4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</row>
    <row r="422" spans="1:86" ht="16.8" x14ac:dyDescent="0.4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</row>
    <row r="423" spans="1:86" ht="16.8" x14ac:dyDescent="0.4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</row>
    <row r="424" spans="1:86" ht="16.8" x14ac:dyDescent="0.4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</row>
    <row r="425" spans="1:86" ht="16.8" x14ac:dyDescent="0.4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</row>
    <row r="426" spans="1:86" ht="16.8" x14ac:dyDescent="0.4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</row>
    <row r="427" spans="1:86" ht="16.8" x14ac:dyDescent="0.4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</row>
    <row r="428" spans="1:86" ht="16.8" x14ac:dyDescent="0.4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</row>
    <row r="429" spans="1:86" ht="16.8" x14ac:dyDescent="0.4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</row>
    <row r="430" spans="1:86" ht="16.8" x14ac:dyDescent="0.4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</row>
    <row r="431" spans="1:86" ht="16.8" x14ac:dyDescent="0.4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</row>
    <row r="432" spans="1:86" ht="16.8" x14ac:dyDescent="0.4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</row>
    <row r="433" spans="1:86" ht="16.8" x14ac:dyDescent="0.4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</row>
    <row r="434" spans="1:86" ht="16.8" x14ac:dyDescent="0.4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</row>
    <row r="435" spans="1:86" ht="16.8" x14ac:dyDescent="0.4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</row>
    <row r="436" spans="1:86" ht="16.8" x14ac:dyDescent="0.4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</row>
    <row r="437" spans="1:86" ht="16.8" x14ac:dyDescent="0.4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</row>
    <row r="438" spans="1:86" ht="16.8" x14ac:dyDescent="0.4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</row>
    <row r="439" spans="1:86" ht="16.8" x14ac:dyDescent="0.4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</row>
    <row r="440" spans="1:86" ht="16.8" x14ac:dyDescent="0.4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</row>
    <row r="441" spans="1:86" ht="16.8" x14ac:dyDescent="0.4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</row>
    <row r="442" spans="1:86" ht="16.8" x14ac:dyDescent="0.4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</row>
    <row r="443" spans="1:86" ht="16.8" x14ac:dyDescent="0.4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</row>
    <row r="444" spans="1:86" ht="16.8" x14ac:dyDescent="0.4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</row>
    <row r="445" spans="1:86" ht="16.8" x14ac:dyDescent="0.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</row>
    <row r="446" spans="1:86" ht="16.8" x14ac:dyDescent="0.4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</row>
    <row r="447" spans="1:86" ht="16.8" x14ac:dyDescent="0.4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</row>
    <row r="448" spans="1:86" ht="16.8" x14ac:dyDescent="0.4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</row>
    <row r="449" spans="1:86" ht="16.8" x14ac:dyDescent="0.4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</row>
    <row r="450" spans="1:86" ht="16.8" x14ac:dyDescent="0.4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</row>
    <row r="451" spans="1:86" ht="16.8" x14ac:dyDescent="0.4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</row>
    <row r="452" spans="1:86" ht="16.8" x14ac:dyDescent="0.4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</row>
    <row r="453" spans="1:86" ht="16.8" x14ac:dyDescent="0.4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</row>
    <row r="454" spans="1:86" ht="16.8" x14ac:dyDescent="0.4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</row>
    <row r="455" spans="1:86" ht="16.8" x14ac:dyDescent="0.4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</row>
    <row r="456" spans="1:86" ht="16.8" x14ac:dyDescent="0.4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</row>
    <row r="457" spans="1:86" ht="16.8" x14ac:dyDescent="0.4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</row>
    <row r="458" spans="1:86" ht="16.8" x14ac:dyDescent="0.4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</row>
    <row r="459" spans="1:86" ht="16.8" x14ac:dyDescent="0.4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</row>
    <row r="460" spans="1:86" ht="16.8" x14ac:dyDescent="0.4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</row>
    <row r="461" spans="1:86" ht="16.8" x14ac:dyDescent="0.4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</row>
    <row r="462" spans="1:86" ht="16.8" x14ac:dyDescent="0.4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</row>
    <row r="463" spans="1:86" ht="16.8" x14ac:dyDescent="0.4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</row>
    <row r="464" spans="1:86" ht="16.8" x14ac:dyDescent="0.4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</row>
    <row r="465" spans="1:86" ht="16.8" x14ac:dyDescent="0.4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</row>
    <row r="466" spans="1:86" ht="16.8" x14ac:dyDescent="0.4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</row>
    <row r="467" spans="1:86" ht="16.8" x14ac:dyDescent="0.4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</row>
    <row r="468" spans="1:86" ht="16.8" x14ac:dyDescent="0.4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</row>
    <row r="469" spans="1:86" ht="16.8" x14ac:dyDescent="0.4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</row>
    <row r="470" spans="1:86" ht="16.8" x14ac:dyDescent="0.4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</row>
    <row r="471" spans="1:86" ht="16.8" x14ac:dyDescent="0.4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</row>
    <row r="472" spans="1:86" ht="16.8" x14ac:dyDescent="0.4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</row>
    <row r="473" spans="1:86" ht="16.8" x14ac:dyDescent="0.4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</row>
    <row r="474" spans="1:86" ht="16.8" x14ac:dyDescent="0.4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</row>
    <row r="475" spans="1:86" ht="16.8" x14ac:dyDescent="0.4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</row>
    <row r="476" spans="1:86" ht="16.8" x14ac:dyDescent="0.4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</row>
    <row r="477" spans="1:86" ht="16.8" x14ac:dyDescent="0.4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</row>
    <row r="478" spans="1:86" ht="16.8" x14ac:dyDescent="0.4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</row>
    <row r="479" spans="1:86" ht="16.8" x14ac:dyDescent="0.4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</row>
    <row r="480" spans="1:86" ht="16.8" x14ac:dyDescent="0.4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</row>
    <row r="481" spans="1:86" ht="16.8" x14ac:dyDescent="0.4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</row>
    <row r="482" spans="1:86" ht="16.8" x14ac:dyDescent="0.4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</row>
    <row r="483" spans="1:86" ht="16.8" x14ac:dyDescent="0.4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</row>
    <row r="484" spans="1:86" ht="16.8" x14ac:dyDescent="0.4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</row>
    <row r="485" spans="1:86" ht="16.8" x14ac:dyDescent="0.4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</row>
    <row r="486" spans="1:86" ht="16.8" x14ac:dyDescent="0.4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</row>
    <row r="487" spans="1:86" ht="16.8" x14ac:dyDescent="0.4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</row>
    <row r="488" spans="1:86" ht="16.8" x14ac:dyDescent="0.4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</row>
    <row r="489" spans="1:86" ht="16.8" x14ac:dyDescent="0.4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</row>
    <row r="490" spans="1:86" ht="16.8" x14ac:dyDescent="0.4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</row>
    <row r="491" spans="1:86" ht="16.8" x14ac:dyDescent="0.4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</row>
    <row r="492" spans="1:86" ht="16.8" x14ac:dyDescent="0.4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</row>
    <row r="493" spans="1:86" ht="16.8" x14ac:dyDescent="0.4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</row>
    <row r="494" spans="1:86" ht="16.8" x14ac:dyDescent="0.4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</row>
    <row r="495" spans="1:86" ht="16.8" x14ac:dyDescent="0.4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</row>
    <row r="496" spans="1:86" ht="16.8" x14ac:dyDescent="0.4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</row>
    <row r="497" spans="1:86" ht="16.8" x14ac:dyDescent="0.4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</row>
    <row r="498" spans="1:86" ht="16.8" x14ac:dyDescent="0.4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</row>
    <row r="499" spans="1:86" ht="16.8" x14ac:dyDescent="0.4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</row>
    <row r="500" spans="1:86" ht="16.8" x14ac:dyDescent="0.4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</row>
    <row r="501" spans="1:86" ht="16.8" x14ac:dyDescent="0.4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</row>
    <row r="502" spans="1:86" ht="16.8" x14ac:dyDescent="0.4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</row>
    <row r="503" spans="1:86" ht="16.8" x14ac:dyDescent="0.4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</row>
    <row r="504" spans="1:86" ht="16.8" x14ac:dyDescent="0.4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</row>
    <row r="505" spans="1:86" ht="16.8" x14ac:dyDescent="0.4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</row>
    <row r="506" spans="1:86" ht="16.8" x14ac:dyDescent="0.4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</row>
    <row r="507" spans="1:86" ht="16.8" x14ac:dyDescent="0.4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</row>
    <row r="508" spans="1:86" ht="16.8" x14ac:dyDescent="0.4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</row>
    <row r="509" spans="1:86" ht="16.8" x14ac:dyDescent="0.4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</row>
    <row r="510" spans="1:86" ht="16.8" x14ac:dyDescent="0.4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</row>
    <row r="511" spans="1:86" ht="16.8" x14ac:dyDescent="0.4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</row>
    <row r="512" spans="1:86" ht="16.8" x14ac:dyDescent="0.4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</row>
    <row r="513" spans="1:86" ht="16.8" x14ac:dyDescent="0.4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</row>
    <row r="514" spans="1:86" ht="16.8" x14ac:dyDescent="0.4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</row>
    <row r="515" spans="1:86" ht="16.8" x14ac:dyDescent="0.4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</row>
    <row r="516" spans="1:86" ht="16.8" x14ac:dyDescent="0.4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</row>
    <row r="517" spans="1:86" ht="16.8" x14ac:dyDescent="0.4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</row>
    <row r="518" spans="1:86" ht="16.8" x14ac:dyDescent="0.4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</row>
    <row r="519" spans="1:86" ht="16.8" x14ac:dyDescent="0.4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</row>
    <row r="520" spans="1:86" ht="16.8" x14ac:dyDescent="0.4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</row>
    <row r="521" spans="1:86" ht="16.8" x14ac:dyDescent="0.4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</row>
    <row r="522" spans="1:86" ht="16.8" x14ac:dyDescent="0.4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</row>
    <row r="523" spans="1:86" ht="16.8" x14ac:dyDescent="0.4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</row>
    <row r="524" spans="1:86" ht="16.8" x14ac:dyDescent="0.4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</row>
    <row r="525" spans="1:86" ht="16.8" x14ac:dyDescent="0.4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</row>
    <row r="526" spans="1:86" ht="16.8" x14ac:dyDescent="0.4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</row>
    <row r="527" spans="1:86" ht="16.8" x14ac:dyDescent="0.4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</row>
    <row r="528" spans="1:86" ht="16.8" x14ac:dyDescent="0.4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</row>
    <row r="529" spans="1:86" ht="16.8" x14ac:dyDescent="0.4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</row>
    <row r="530" spans="1:86" ht="16.8" x14ac:dyDescent="0.4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</row>
    <row r="531" spans="1:86" ht="16.8" x14ac:dyDescent="0.4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</row>
    <row r="532" spans="1:86" ht="16.8" x14ac:dyDescent="0.4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</row>
    <row r="533" spans="1:86" ht="16.8" x14ac:dyDescent="0.4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</row>
    <row r="534" spans="1:86" ht="16.8" x14ac:dyDescent="0.4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</row>
    <row r="535" spans="1:86" ht="16.8" x14ac:dyDescent="0.4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</row>
    <row r="536" spans="1:86" ht="16.8" x14ac:dyDescent="0.4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</row>
    <row r="537" spans="1:86" ht="16.8" x14ac:dyDescent="0.4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</row>
    <row r="538" spans="1:86" ht="16.8" x14ac:dyDescent="0.4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</row>
    <row r="539" spans="1:86" ht="16.8" x14ac:dyDescent="0.4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</row>
    <row r="540" spans="1:86" ht="16.8" x14ac:dyDescent="0.4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</row>
    <row r="541" spans="1:86" ht="16.8" x14ac:dyDescent="0.4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</row>
    <row r="542" spans="1:86" ht="16.8" x14ac:dyDescent="0.4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</row>
    <row r="543" spans="1:86" ht="16.8" x14ac:dyDescent="0.4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</row>
    <row r="544" spans="1:86" ht="16.8" x14ac:dyDescent="0.4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</row>
    <row r="545" spans="1:86" ht="16.8" x14ac:dyDescent="0.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</row>
    <row r="546" spans="1:86" ht="16.8" x14ac:dyDescent="0.4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</row>
    <row r="547" spans="1:86" ht="16.8" x14ac:dyDescent="0.4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</row>
    <row r="548" spans="1:86" ht="16.8" x14ac:dyDescent="0.4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</row>
    <row r="549" spans="1:86" ht="16.8" x14ac:dyDescent="0.4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</row>
    <row r="550" spans="1:86" ht="16.8" x14ac:dyDescent="0.4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</row>
    <row r="551" spans="1:86" ht="16.8" x14ac:dyDescent="0.4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</row>
    <row r="552" spans="1:86" ht="16.8" x14ac:dyDescent="0.4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6"/>
    </row>
    <row r="553" spans="1:86" ht="16.8" x14ac:dyDescent="0.4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</row>
    <row r="554" spans="1:86" ht="16.8" x14ac:dyDescent="0.4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</row>
    <row r="555" spans="1:86" ht="16.8" x14ac:dyDescent="0.4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</row>
    <row r="556" spans="1:86" ht="16.8" x14ac:dyDescent="0.4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</row>
    <row r="557" spans="1:86" ht="16.8" x14ac:dyDescent="0.4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</row>
    <row r="558" spans="1:86" ht="16.8" x14ac:dyDescent="0.4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</row>
    <row r="559" spans="1:86" ht="16.8" x14ac:dyDescent="0.4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</row>
    <row r="560" spans="1:86" ht="16.8" x14ac:dyDescent="0.4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</row>
    <row r="561" spans="1:86" ht="16.8" x14ac:dyDescent="0.4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6"/>
    </row>
    <row r="562" spans="1:86" ht="16.8" x14ac:dyDescent="0.4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</row>
    <row r="563" spans="1:86" ht="16.8" x14ac:dyDescent="0.4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6"/>
    </row>
    <row r="564" spans="1:86" ht="16.8" x14ac:dyDescent="0.4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</row>
    <row r="565" spans="1:86" ht="16.8" x14ac:dyDescent="0.4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</row>
    <row r="566" spans="1:86" ht="16.8" x14ac:dyDescent="0.4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6"/>
    </row>
    <row r="567" spans="1:86" ht="16.8" x14ac:dyDescent="0.4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</row>
    <row r="568" spans="1:86" ht="16.8" x14ac:dyDescent="0.4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</row>
    <row r="569" spans="1:86" ht="16.8" x14ac:dyDescent="0.4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6"/>
    </row>
    <row r="570" spans="1:86" ht="16.8" x14ac:dyDescent="0.4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</row>
    <row r="571" spans="1:86" ht="16.8" x14ac:dyDescent="0.4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6"/>
    </row>
    <row r="572" spans="1:86" ht="16.8" x14ac:dyDescent="0.4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6"/>
    </row>
    <row r="573" spans="1:86" ht="16.8" x14ac:dyDescent="0.4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6"/>
    </row>
    <row r="574" spans="1:86" ht="16.8" x14ac:dyDescent="0.4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</row>
    <row r="575" spans="1:86" ht="16.8" x14ac:dyDescent="0.4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6"/>
    </row>
    <row r="576" spans="1:86" ht="16.8" x14ac:dyDescent="0.4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</row>
    <row r="577" spans="1:86" ht="16.8" x14ac:dyDescent="0.4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  <c r="CC577" s="6"/>
      <c r="CD577" s="6"/>
      <c r="CE577" s="6"/>
      <c r="CF577" s="6"/>
      <c r="CG577" s="6"/>
      <c r="CH577" s="6"/>
    </row>
    <row r="578" spans="1:86" ht="16.8" x14ac:dyDescent="0.4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</row>
    <row r="579" spans="1:86" ht="16.8" x14ac:dyDescent="0.4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</row>
    <row r="580" spans="1:86" ht="16.8" x14ac:dyDescent="0.4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6"/>
    </row>
    <row r="581" spans="1:86" ht="16.8" x14ac:dyDescent="0.4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</row>
    <row r="582" spans="1:86" ht="16.8" x14ac:dyDescent="0.4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  <c r="CC582" s="6"/>
      <c r="CD582" s="6"/>
      <c r="CE582" s="6"/>
      <c r="CF582" s="6"/>
      <c r="CG582" s="6"/>
      <c r="CH582" s="6"/>
    </row>
    <row r="583" spans="1:86" ht="16.8" x14ac:dyDescent="0.4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6"/>
      <c r="CC583" s="6"/>
      <c r="CD583" s="6"/>
      <c r="CE583" s="6"/>
      <c r="CF583" s="6"/>
      <c r="CG583" s="6"/>
      <c r="CH583" s="6"/>
    </row>
    <row r="584" spans="1:86" ht="16.8" x14ac:dyDescent="0.4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6"/>
    </row>
    <row r="585" spans="1:86" ht="16.8" x14ac:dyDescent="0.4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6"/>
    </row>
    <row r="586" spans="1:86" ht="16.8" x14ac:dyDescent="0.4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</row>
    <row r="587" spans="1:86" ht="16.8" x14ac:dyDescent="0.4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6"/>
    </row>
    <row r="588" spans="1:86" ht="16.8" x14ac:dyDescent="0.4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6"/>
    </row>
    <row r="589" spans="1:86" ht="16.8" x14ac:dyDescent="0.4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A589" s="6"/>
      <c r="CB589" s="6"/>
      <c r="CC589" s="6"/>
      <c r="CD589" s="6"/>
      <c r="CE589" s="6"/>
      <c r="CF589" s="6"/>
      <c r="CG589" s="6"/>
      <c r="CH589" s="6"/>
    </row>
    <row r="590" spans="1:86" ht="16.8" x14ac:dyDescent="0.4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6"/>
    </row>
    <row r="591" spans="1:86" ht="16.8" x14ac:dyDescent="0.4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</row>
    <row r="592" spans="1:86" ht="16.8" x14ac:dyDescent="0.4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A592" s="6"/>
      <c r="CB592" s="6"/>
      <c r="CC592" s="6"/>
      <c r="CD592" s="6"/>
      <c r="CE592" s="6"/>
      <c r="CF592" s="6"/>
      <c r="CG592" s="6"/>
      <c r="CH592" s="6"/>
    </row>
    <row r="593" spans="1:86" ht="16.8" x14ac:dyDescent="0.4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A593" s="6"/>
      <c r="CB593" s="6"/>
      <c r="CC593" s="6"/>
      <c r="CD593" s="6"/>
      <c r="CE593" s="6"/>
      <c r="CF593" s="6"/>
      <c r="CG593" s="6"/>
      <c r="CH593" s="6"/>
    </row>
    <row r="594" spans="1:86" ht="16.8" x14ac:dyDescent="0.4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6"/>
      <c r="CA594" s="6"/>
      <c r="CB594" s="6"/>
      <c r="CC594" s="6"/>
      <c r="CD594" s="6"/>
      <c r="CE594" s="6"/>
      <c r="CF594" s="6"/>
      <c r="CG594" s="6"/>
      <c r="CH594" s="6"/>
    </row>
    <row r="595" spans="1:86" ht="16.8" x14ac:dyDescent="0.4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A595" s="6"/>
      <c r="CB595" s="6"/>
      <c r="CC595" s="6"/>
      <c r="CD595" s="6"/>
      <c r="CE595" s="6"/>
      <c r="CF595" s="6"/>
      <c r="CG595" s="6"/>
      <c r="CH595" s="6"/>
    </row>
    <row r="596" spans="1:86" ht="16.8" x14ac:dyDescent="0.4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  <c r="CA596" s="6"/>
      <c r="CB596" s="6"/>
      <c r="CC596" s="6"/>
      <c r="CD596" s="6"/>
      <c r="CE596" s="6"/>
      <c r="CF596" s="6"/>
      <c r="CG596" s="6"/>
      <c r="CH596" s="6"/>
    </row>
    <row r="597" spans="1:86" ht="16.8" x14ac:dyDescent="0.4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A597" s="6"/>
      <c r="CB597" s="6"/>
      <c r="CC597" s="6"/>
      <c r="CD597" s="6"/>
      <c r="CE597" s="6"/>
      <c r="CF597" s="6"/>
      <c r="CG597" s="6"/>
      <c r="CH597" s="6"/>
    </row>
    <row r="598" spans="1:86" ht="16.8" x14ac:dyDescent="0.4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6"/>
    </row>
    <row r="599" spans="1:86" ht="16.8" x14ac:dyDescent="0.4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  <c r="CB599" s="6"/>
      <c r="CC599" s="6"/>
      <c r="CD599" s="6"/>
      <c r="CE599" s="6"/>
      <c r="CF599" s="6"/>
      <c r="CG599" s="6"/>
      <c r="CH599" s="6"/>
    </row>
    <row r="600" spans="1:86" ht="16.8" x14ac:dyDescent="0.4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A600" s="6"/>
      <c r="CB600" s="6"/>
      <c r="CC600" s="6"/>
      <c r="CD600" s="6"/>
      <c r="CE600" s="6"/>
      <c r="CF600" s="6"/>
      <c r="CG600" s="6"/>
      <c r="CH600" s="6"/>
    </row>
    <row r="601" spans="1:86" ht="16.8" x14ac:dyDescent="0.4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/>
      <c r="CC601" s="6"/>
      <c r="CD601" s="6"/>
      <c r="CE601" s="6"/>
      <c r="CF601" s="6"/>
      <c r="CG601" s="6"/>
      <c r="CH601" s="6"/>
    </row>
    <row r="602" spans="1:86" ht="16.8" x14ac:dyDescent="0.4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/>
      <c r="CH602" s="6"/>
    </row>
    <row r="603" spans="1:86" ht="16.8" x14ac:dyDescent="0.4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  <c r="CC603" s="6"/>
      <c r="CD603" s="6"/>
      <c r="CE603" s="6"/>
      <c r="CF603" s="6"/>
      <c r="CG603" s="6"/>
      <c r="CH603" s="6"/>
    </row>
    <row r="604" spans="1:86" ht="16.8" x14ac:dyDescent="0.4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  <c r="CB604" s="6"/>
      <c r="CC604" s="6"/>
      <c r="CD604" s="6"/>
      <c r="CE604" s="6"/>
      <c r="CF604" s="6"/>
      <c r="CG604" s="6"/>
      <c r="CH604" s="6"/>
    </row>
    <row r="605" spans="1:86" ht="16.8" x14ac:dyDescent="0.4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6"/>
    </row>
    <row r="606" spans="1:86" ht="16.8" x14ac:dyDescent="0.4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6"/>
      <c r="CB606" s="6"/>
      <c r="CC606" s="6"/>
      <c r="CD606" s="6"/>
      <c r="CE606" s="6"/>
      <c r="CF606" s="6"/>
      <c r="CG606" s="6"/>
      <c r="CH606" s="6"/>
    </row>
    <row r="607" spans="1:86" ht="16.8" x14ac:dyDescent="0.4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</row>
    <row r="608" spans="1:86" ht="16.8" x14ac:dyDescent="0.4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/>
      <c r="CC608" s="6"/>
      <c r="CD608" s="6"/>
      <c r="CE608" s="6"/>
      <c r="CF608" s="6"/>
      <c r="CG608" s="6"/>
      <c r="CH608" s="6"/>
    </row>
    <row r="609" spans="1:86" ht="16.8" x14ac:dyDescent="0.4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6"/>
    </row>
    <row r="610" spans="1:86" ht="16.8" x14ac:dyDescent="0.4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  <c r="CB610" s="6"/>
      <c r="CC610" s="6"/>
      <c r="CD610" s="6"/>
      <c r="CE610" s="6"/>
      <c r="CF610" s="6"/>
      <c r="CG610" s="6"/>
      <c r="CH610" s="6"/>
    </row>
    <row r="611" spans="1:86" ht="16.8" x14ac:dyDescent="0.4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/>
      <c r="CC611" s="6"/>
      <c r="CD611" s="6"/>
      <c r="CE611" s="6"/>
      <c r="CF611" s="6"/>
      <c r="CG611" s="6"/>
      <c r="CH611" s="6"/>
    </row>
    <row r="612" spans="1:86" ht="16.8" x14ac:dyDescent="0.4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  <c r="CC612" s="6"/>
      <c r="CD612" s="6"/>
      <c r="CE612" s="6"/>
      <c r="CF612" s="6"/>
      <c r="CG612" s="6"/>
      <c r="CH612" s="6"/>
    </row>
    <row r="613" spans="1:86" ht="16.8" x14ac:dyDescent="0.4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6"/>
    </row>
    <row r="614" spans="1:86" ht="16.8" x14ac:dyDescent="0.4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  <c r="CC614" s="6"/>
      <c r="CD614" s="6"/>
      <c r="CE614" s="6"/>
      <c r="CF614" s="6"/>
      <c r="CG614" s="6"/>
      <c r="CH614" s="6"/>
    </row>
    <row r="615" spans="1:86" ht="16.8" x14ac:dyDescent="0.4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/>
      <c r="CC615" s="6"/>
      <c r="CD615" s="6"/>
      <c r="CE615" s="6"/>
      <c r="CF615" s="6"/>
      <c r="CG615" s="6"/>
      <c r="CH615" s="6"/>
    </row>
    <row r="616" spans="1:86" ht="16.8" x14ac:dyDescent="0.4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  <c r="CA616" s="6"/>
      <c r="CB616" s="6"/>
      <c r="CC616" s="6"/>
      <c r="CD616" s="6"/>
      <c r="CE616" s="6"/>
      <c r="CF616" s="6"/>
      <c r="CG616" s="6"/>
      <c r="CH616" s="6"/>
    </row>
    <row r="617" spans="1:86" ht="16.8" x14ac:dyDescent="0.4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A617" s="6"/>
      <c r="CB617" s="6"/>
      <c r="CC617" s="6"/>
      <c r="CD617" s="6"/>
      <c r="CE617" s="6"/>
      <c r="CF617" s="6"/>
      <c r="CG617" s="6"/>
      <c r="CH617" s="6"/>
    </row>
    <row r="618" spans="1:86" ht="16.8" x14ac:dyDescent="0.4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A618" s="6"/>
      <c r="CB618" s="6"/>
      <c r="CC618" s="6"/>
      <c r="CD618" s="6"/>
      <c r="CE618" s="6"/>
      <c r="CF618" s="6"/>
      <c r="CG618" s="6"/>
      <c r="CH618" s="6"/>
    </row>
    <row r="619" spans="1:86" ht="16.8" x14ac:dyDescent="0.4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6"/>
      <c r="CA619" s="6"/>
      <c r="CB619" s="6"/>
      <c r="CC619" s="6"/>
      <c r="CD619" s="6"/>
      <c r="CE619" s="6"/>
      <c r="CF619" s="6"/>
      <c r="CG619" s="6"/>
      <c r="CH619" s="6"/>
    </row>
    <row r="620" spans="1:86" ht="16.8" x14ac:dyDescent="0.4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  <c r="CA620" s="6"/>
      <c r="CB620" s="6"/>
      <c r="CC620" s="6"/>
      <c r="CD620" s="6"/>
      <c r="CE620" s="6"/>
      <c r="CF620" s="6"/>
      <c r="CG620" s="6"/>
      <c r="CH620" s="6"/>
    </row>
    <row r="621" spans="1:86" ht="16.8" x14ac:dyDescent="0.4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  <c r="CA621" s="6"/>
      <c r="CB621" s="6"/>
      <c r="CC621" s="6"/>
      <c r="CD621" s="6"/>
      <c r="CE621" s="6"/>
      <c r="CF621" s="6"/>
      <c r="CG621" s="6"/>
      <c r="CH621" s="6"/>
    </row>
    <row r="622" spans="1:86" ht="16.8" x14ac:dyDescent="0.4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A622" s="6"/>
      <c r="CB622" s="6"/>
      <c r="CC622" s="6"/>
      <c r="CD622" s="6"/>
      <c r="CE622" s="6"/>
      <c r="CF622" s="6"/>
      <c r="CG622" s="6"/>
      <c r="CH622" s="6"/>
    </row>
    <row r="623" spans="1:86" ht="16.8" x14ac:dyDescent="0.4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6"/>
      <c r="CA623" s="6"/>
      <c r="CB623" s="6"/>
      <c r="CC623" s="6"/>
      <c r="CD623" s="6"/>
      <c r="CE623" s="6"/>
      <c r="CF623" s="6"/>
      <c r="CG623" s="6"/>
      <c r="CH623" s="6"/>
    </row>
    <row r="624" spans="1:86" ht="16.8" x14ac:dyDescent="0.4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A624" s="6"/>
      <c r="CB624" s="6"/>
      <c r="CC624" s="6"/>
      <c r="CD624" s="6"/>
      <c r="CE624" s="6"/>
      <c r="CF624" s="6"/>
      <c r="CG624" s="6"/>
      <c r="CH624" s="6"/>
    </row>
    <row r="625" spans="1:86" ht="16.8" x14ac:dyDescent="0.4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  <c r="CA625" s="6"/>
      <c r="CB625" s="6"/>
      <c r="CC625" s="6"/>
      <c r="CD625" s="6"/>
      <c r="CE625" s="6"/>
      <c r="CF625" s="6"/>
      <c r="CG625" s="6"/>
      <c r="CH625" s="6"/>
    </row>
    <row r="626" spans="1:86" ht="16.8" x14ac:dyDescent="0.4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  <c r="CA626" s="6"/>
      <c r="CB626" s="6"/>
      <c r="CC626" s="6"/>
      <c r="CD626" s="6"/>
      <c r="CE626" s="6"/>
      <c r="CF626" s="6"/>
      <c r="CG626" s="6"/>
      <c r="CH626" s="6"/>
    </row>
    <row r="627" spans="1:86" ht="16.8" x14ac:dyDescent="0.4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  <c r="CA627" s="6"/>
      <c r="CB627" s="6"/>
      <c r="CC627" s="6"/>
      <c r="CD627" s="6"/>
      <c r="CE627" s="6"/>
      <c r="CF627" s="6"/>
      <c r="CG627" s="6"/>
      <c r="CH627" s="6"/>
    </row>
    <row r="628" spans="1:86" ht="16.8" x14ac:dyDescent="0.4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6"/>
      <c r="CA628" s="6"/>
      <c r="CB628" s="6"/>
      <c r="CC628" s="6"/>
      <c r="CD628" s="6"/>
      <c r="CE628" s="6"/>
      <c r="CF628" s="6"/>
      <c r="CG628" s="6"/>
      <c r="CH628" s="6"/>
    </row>
    <row r="629" spans="1:86" ht="16.8" x14ac:dyDescent="0.4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A629" s="6"/>
      <c r="CB629" s="6"/>
      <c r="CC629" s="6"/>
      <c r="CD629" s="6"/>
      <c r="CE629" s="6"/>
      <c r="CF629" s="6"/>
      <c r="CG629" s="6"/>
      <c r="CH629" s="6"/>
    </row>
    <row r="630" spans="1:86" ht="16.8" x14ac:dyDescent="0.4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6"/>
      <c r="CA630" s="6"/>
      <c r="CB630" s="6"/>
      <c r="CC630" s="6"/>
      <c r="CD630" s="6"/>
      <c r="CE630" s="6"/>
      <c r="CF630" s="6"/>
      <c r="CG630" s="6"/>
      <c r="CH630" s="6"/>
    </row>
    <row r="631" spans="1:86" ht="16.8" x14ac:dyDescent="0.4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A631" s="6"/>
      <c r="CB631" s="6"/>
      <c r="CC631" s="6"/>
      <c r="CD631" s="6"/>
      <c r="CE631" s="6"/>
      <c r="CF631" s="6"/>
      <c r="CG631" s="6"/>
      <c r="CH631" s="6"/>
    </row>
    <row r="632" spans="1:86" ht="16.8" x14ac:dyDescent="0.4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6"/>
      <c r="CA632" s="6"/>
      <c r="CB632" s="6"/>
      <c r="CC632" s="6"/>
      <c r="CD632" s="6"/>
      <c r="CE632" s="6"/>
      <c r="CF632" s="6"/>
      <c r="CG632" s="6"/>
      <c r="CH632" s="6"/>
    </row>
    <row r="633" spans="1:86" ht="16.8" x14ac:dyDescent="0.4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  <c r="BZ633" s="6"/>
      <c r="CA633" s="6"/>
      <c r="CB633" s="6"/>
      <c r="CC633" s="6"/>
      <c r="CD633" s="6"/>
      <c r="CE633" s="6"/>
      <c r="CF633" s="6"/>
      <c r="CG633" s="6"/>
      <c r="CH633" s="6"/>
    </row>
    <row r="634" spans="1:86" ht="16.8" x14ac:dyDescent="0.4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A634" s="6"/>
      <c r="CB634" s="6"/>
      <c r="CC634" s="6"/>
      <c r="CD634" s="6"/>
      <c r="CE634" s="6"/>
      <c r="CF634" s="6"/>
      <c r="CG634" s="6"/>
      <c r="CH634" s="6"/>
    </row>
    <row r="635" spans="1:86" ht="16.8" x14ac:dyDescent="0.4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  <c r="CA635" s="6"/>
      <c r="CB635" s="6"/>
      <c r="CC635" s="6"/>
      <c r="CD635" s="6"/>
      <c r="CE635" s="6"/>
      <c r="CF635" s="6"/>
      <c r="CG635" s="6"/>
      <c r="CH635" s="6"/>
    </row>
    <row r="636" spans="1:86" ht="16.8" x14ac:dyDescent="0.4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6"/>
      <c r="CA636" s="6"/>
      <c r="CB636" s="6"/>
      <c r="CC636" s="6"/>
      <c r="CD636" s="6"/>
      <c r="CE636" s="6"/>
      <c r="CF636" s="6"/>
      <c r="CG636" s="6"/>
      <c r="CH636" s="6"/>
    </row>
    <row r="637" spans="1:86" ht="16.8" x14ac:dyDescent="0.4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A637" s="6"/>
      <c r="CB637" s="6"/>
      <c r="CC637" s="6"/>
      <c r="CD637" s="6"/>
      <c r="CE637" s="6"/>
      <c r="CF637" s="6"/>
      <c r="CG637" s="6"/>
      <c r="CH637" s="6"/>
    </row>
    <row r="638" spans="1:86" ht="16.8" x14ac:dyDescent="0.4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  <c r="CA638" s="6"/>
      <c r="CB638" s="6"/>
      <c r="CC638" s="6"/>
      <c r="CD638" s="6"/>
      <c r="CE638" s="6"/>
      <c r="CF638" s="6"/>
      <c r="CG638" s="6"/>
      <c r="CH638" s="6"/>
    </row>
    <row r="639" spans="1:86" ht="16.8" x14ac:dyDescent="0.4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  <c r="BZ639" s="6"/>
      <c r="CA639" s="6"/>
      <c r="CB639" s="6"/>
      <c r="CC639" s="6"/>
      <c r="CD639" s="6"/>
      <c r="CE639" s="6"/>
      <c r="CF639" s="6"/>
      <c r="CG639" s="6"/>
      <c r="CH639" s="6"/>
    </row>
    <row r="640" spans="1:86" ht="16.8" x14ac:dyDescent="0.4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6"/>
      <c r="CA640" s="6"/>
      <c r="CB640" s="6"/>
      <c r="CC640" s="6"/>
      <c r="CD640" s="6"/>
      <c r="CE640" s="6"/>
      <c r="CF640" s="6"/>
      <c r="CG640" s="6"/>
      <c r="CH640" s="6"/>
    </row>
    <row r="641" spans="1:86" ht="16.8" x14ac:dyDescent="0.4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6"/>
      <c r="CA641" s="6"/>
      <c r="CB641" s="6"/>
      <c r="CC641" s="6"/>
      <c r="CD641" s="6"/>
      <c r="CE641" s="6"/>
      <c r="CF641" s="6"/>
      <c r="CG641" s="6"/>
      <c r="CH641" s="6"/>
    </row>
    <row r="642" spans="1:86" ht="16.8" x14ac:dyDescent="0.4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6"/>
      <c r="CA642" s="6"/>
      <c r="CB642" s="6"/>
      <c r="CC642" s="6"/>
      <c r="CD642" s="6"/>
      <c r="CE642" s="6"/>
      <c r="CF642" s="6"/>
      <c r="CG642" s="6"/>
      <c r="CH642" s="6"/>
    </row>
    <row r="643" spans="1:86" ht="16.8" x14ac:dyDescent="0.4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  <c r="CA643" s="6"/>
      <c r="CB643" s="6"/>
      <c r="CC643" s="6"/>
      <c r="CD643" s="6"/>
      <c r="CE643" s="6"/>
      <c r="CF643" s="6"/>
      <c r="CG643" s="6"/>
      <c r="CH643" s="6"/>
    </row>
    <row r="644" spans="1:86" ht="16.8" x14ac:dyDescent="0.4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  <c r="CA644" s="6"/>
      <c r="CB644" s="6"/>
      <c r="CC644" s="6"/>
      <c r="CD644" s="6"/>
      <c r="CE644" s="6"/>
      <c r="CF644" s="6"/>
      <c r="CG644" s="6"/>
      <c r="CH644" s="6"/>
    </row>
    <row r="645" spans="1:86" ht="16.8" x14ac:dyDescent="0.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6"/>
      <c r="CA645" s="6"/>
      <c r="CB645" s="6"/>
      <c r="CC645" s="6"/>
      <c r="CD645" s="6"/>
      <c r="CE645" s="6"/>
      <c r="CF645" s="6"/>
      <c r="CG645" s="6"/>
      <c r="CH645" s="6"/>
    </row>
    <row r="646" spans="1:86" ht="16.8" x14ac:dyDescent="0.4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A646" s="6"/>
      <c r="CB646" s="6"/>
      <c r="CC646" s="6"/>
      <c r="CD646" s="6"/>
      <c r="CE646" s="6"/>
      <c r="CF646" s="6"/>
      <c r="CG646" s="6"/>
      <c r="CH646" s="6"/>
    </row>
    <row r="647" spans="1:86" ht="16.8" x14ac:dyDescent="0.4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  <c r="BZ647" s="6"/>
      <c r="CA647" s="6"/>
      <c r="CB647" s="6"/>
      <c r="CC647" s="6"/>
      <c r="CD647" s="6"/>
      <c r="CE647" s="6"/>
      <c r="CF647" s="6"/>
      <c r="CG647" s="6"/>
      <c r="CH647" s="6"/>
    </row>
    <row r="648" spans="1:86" ht="16.8" x14ac:dyDescent="0.4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A648" s="6"/>
      <c r="CB648" s="6"/>
      <c r="CC648" s="6"/>
      <c r="CD648" s="6"/>
      <c r="CE648" s="6"/>
      <c r="CF648" s="6"/>
      <c r="CG648" s="6"/>
      <c r="CH648" s="6"/>
    </row>
    <row r="649" spans="1:86" ht="16.8" x14ac:dyDescent="0.4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  <c r="CB649" s="6"/>
      <c r="CC649" s="6"/>
      <c r="CD649" s="6"/>
      <c r="CE649" s="6"/>
      <c r="CF649" s="6"/>
      <c r="CG649" s="6"/>
      <c r="CH649" s="6"/>
    </row>
    <row r="650" spans="1:86" ht="16.8" x14ac:dyDescent="0.4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A650" s="6"/>
      <c r="CB650" s="6"/>
      <c r="CC650" s="6"/>
      <c r="CD650" s="6"/>
      <c r="CE650" s="6"/>
      <c r="CF650" s="6"/>
      <c r="CG650" s="6"/>
      <c r="CH650" s="6"/>
    </row>
    <row r="651" spans="1:86" ht="16.8" x14ac:dyDescent="0.4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6"/>
      <c r="CA651" s="6"/>
      <c r="CB651" s="6"/>
      <c r="CC651" s="6"/>
      <c r="CD651" s="6"/>
      <c r="CE651" s="6"/>
      <c r="CF651" s="6"/>
      <c r="CG651" s="6"/>
      <c r="CH651" s="6"/>
    </row>
    <row r="652" spans="1:86" ht="16.8" x14ac:dyDescent="0.4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6"/>
      <c r="CA652" s="6"/>
      <c r="CB652" s="6"/>
      <c r="CC652" s="6"/>
      <c r="CD652" s="6"/>
      <c r="CE652" s="6"/>
      <c r="CF652" s="6"/>
      <c r="CG652" s="6"/>
      <c r="CH652" s="6"/>
    </row>
    <row r="653" spans="1:86" ht="16.8" x14ac:dyDescent="0.4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A653" s="6"/>
      <c r="CB653" s="6"/>
      <c r="CC653" s="6"/>
      <c r="CD653" s="6"/>
      <c r="CE653" s="6"/>
      <c r="CF653" s="6"/>
      <c r="CG653" s="6"/>
      <c r="CH653" s="6"/>
    </row>
    <row r="654" spans="1:86" ht="16.8" x14ac:dyDescent="0.4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6"/>
      <c r="CA654" s="6"/>
      <c r="CB654" s="6"/>
      <c r="CC654" s="6"/>
      <c r="CD654" s="6"/>
      <c r="CE654" s="6"/>
      <c r="CF654" s="6"/>
      <c r="CG654" s="6"/>
      <c r="CH654" s="6"/>
    </row>
    <row r="655" spans="1:86" ht="16.8" x14ac:dyDescent="0.4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6"/>
    </row>
    <row r="656" spans="1:86" ht="16.8" x14ac:dyDescent="0.4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  <c r="CB656" s="6"/>
      <c r="CC656" s="6"/>
      <c r="CD656" s="6"/>
      <c r="CE656" s="6"/>
      <c r="CF656" s="6"/>
      <c r="CG656" s="6"/>
      <c r="CH656" s="6"/>
    </row>
    <row r="657" spans="1:86" ht="16.8" x14ac:dyDescent="0.4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/>
      <c r="CC657" s="6"/>
      <c r="CD657" s="6"/>
      <c r="CE657" s="6"/>
      <c r="CF657" s="6"/>
      <c r="CG657" s="6"/>
      <c r="CH657" s="6"/>
    </row>
    <row r="658" spans="1:86" ht="16.8" x14ac:dyDescent="0.4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  <c r="CC658" s="6"/>
      <c r="CD658" s="6"/>
      <c r="CE658" s="6"/>
      <c r="CF658" s="6"/>
      <c r="CG658" s="6"/>
      <c r="CH658" s="6"/>
    </row>
    <row r="659" spans="1:86" ht="16.8" x14ac:dyDescent="0.4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A659" s="6"/>
      <c r="CB659" s="6"/>
      <c r="CC659" s="6"/>
      <c r="CD659" s="6"/>
      <c r="CE659" s="6"/>
      <c r="CF659" s="6"/>
      <c r="CG659" s="6"/>
      <c r="CH659" s="6"/>
    </row>
    <row r="660" spans="1:86" ht="16.8" x14ac:dyDescent="0.4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  <c r="CA660" s="6"/>
      <c r="CB660" s="6"/>
      <c r="CC660" s="6"/>
      <c r="CD660" s="6"/>
      <c r="CE660" s="6"/>
      <c r="CF660" s="6"/>
      <c r="CG660" s="6"/>
      <c r="CH660" s="6"/>
    </row>
    <row r="661" spans="1:86" ht="16.8" x14ac:dyDescent="0.4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  <c r="BZ661" s="6"/>
      <c r="CA661" s="6"/>
      <c r="CB661" s="6"/>
      <c r="CC661" s="6"/>
      <c r="CD661" s="6"/>
      <c r="CE661" s="6"/>
      <c r="CF661" s="6"/>
      <c r="CG661" s="6"/>
      <c r="CH661" s="6"/>
    </row>
    <row r="662" spans="1:86" ht="16.8" x14ac:dyDescent="0.4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A662" s="6"/>
      <c r="CB662" s="6"/>
      <c r="CC662" s="6"/>
      <c r="CD662" s="6"/>
      <c r="CE662" s="6"/>
      <c r="CF662" s="6"/>
      <c r="CG662" s="6"/>
      <c r="CH662" s="6"/>
    </row>
    <row r="663" spans="1:86" ht="16.8" x14ac:dyDescent="0.4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6"/>
    </row>
    <row r="664" spans="1:86" ht="16.8" x14ac:dyDescent="0.4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6"/>
      <c r="CA664" s="6"/>
      <c r="CB664" s="6"/>
      <c r="CC664" s="6"/>
      <c r="CD664" s="6"/>
      <c r="CE664" s="6"/>
      <c r="CF664" s="6"/>
      <c r="CG664" s="6"/>
      <c r="CH664" s="6"/>
    </row>
    <row r="665" spans="1:86" ht="16.8" x14ac:dyDescent="0.4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  <c r="CA665" s="6"/>
      <c r="CB665" s="6"/>
      <c r="CC665" s="6"/>
      <c r="CD665" s="6"/>
      <c r="CE665" s="6"/>
      <c r="CF665" s="6"/>
      <c r="CG665" s="6"/>
      <c r="CH665" s="6"/>
    </row>
    <row r="666" spans="1:86" ht="16.8" x14ac:dyDescent="0.4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  <c r="CA666" s="6"/>
      <c r="CB666" s="6"/>
      <c r="CC666" s="6"/>
      <c r="CD666" s="6"/>
      <c r="CE666" s="6"/>
      <c r="CF666" s="6"/>
      <c r="CG666" s="6"/>
      <c r="CH666" s="6"/>
    </row>
    <row r="667" spans="1:86" ht="16.8" x14ac:dyDescent="0.4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6"/>
      <c r="CA667" s="6"/>
      <c r="CB667" s="6"/>
      <c r="CC667" s="6"/>
      <c r="CD667" s="6"/>
      <c r="CE667" s="6"/>
      <c r="CF667" s="6"/>
      <c r="CG667" s="6"/>
      <c r="CH667" s="6"/>
    </row>
    <row r="668" spans="1:86" ht="16.8" x14ac:dyDescent="0.4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A668" s="6"/>
      <c r="CB668" s="6"/>
      <c r="CC668" s="6"/>
      <c r="CD668" s="6"/>
      <c r="CE668" s="6"/>
      <c r="CF668" s="6"/>
      <c r="CG668" s="6"/>
      <c r="CH668" s="6"/>
    </row>
    <row r="669" spans="1:86" ht="16.8" x14ac:dyDescent="0.4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A669" s="6"/>
      <c r="CB669" s="6"/>
      <c r="CC669" s="6"/>
      <c r="CD669" s="6"/>
      <c r="CE669" s="6"/>
      <c r="CF669" s="6"/>
      <c r="CG669" s="6"/>
      <c r="CH669" s="6"/>
    </row>
    <row r="670" spans="1:86" ht="16.8" x14ac:dyDescent="0.4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A670" s="6"/>
      <c r="CB670" s="6"/>
      <c r="CC670" s="6"/>
      <c r="CD670" s="6"/>
      <c r="CE670" s="6"/>
      <c r="CF670" s="6"/>
      <c r="CG670" s="6"/>
      <c r="CH670" s="6"/>
    </row>
    <row r="671" spans="1:86" ht="16.8" x14ac:dyDescent="0.4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  <c r="CC671" s="6"/>
      <c r="CD671" s="6"/>
      <c r="CE671" s="6"/>
      <c r="CF671" s="6"/>
      <c r="CG671" s="6"/>
      <c r="CH671" s="6"/>
    </row>
    <row r="672" spans="1:86" ht="16.8" x14ac:dyDescent="0.4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6"/>
    </row>
    <row r="673" spans="1:86" ht="16.8" x14ac:dyDescent="0.4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  <c r="CC673" s="6"/>
      <c r="CD673" s="6"/>
      <c r="CE673" s="6"/>
      <c r="CF673" s="6"/>
      <c r="CG673" s="6"/>
      <c r="CH673" s="6"/>
    </row>
    <row r="674" spans="1:86" ht="16.8" x14ac:dyDescent="0.4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6"/>
    </row>
    <row r="675" spans="1:86" ht="16.8" x14ac:dyDescent="0.4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A675" s="6"/>
      <c r="CB675" s="6"/>
      <c r="CC675" s="6"/>
      <c r="CD675" s="6"/>
      <c r="CE675" s="6"/>
      <c r="CF675" s="6"/>
      <c r="CG675" s="6"/>
      <c r="CH675" s="6"/>
    </row>
    <row r="676" spans="1:86" ht="16.8" x14ac:dyDescent="0.4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  <c r="CA676" s="6"/>
      <c r="CB676" s="6"/>
      <c r="CC676" s="6"/>
      <c r="CD676" s="6"/>
      <c r="CE676" s="6"/>
      <c r="CF676" s="6"/>
      <c r="CG676" s="6"/>
      <c r="CH676" s="6"/>
    </row>
    <row r="677" spans="1:86" ht="16.8" x14ac:dyDescent="0.4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/>
      <c r="CA677" s="6"/>
      <c r="CB677" s="6"/>
      <c r="CC677" s="6"/>
      <c r="CD677" s="6"/>
      <c r="CE677" s="6"/>
      <c r="CF677" s="6"/>
      <c r="CG677" s="6"/>
      <c r="CH677" s="6"/>
    </row>
    <row r="678" spans="1:86" ht="16.8" x14ac:dyDescent="0.4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  <c r="CA678" s="6"/>
      <c r="CB678" s="6"/>
      <c r="CC678" s="6"/>
      <c r="CD678" s="6"/>
      <c r="CE678" s="6"/>
      <c r="CF678" s="6"/>
      <c r="CG678" s="6"/>
      <c r="CH678" s="6"/>
    </row>
    <row r="679" spans="1:86" ht="16.8" x14ac:dyDescent="0.4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A679" s="6"/>
      <c r="CB679" s="6"/>
      <c r="CC679" s="6"/>
      <c r="CD679" s="6"/>
      <c r="CE679" s="6"/>
      <c r="CF679" s="6"/>
      <c r="CG679" s="6"/>
      <c r="CH679" s="6"/>
    </row>
    <row r="680" spans="1:86" ht="16.8" x14ac:dyDescent="0.4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6"/>
      <c r="CA680" s="6"/>
      <c r="CB680" s="6"/>
      <c r="CC680" s="6"/>
      <c r="CD680" s="6"/>
      <c r="CE680" s="6"/>
      <c r="CF680" s="6"/>
      <c r="CG680" s="6"/>
      <c r="CH680" s="6"/>
    </row>
    <row r="681" spans="1:86" ht="16.8" x14ac:dyDescent="0.4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A681" s="6"/>
      <c r="CB681" s="6"/>
      <c r="CC681" s="6"/>
      <c r="CD681" s="6"/>
      <c r="CE681" s="6"/>
      <c r="CF681" s="6"/>
      <c r="CG681" s="6"/>
      <c r="CH681" s="6"/>
    </row>
    <row r="682" spans="1:86" ht="16.8" x14ac:dyDescent="0.4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  <c r="CB682" s="6"/>
      <c r="CC682" s="6"/>
      <c r="CD682" s="6"/>
      <c r="CE682" s="6"/>
      <c r="CF682" s="6"/>
      <c r="CG682" s="6"/>
      <c r="CH682" s="6"/>
    </row>
    <row r="683" spans="1:86" ht="16.8" x14ac:dyDescent="0.4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A683" s="6"/>
      <c r="CB683" s="6"/>
      <c r="CC683" s="6"/>
      <c r="CD683" s="6"/>
      <c r="CE683" s="6"/>
      <c r="CF683" s="6"/>
      <c r="CG683" s="6"/>
      <c r="CH683" s="6"/>
    </row>
    <row r="684" spans="1:86" ht="16.8" x14ac:dyDescent="0.4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6"/>
      <c r="CA684" s="6"/>
      <c r="CB684" s="6"/>
      <c r="CC684" s="6"/>
      <c r="CD684" s="6"/>
      <c r="CE684" s="6"/>
      <c r="CF684" s="6"/>
      <c r="CG684" s="6"/>
      <c r="CH684" s="6"/>
    </row>
    <row r="685" spans="1:86" ht="16.8" x14ac:dyDescent="0.4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  <c r="BZ685" s="6"/>
      <c r="CA685" s="6"/>
      <c r="CB685" s="6"/>
      <c r="CC685" s="6"/>
      <c r="CD685" s="6"/>
      <c r="CE685" s="6"/>
      <c r="CF685" s="6"/>
      <c r="CG685" s="6"/>
      <c r="CH685" s="6"/>
    </row>
    <row r="686" spans="1:86" ht="16.8" x14ac:dyDescent="0.4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  <c r="CA686" s="6"/>
      <c r="CB686" s="6"/>
      <c r="CC686" s="6"/>
      <c r="CD686" s="6"/>
      <c r="CE686" s="6"/>
      <c r="CF686" s="6"/>
      <c r="CG686" s="6"/>
      <c r="CH686" s="6"/>
    </row>
    <row r="687" spans="1:86" ht="16.8" x14ac:dyDescent="0.4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  <c r="BZ687" s="6"/>
      <c r="CA687" s="6"/>
      <c r="CB687" s="6"/>
      <c r="CC687" s="6"/>
      <c r="CD687" s="6"/>
      <c r="CE687" s="6"/>
      <c r="CF687" s="6"/>
      <c r="CG687" s="6"/>
      <c r="CH687" s="6"/>
    </row>
    <row r="688" spans="1:86" ht="16.8" x14ac:dyDescent="0.4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  <c r="CA688" s="6"/>
      <c r="CB688" s="6"/>
      <c r="CC688" s="6"/>
      <c r="CD688" s="6"/>
      <c r="CE688" s="6"/>
      <c r="CF688" s="6"/>
      <c r="CG688" s="6"/>
      <c r="CH688" s="6"/>
    </row>
    <row r="689" spans="1:86" ht="16.8" x14ac:dyDescent="0.4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  <c r="CA689" s="6"/>
      <c r="CB689" s="6"/>
      <c r="CC689" s="6"/>
      <c r="CD689" s="6"/>
      <c r="CE689" s="6"/>
      <c r="CF689" s="6"/>
      <c r="CG689" s="6"/>
      <c r="CH689" s="6"/>
    </row>
    <row r="690" spans="1:86" ht="16.8" x14ac:dyDescent="0.4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  <c r="BZ690" s="6"/>
      <c r="CA690" s="6"/>
      <c r="CB690" s="6"/>
      <c r="CC690" s="6"/>
      <c r="CD690" s="6"/>
      <c r="CE690" s="6"/>
      <c r="CF690" s="6"/>
      <c r="CG690" s="6"/>
      <c r="CH690" s="6"/>
    </row>
    <row r="691" spans="1:86" ht="16.8" x14ac:dyDescent="0.4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  <c r="CA691" s="6"/>
      <c r="CB691" s="6"/>
      <c r="CC691" s="6"/>
      <c r="CD691" s="6"/>
      <c r="CE691" s="6"/>
      <c r="CF691" s="6"/>
      <c r="CG691" s="6"/>
      <c r="CH691" s="6"/>
    </row>
    <row r="692" spans="1:86" ht="16.8" x14ac:dyDescent="0.4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  <c r="BZ692" s="6"/>
      <c r="CA692" s="6"/>
      <c r="CB692" s="6"/>
      <c r="CC692" s="6"/>
      <c r="CD692" s="6"/>
      <c r="CE692" s="6"/>
      <c r="CF692" s="6"/>
      <c r="CG692" s="6"/>
      <c r="CH692" s="6"/>
    </row>
    <row r="693" spans="1:86" ht="16.8" x14ac:dyDescent="0.4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  <c r="BZ693" s="6"/>
      <c r="CA693" s="6"/>
      <c r="CB693" s="6"/>
      <c r="CC693" s="6"/>
      <c r="CD693" s="6"/>
      <c r="CE693" s="6"/>
      <c r="CF693" s="6"/>
      <c r="CG693" s="6"/>
      <c r="CH693" s="6"/>
    </row>
    <row r="694" spans="1:86" ht="16.8" x14ac:dyDescent="0.4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6"/>
      <c r="CA694" s="6"/>
      <c r="CB694" s="6"/>
      <c r="CC694" s="6"/>
      <c r="CD694" s="6"/>
      <c r="CE694" s="6"/>
      <c r="CF694" s="6"/>
      <c r="CG694" s="6"/>
      <c r="CH694" s="6"/>
    </row>
    <row r="695" spans="1:86" ht="16.8" x14ac:dyDescent="0.4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  <c r="BZ695" s="6"/>
      <c r="CA695" s="6"/>
      <c r="CB695" s="6"/>
      <c r="CC695" s="6"/>
      <c r="CD695" s="6"/>
      <c r="CE695" s="6"/>
      <c r="CF695" s="6"/>
      <c r="CG695" s="6"/>
      <c r="CH695" s="6"/>
    </row>
    <row r="696" spans="1:86" ht="16.8" x14ac:dyDescent="0.4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6"/>
      <c r="CA696" s="6"/>
      <c r="CB696" s="6"/>
      <c r="CC696" s="6"/>
      <c r="CD696" s="6"/>
      <c r="CE696" s="6"/>
      <c r="CF696" s="6"/>
      <c r="CG696" s="6"/>
      <c r="CH696" s="6"/>
    </row>
    <row r="697" spans="1:86" ht="16.8" x14ac:dyDescent="0.4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  <c r="BZ697" s="6"/>
      <c r="CA697" s="6"/>
      <c r="CB697" s="6"/>
      <c r="CC697" s="6"/>
      <c r="CD697" s="6"/>
      <c r="CE697" s="6"/>
      <c r="CF697" s="6"/>
      <c r="CG697" s="6"/>
      <c r="CH697" s="6"/>
    </row>
    <row r="698" spans="1:86" ht="16.8" x14ac:dyDescent="0.4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6"/>
      <c r="CA698" s="6"/>
      <c r="CB698" s="6"/>
      <c r="CC698" s="6"/>
      <c r="CD698" s="6"/>
      <c r="CE698" s="6"/>
      <c r="CF698" s="6"/>
      <c r="CG698" s="6"/>
      <c r="CH698" s="6"/>
    </row>
    <row r="699" spans="1:86" ht="16.8" x14ac:dyDescent="0.4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  <c r="CA699" s="6"/>
      <c r="CB699" s="6"/>
      <c r="CC699" s="6"/>
      <c r="CD699" s="6"/>
      <c r="CE699" s="6"/>
      <c r="CF699" s="6"/>
      <c r="CG699" s="6"/>
      <c r="CH699" s="6"/>
    </row>
    <row r="700" spans="1:86" ht="16.8" x14ac:dyDescent="0.4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  <c r="BZ700" s="6"/>
      <c r="CA700" s="6"/>
      <c r="CB700" s="6"/>
      <c r="CC700" s="6"/>
      <c r="CD700" s="6"/>
      <c r="CE700" s="6"/>
      <c r="CF700" s="6"/>
      <c r="CG700" s="6"/>
      <c r="CH700" s="6"/>
    </row>
    <row r="701" spans="1:86" ht="16.8" x14ac:dyDescent="0.4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  <c r="BZ701" s="6"/>
      <c r="CA701" s="6"/>
      <c r="CB701" s="6"/>
      <c r="CC701" s="6"/>
      <c r="CD701" s="6"/>
      <c r="CE701" s="6"/>
      <c r="CF701" s="6"/>
      <c r="CG701" s="6"/>
      <c r="CH701" s="6"/>
    </row>
    <row r="702" spans="1:86" ht="16.8" x14ac:dyDescent="0.4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  <c r="CA702" s="6"/>
      <c r="CB702" s="6"/>
      <c r="CC702" s="6"/>
      <c r="CD702" s="6"/>
      <c r="CE702" s="6"/>
      <c r="CF702" s="6"/>
      <c r="CG702" s="6"/>
      <c r="CH702" s="6"/>
    </row>
    <row r="703" spans="1:86" ht="16.8" x14ac:dyDescent="0.4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  <c r="CA703" s="6"/>
      <c r="CB703" s="6"/>
      <c r="CC703" s="6"/>
      <c r="CD703" s="6"/>
      <c r="CE703" s="6"/>
      <c r="CF703" s="6"/>
      <c r="CG703" s="6"/>
      <c r="CH703" s="6"/>
    </row>
    <row r="704" spans="1:86" ht="16.8" x14ac:dyDescent="0.4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  <c r="BZ704" s="6"/>
      <c r="CA704" s="6"/>
      <c r="CB704" s="6"/>
      <c r="CC704" s="6"/>
      <c r="CD704" s="6"/>
      <c r="CE704" s="6"/>
      <c r="CF704" s="6"/>
      <c r="CG704" s="6"/>
      <c r="CH704" s="6"/>
    </row>
    <row r="705" spans="1:86" ht="16.8" x14ac:dyDescent="0.4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A705" s="6"/>
      <c r="CB705" s="6"/>
      <c r="CC705" s="6"/>
      <c r="CD705" s="6"/>
      <c r="CE705" s="6"/>
      <c r="CF705" s="6"/>
      <c r="CG705" s="6"/>
      <c r="CH705" s="6"/>
    </row>
    <row r="706" spans="1:86" ht="16.8" x14ac:dyDescent="0.4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A706" s="6"/>
      <c r="CB706" s="6"/>
      <c r="CC706" s="6"/>
      <c r="CD706" s="6"/>
      <c r="CE706" s="6"/>
      <c r="CF706" s="6"/>
      <c r="CG706" s="6"/>
      <c r="CH706" s="6"/>
    </row>
    <row r="707" spans="1:86" ht="16.8" x14ac:dyDescent="0.4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  <c r="BZ707" s="6"/>
      <c r="CA707" s="6"/>
      <c r="CB707" s="6"/>
      <c r="CC707" s="6"/>
      <c r="CD707" s="6"/>
      <c r="CE707" s="6"/>
      <c r="CF707" s="6"/>
      <c r="CG707" s="6"/>
      <c r="CH707" s="6"/>
    </row>
    <row r="708" spans="1:86" ht="16.8" x14ac:dyDescent="0.4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  <c r="BZ708" s="6"/>
      <c r="CA708" s="6"/>
      <c r="CB708" s="6"/>
      <c r="CC708" s="6"/>
      <c r="CD708" s="6"/>
      <c r="CE708" s="6"/>
      <c r="CF708" s="6"/>
      <c r="CG708" s="6"/>
      <c r="CH708" s="6"/>
    </row>
    <row r="709" spans="1:86" ht="16.8" x14ac:dyDescent="0.4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  <c r="BZ709" s="6"/>
      <c r="CA709" s="6"/>
      <c r="CB709" s="6"/>
      <c r="CC709" s="6"/>
      <c r="CD709" s="6"/>
      <c r="CE709" s="6"/>
      <c r="CF709" s="6"/>
      <c r="CG709" s="6"/>
      <c r="CH709" s="6"/>
    </row>
    <row r="710" spans="1:86" ht="16.8" x14ac:dyDescent="0.4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  <c r="CC710" s="6"/>
      <c r="CD710" s="6"/>
      <c r="CE710" s="6"/>
      <c r="CF710" s="6"/>
      <c r="CG710" s="6"/>
      <c r="CH710" s="6"/>
    </row>
    <row r="711" spans="1:86" ht="16.8" x14ac:dyDescent="0.4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  <c r="BZ711" s="6"/>
      <c r="CA711" s="6"/>
      <c r="CB711" s="6"/>
      <c r="CC711" s="6"/>
      <c r="CD711" s="6"/>
      <c r="CE711" s="6"/>
      <c r="CF711" s="6"/>
      <c r="CG711" s="6"/>
      <c r="CH711" s="6"/>
    </row>
    <row r="712" spans="1:86" ht="16.8" x14ac:dyDescent="0.4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  <c r="BZ712" s="6"/>
      <c r="CA712" s="6"/>
      <c r="CB712" s="6"/>
      <c r="CC712" s="6"/>
      <c r="CD712" s="6"/>
      <c r="CE712" s="6"/>
      <c r="CF712" s="6"/>
      <c r="CG712" s="6"/>
      <c r="CH712" s="6"/>
    </row>
    <row r="713" spans="1:86" ht="16.8" x14ac:dyDescent="0.4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6"/>
      <c r="CA713" s="6"/>
      <c r="CB713" s="6"/>
      <c r="CC713" s="6"/>
      <c r="CD713" s="6"/>
      <c r="CE713" s="6"/>
      <c r="CF713" s="6"/>
      <c r="CG713" s="6"/>
      <c r="CH713" s="6"/>
    </row>
    <row r="714" spans="1:86" ht="16.8" x14ac:dyDescent="0.4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  <c r="CA714" s="6"/>
      <c r="CB714" s="6"/>
      <c r="CC714" s="6"/>
      <c r="CD714" s="6"/>
      <c r="CE714" s="6"/>
      <c r="CF714" s="6"/>
      <c r="CG714" s="6"/>
      <c r="CH714" s="6"/>
    </row>
    <row r="715" spans="1:86" ht="16.8" x14ac:dyDescent="0.4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6"/>
      <c r="CA715" s="6"/>
      <c r="CB715" s="6"/>
      <c r="CC715" s="6"/>
      <c r="CD715" s="6"/>
      <c r="CE715" s="6"/>
      <c r="CF715" s="6"/>
      <c r="CG715" s="6"/>
      <c r="CH715" s="6"/>
    </row>
    <row r="716" spans="1:86" ht="16.8" x14ac:dyDescent="0.4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  <c r="BZ716" s="6"/>
      <c r="CA716" s="6"/>
      <c r="CB716" s="6"/>
      <c r="CC716" s="6"/>
      <c r="CD716" s="6"/>
      <c r="CE716" s="6"/>
      <c r="CF716" s="6"/>
      <c r="CG716" s="6"/>
      <c r="CH716" s="6"/>
    </row>
    <row r="717" spans="1:86" ht="16.8" x14ac:dyDescent="0.4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  <c r="BZ717" s="6"/>
      <c r="CA717" s="6"/>
      <c r="CB717" s="6"/>
      <c r="CC717" s="6"/>
      <c r="CD717" s="6"/>
      <c r="CE717" s="6"/>
      <c r="CF717" s="6"/>
      <c r="CG717" s="6"/>
      <c r="CH717" s="6"/>
    </row>
    <row r="718" spans="1:86" ht="16.8" x14ac:dyDescent="0.4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  <c r="BZ718" s="6"/>
      <c r="CA718" s="6"/>
      <c r="CB718" s="6"/>
      <c r="CC718" s="6"/>
      <c r="CD718" s="6"/>
      <c r="CE718" s="6"/>
      <c r="CF718" s="6"/>
      <c r="CG718" s="6"/>
      <c r="CH718" s="6"/>
    </row>
    <row r="719" spans="1:86" ht="16.8" x14ac:dyDescent="0.4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  <c r="BZ719" s="6"/>
      <c r="CA719" s="6"/>
      <c r="CB719" s="6"/>
      <c r="CC719" s="6"/>
      <c r="CD719" s="6"/>
      <c r="CE719" s="6"/>
      <c r="CF719" s="6"/>
      <c r="CG719" s="6"/>
      <c r="CH719" s="6"/>
    </row>
    <row r="720" spans="1:86" ht="16.8" x14ac:dyDescent="0.4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  <c r="BZ720" s="6"/>
      <c r="CA720" s="6"/>
      <c r="CB720" s="6"/>
      <c r="CC720" s="6"/>
      <c r="CD720" s="6"/>
      <c r="CE720" s="6"/>
      <c r="CF720" s="6"/>
      <c r="CG720" s="6"/>
      <c r="CH720" s="6"/>
    </row>
    <row r="721" spans="1:86" ht="16.8" x14ac:dyDescent="0.4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  <c r="BZ721" s="6"/>
      <c r="CA721" s="6"/>
      <c r="CB721" s="6"/>
      <c r="CC721" s="6"/>
      <c r="CD721" s="6"/>
      <c r="CE721" s="6"/>
      <c r="CF721" s="6"/>
      <c r="CG721" s="6"/>
      <c r="CH721" s="6"/>
    </row>
    <row r="722" spans="1:86" ht="16.8" x14ac:dyDescent="0.4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  <c r="BZ722" s="6"/>
      <c r="CA722" s="6"/>
      <c r="CB722" s="6"/>
      <c r="CC722" s="6"/>
      <c r="CD722" s="6"/>
      <c r="CE722" s="6"/>
      <c r="CF722" s="6"/>
      <c r="CG722" s="6"/>
      <c r="CH722" s="6"/>
    </row>
    <row r="723" spans="1:86" ht="16.8" x14ac:dyDescent="0.4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  <c r="BZ723" s="6"/>
      <c r="CA723" s="6"/>
      <c r="CB723" s="6"/>
      <c r="CC723" s="6"/>
      <c r="CD723" s="6"/>
      <c r="CE723" s="6"/>
      <c r="CF723" s="6"/>
      <c r="CG723" s="6"/>
      <c r="CH723" s="6"/>
    </row>
    <row r="724" spans="1:86" ht="16.8" x14ac:dyDescent="0.4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  <c r="BZ724" s="6"/>
      <c r="CA724" s="6"/>
      <c r="CB724" s="6"/>
      <c r="CC724" s="6"/>
      <c r="CD724" s="6"/>
      <c r="CE724" s="6"/>
      <c r="CF724" s="6"/>
      <c r="CG724" s="6"/>
      <c r="CH724" s="6"/>
    </row>
    <row r="725" spans="1:86" ht="16.8" x14ac:dyDescent="0.4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6"/>
      <c r="CA725" s="6"/>
      <c r="CB725" s="6"/>
      <c r="CC725" s="6"/>
      <c r="CD725" s="6"/>
      <c r="CE725" s="6"/>
      <c r="CF725" s="6"/>
      <c r="CG725" s="6"/>
      <c r="CH725" s="6"/>
    </row>
    <row r="726" spans="1:86" ht="16.8" x14ac:dyDescent="0.4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  <c r="CA726" s="6"/>
      <c r="CB726" s="6"/>
      <c r="CC726" s="6"/>
      <c r="CD726" s="6"/>
      <c r="CE726" s="6"/>
      <c r="CF726" s="6"/>
      <c r="CG726" s="6"/>
      <c r="CH726" s="6"/>
    </row>
    <row r="727" spans="1:86" ht="16.8" x14ac:dyDescent="0.4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  <c r="BZ727" s="6"/>
      <c r="CA727" s="6"/>
      <c r="CB727" s="6"/>
      <c r="CC727" s="6"/>
      <c r="CD727" s="6"/>
      <c r="CE727" s="6"/>
      <c r="CF727" s="6"/>
      <c r="CG727" s="6"/>
      <c r="CH727" s="6"/>
    </row>
    <row r="728" spans="1:86" ht="16.8" x14ac:dyDescent="0.4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  <c r="BZ728" s="6"/>
      <c r="CA728" s="6"/>
      <c r="CB728" s="6"/>
      <c r="CC728" s="6"/>
      <c r="CD728" s="6"/>
      <c r="CE728" s="6"/>
      <c r="CF728" s="6"/>
      <c r="CG728" s="6"/>
      <c r="CH728" s="6"/>
    </row>
    <row r="729" spans="1:86" ht="16.8" x14ac:dyDescent="0.4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  <c r="BZ729" s="6"/>
      <c r="CA729" s="6"/>
      <c r="CB729" s="6"/>
      <c r="CC729" s="6"/>
      <c r="CD729" s="6"/>
      <c r="CE729" s="6"/>
      <c r="CF729" s="6"/>
      <c r="CG729" s="6"/>
      <c r="CH729" s="6"/>
    </row>
    <row r="730" spans="1:86" ht="16.8" x14ac:dyDescent="0.4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  <c r="CA730" s="6"/>
      <c r="CB730" s="6"/>
      <c r="CC730" s="6"/>
      <c r="CD730" s="6"/>
      <c r="CE730" s="6"/>
      <c r="CF730" s="6"/>
      <c r="CG730" s="6"/>
      <c r="CH730" s="6"/>
    </row>
    <row r="731" spans="1:86" ht="16.8" x14ac:dyDescent="0.4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  <c r="BZ731" s="6"/>
      <c r="CA731" s="6"/>
      <c r="CB731" s="6"/>
      <c r="CC731" s="6"/>
      <c r="CD731" s="6"/>
      <c r="CE731" s="6"/>
      <c r="CF731" s="6"/>
      <c r="CG731" s="6"/>
      <c r="CH731" s="6"/>
    </row>
    <row r="732" spans="1:86" ht="16.8" x14ac:dyDescent="0.4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6"/>
      <c r="BZ732" s="6"/>
      <c r="CA732" s="6"/>
      <c r="CB732" s="6"/>
      <c r="CC732" s="6"/>
      <c r="CD732" s="6"/>
      <c r="CE732" s="6"/>
      <c r="CF732" s="6"/>
      <c r="CG732" s="6"/>
      <c r="CH732" s="6"/>
    </row>
    <row r="733" spans="1:86" ht="16.8" x14ac:dyDescent="0.4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6"/>
      <c r="CA733" s="6"/>
      <c r="CB733" s="6"/>
      <c r="CC733" s="6"/>
      <c r="CD733" s="6"/>
      <c r="CE733" s="6"/>
      <c r="CF733" s="6"/>
      <c r="CG733" s="6"/>
      <c r="CH733" s="6"/>
    </row>
    <row r="734" spans="1:86" ht="16.8" x14ac:dyDescent="0.4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  <c r="BZ734" s="6"/>
      <c r="CA734" s="6"/>
      <c r="CB734" s="6"/>
      <c r="CC734" s="6"/>
      <c r="CD734" s="6"/>
      <c r="CE734" s="6"/>
      <c r="CF734" s="6"/>
      <c r="CG734" s="6"/>
      <c r="CH734" s="6"/>
    </row>
    <row r="735" spans="1:86" ht="16.8" x14ac:dyDescent="0.4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  <c r="BZ735" s="6"/>
      <c r="CA735" s="6"/>
      <c r="CB735" s="6"/>
      <c r="CC735" s="6"/>
      <c r="CD735" s="6"/>
      <c r="CE735" s="6"/>
      <c r="CF735" s="6"/>
      <c r="CG735" s="6"/>
      <c r="CH735" s="6"/>
    </row>
    <row r="736" spans="1:86" ht="16.8" x14ac:dyDescent="0.4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  <c r="BZ736" s="6"/>
      <c r="CA736" s="6"/>
      <c r="CB736" s="6"/>
      <c r="CC736" s="6"/>
      <c r="CD736" s="6"/>
      <c r="CE736" s="6"/>
      <c r="CF736" s="6"/>
      <c r="CG736" s="6"/>
      <c r="CH736" s="6"/>
    </row>
    <row r="737" spans="1:86" ht="16.8" x14ac:dyDescent="0.4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  <c r="CA737" s="6"/>
      <c r="CB737" s="6"/>
      <c r="CC737" s="6"/>
      <c r="CD737" s="6"/>
      <c r="CE737" s="6"/>
      <c r="CF737" s="6"/>
      <c r="CG737" s="6"/>
      <c r="CH737" s="6"/>
    </row>
    <row r="738" spans="1:86" ht="16.8" x14ac:dyDescent="0.4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A738" s="6"/>
      <c r="CB738" s="6"/>
      <c r="CC738" s="6"/>
      <c r="CD738" s="6"/>
      <c r="CE738" s="6"/>
      <c r="CF738" s="6"/>
      <c r="CG738" s="6"/>
      <c r="CH738" s="6"/>
    </row>
    <row r="739" spans="1:86" ht="16.8" x14ac:dyDescent="0.4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  <c r="BZ739" s="6"/>
      <c r="CA739" s="6"/>
      <c r="CB739" s="6"/>
      <c r="CC739" s="6"/>
      <c r="CD739" s="6"/>
      <c r="CE739" s="6"/>
      <c r="CF739" s="6"/>
      <c r="CG739" s="6"/>
      <c r="CH739" s="6"/>
    </row>
    <row r="740" spans="1:86" ht="16.8" x14ac:dyDescent="0.4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  <c r="BZ740" s="6"/>
      <c r="CA740" s="6"/>
      <c r="CB740" s="6"/>
      <c r="CC740" s="6"/>
      <c r="CD740" s="6"/>
      <c r="CE740" s="6"/>
      <c r="CF740" s="6"/>
      <c r="CG740" s="6"/>
      <c r="CH740" s="6"/>
    </row>
    <row r="741" spans="1:86" ht="16.8" x14ac:dyDescent="0.4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  <c r="BZ741" s="6"/>
      <c r="CA741" s="6"/>
      <c r="CB741" s="6"/>
      <c r="CC741" s="6"/>
      <c r="CD741" s="6"/>
      <c r="CE741" s="6"/>
      <c r="CF741" s="6"/>
      <c r="CG741" s="6"/>
      <c r="CH741" s="6"/>
    </row>
    <row r="742" spans="1:86" ht="16.8" x14ac:dyDescent="0.4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  <c r="BZ742" s="6"/>
      <c r="CA742" s="6"/>
      <c r="CB742" s="6"/>
      <c r="CC742" s="6"/>
      <c r="CD742" s="6"/>
      <c r="CE742" s="6"/>
      <c r="CF742" s="6"/>
      <c r="CG742" s="6"/>
      <c r="CH742" s="6"/>
    </row>
    <row r="743" spans="1:86" ht="16.8" x14ac:dyDescent="0.4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6"/>
      <c r="CA743" s="6"/>
      <c r="CB743" s="6"/>
      <c r="CC743" s="6"/>
      <c r="CD743" s="6"/>
      <c r="CE743" s="6"/>
      <c r="CF743" s="6"/>
      <c r="CG743" s="6"/>
      <c r="CH743" s="6"/>
    </row>
    <row r="744" spans="1:86" ht="16.8" x14ac:dyDescent="0.4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  <c r="BZ744" s="6"/>
      <c r="CA744" s="6"/>
      <c r="CB744" s="6"/>
      <c r="CC744" s="6"/>
      <c r="CD744" s="6"/>
      <c r="CE744" s="6"/>
      <c r="CF744" s="6"/>
      <c r="CG744" s="6"/>
      <c r="CH744" s="6"/>
    </row>
    <row r="745" spans="1:86" ht="16.8" x14ac:dyDescent="0.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6"/>
      <c r="CA745" s="6"/>
      <c r="CB745" s="6"/>
      <c r="CC745" s="6"/>
      <c r="CD745" s="6"/>
      <c r="CE745" s="6"/>
      <c r="CF745" s="6"/>
      <c r="CG745" s="6"/>
      <c r="CH745" s="6"/>
    </row>
    <row r="746" spans="1:86" ht="16.8" x14ac:dyDescent="0.4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  <c r="BZ746" s="6"/>
      <c r="CA746" s="6"/>
      <c r="CB746" s="6"/>
      <c r="CC746" s="6"/>
      <c r="CD746" s="6"/>
      <c r="CE746" s="6"/>
      <c r="CF746" s="6"/>
      <c r="CG746" s="6"/>
      <c r="CH746" s="6"/>
    </row>
    <row r="747" spans="1:86" ht="16.8" x14ac:dyDescent="0.4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  <c r="BZ747" s="6"/>
      <c r="CA747" s="6"/>
      <c r="CB747" s="6"/>
      <c r="CC747" s="6"/>
      <c r="CD747" s="6"/>
      <c r="CE747" s="6"/>
      <c r="CF747" s="6"/>
      <c r="CG747" s="6"/>
      <c r="CH747" s="6"/>
    </row>
    <row r="748" spans="1:86" ht="16.8" x14ac:dyDescent="0.4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  <c r="CA748" s="6"/>
      <c r="CB748" s="6"/>
      <c r="CC748" s="6"/>
      <c r="CD748" s="6"/>
      <c r="CE748" s="6"/>
      <c r="CF748" s="6"/>
      <c r="CG748" s="6"/>
      <c r="CH748" s="6"/>
    </row>
    <row r="749" spans="1:86" ht="16.8" x14ac:dyDescent="0.4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  <c r="BZ749" s="6"/>
      <c r="CA749" s="6"/>
      <c r="CB749" s="6"/>
      <c r="CC749" s="6"/>
      <c r="CD749" s="6"/>
      <c r="CE749" s="6"/>
      <c r="CF749" s="6"/>
      <c r="CG749" s="6"/>
      <c r="CH749" s="6"/>
    </row>
    <row r="750" spans="1:86" ht="16.8" x14ac:dyDescent="0.4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  <c r="BZ750" s="6"/>
      <c r="CA750" s="6"/>
      <c r="CB750" s="6"/>
      <c r="CC750" s="6"/>
      <c r="CD750" s="6"/>
      <c r="CE750" s="6"/>
      <c r="CF750" s="6"/>
      <c r="CG750" s="6"/>
      <c r="CH750" s="6"/>
    </row>
    <row r="751" spans="1:86" ht="16.8" x14ac:dyDescent="0.4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6"/>
      <c r="CA751" s="6"/>
      <c r="CB751" s="6"/>
      <c r="CC751" s="6"/>
      <c r="CD751" s="6"/>
      <c r="CE751" s="6"/>
      <c r="CF751" s="6"/>
      <c r="CG751" s="6"/>
      <c r="CH751" s="6"/>
    </row>
    <row r="752" spans="1:86" ht="16.8" x14ac:dyDescent="0.4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  <c r="BZ752" s="6"/>
      <c r="CA752" s="6"/>
      <c r="CB752" s="6"/>
      <c r="CC752" s="6"/>
      <c r="CD752" s="6"/>
      <c r="CE752" s="6"/>
      <c r="CF752" s="6"/>
      <c r="CG752" s="6"/>
      <c r="CH752" s="6"/>
    </row>
    <row r="753" spans="1:86" ht="16.8" x14ac:dyDescent="0.4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6"/>
      <c r="CA753" s="6"/>
      <c r="CB753" s="6"/>
      <c r="CC753" s="6"/>
      <c r="CD753" s="6"/>
      <c r="CE753" s="6"/>
      <c r="CF753" s="6"/>
      <c r="CG753" s="6"/>
      <c r="CH753" s="6"/>
    </row>
    <row r="754" spans="1:86" ht="16.8" x14ac:dyDescent="0.4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6"/>
      <c r="CA754" s="6"/>
      <c r="CB754" s="6"/>
      <c r="CC754" s="6"/>
      <c r="CD754" s="6"/>
      <c r="CE754" s="6"/>
      <c r="CF754" s="6"/>
      <c r="CG754" s="6"/>
      <c r="CH754" s="6"/>
    </row>
    <row r="755" spans="1:86" ht="16.8" x14ac:dyDescent="0.4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  <c r="BZ755" s="6"/>
      <c r="CA755" s="6"/>
      <c r="CB755" s="6"/>
      <c r="CC755" s="6"/>
      <c r="CD755" s="6"/>
      <c r="CE755" s="6"/>
      <c r="CF755" s="6"/>
      <c r="CG755" s="6"/>
      <c r="CH755" s="6"/>
    </row>
    <row r="756" spans="1:86" ht="16.8" x14ac:dyDescent="0.4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  <c r="BZ756" s="6"/>
      <c r="CA756" s="6"/>
      <c r="CB756" s="6"/>
      <c r="CC756" s="6"/>
      <c r="CD756" s="6"/>
      <c r="CE756" s="6"/>
      <c r="CF756" s="6"/>
      <c r="CG756" s="6"/>
      <c r="CH756" s="6"/>
    </row>
    <row r="757" spans="1:86" ht="16.8" x14ac:dyDescent="0.4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  <c r="BZ757" s="6"/>
      <c r="CA757" s="6"/>
      <c r="CB757" s="6"/>
      <c r="CC757" s="6"/>
      <c r="CD757" s="6"/>
      <c r="CE757" s="6"/>
      <c r="CF757" s="6"/>
      <c r="CG757" s="6"/>
      <c r="CH757" s="6"/>
    </row>
    <row r="758" spans="1:86" ht="16.8" x14ac:dyDescent="0.4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  <c r="BZ758" s="6"/>
      <c r="CA758" s="6"/>
      <c r="CB758" s="6"/>
      <c r="CC758" s="6"/>
      <c r="CD758" s="6"/>
      <c r="CE758" s="6"/>
      <c r="CF758" s="6"/>
      <c r="CG758" s="6"/>
      <c r="CH758" s="6"/>
    </row>
    <row r="759" spans="1:86" ht="16.8" x14ac:dyDescent="0.4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  <c r="CA759" s="6"/>
      <c r="CB759" s="6"/>
      <c r="CC759" s="6"/>
      <c r="CD759" s="6"/>
      <c r="CE759" s="6"/>
      <c r="CF759" s="6"/>
      <c r="CG759" s="6"/>
      <c r="CH759" s="6"/>
    </row>
    <row r="760" spans="1:86" ht="16.8" x14ac:dyDescent="0.4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  <c r="BZ760" s="6"/>
      <c r="CA760" s="6"/>
      <c r="CB760" s="6"/>
      <c r="CC760" s="6"/>
      <c r="CD760" s="6"/>
      <c r="CE760" s="6"/>
      <c r="CF760" s="6"/>
      <c r="CG760" s="6"/>
      <c r="CH760" s="6"/>
    </row>
    <row r="761" spans="1:86" ht="16.8" x14ac:dyDescent="0.4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  <c r="BZ761" s="6"/>
      <c r="CA761" s="6"/>
      <c r="CB761" s="6"/>
      <c r="CC761" s="6"/>
      <c r="CD761" s="6"/>
      <c r="CE761" s="6"/>
      <c r="CF761" s="6"/>
      <c r="CG761" s="6"/>
      <c r="CH761" s="6"/>
    </row>
    <row r="762" spans="1:86" ht="16.8" x14ac:dyDescent="0.4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  <c r="BZ762" s="6"/>
      <c r="CA762" s="6"/>
      <c r="CB762" s="6"/>
      <c r="CC762" s="6"/>
      <c r="CD762" s="6"/>
      <c r="CE762" s="6"/>
      <c r="CF762" s="6"/>
      <c r="CG762" s="6"/>
      <c r="CH762" s="6"/>
    </row>
    <row r="763" spans="1:86" ht="16.8" x14ac:dyDescent="0.4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  <c r="CA763" s="6"/>
      <c r="CB763" s="6"/>
      <c r="CC763" s="6"/>
      <c r="CD763" s="6"/>
      <c r="CE763" s="6"/>
      <c r="CF763" s="6"/>
      <c r="CG763" s="6"/>
      <c r="CH763" s="6"/>
    </row>
    <row r="764" spans="1:86" ht="16.8" x14ac:dyDescent="0.4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  <c r="BZ764" s="6"/>
      <c r="CA764" s="6"/>
      <c r="CB764" s="6"/>
      <c r="CC764" s="6"/>
      <c r="CD764" s="6"/>
      <c r="CE764" s="6"/>
      <c r="CF764" s="6"/>
      <c r="CG764" s="6"/>
      <c r="CH764" s="6"/>
    </row>
    <row r="765" spans="1:86" ht="16.8" x14ac:dyDescent="0.4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  <c r="BZ765" s="6"/>
      <c r="CA765" s="6"/>
      <c r="CB765" s="6"/>
      <c r="CC765" s="6"/>
      <c r="CD765" s="6"/>
      <c r="CE765" s="6"/>
      <c r="CF765" s="6"/>
      <c r="CG765" s="6"/>
      <c r="CH765" s="6"/>
    </row>
    <row r="766" spans="1:86" ht="16.8" x14ac:dyDescent="0.4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  <c r="CA766" s="6"/>
      <c r="CB766" s="6"/>
      <c r="CC766" s="6"/>
      <c r="CD766" s="6"/>
      <c r="CE766" s="6"/>
      <c r="CF766" s="6"/>
      <c r="CG766" s="6"/>
      <c r="CH766" s="6"/>
    </row>
    <row r="767" spans="1:86" ht="16.8" x14ac:dyDescent="0.4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  <c r="BZ767" s="6"/>
      <c r="CA767" s="6"/>
      <c r="CB767" s="6"/>
      <c r="CC767" s="6"/>
      <c r="CD767" s="6"/>
      <c r="CE767" s="6"/>
      <c r="CF767" s="6"/>
      <c r="CG767" s="6"/>
      <c r="CH767" s="6"/>
    </row>
    <row r="768" spans="1:86" ht="16.8" x14ac:dyDescent="0.4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  <c r="BZ768" s="6"/>
      <c r="CA768" s="6"/>
      <c r="CB768" s="6"/>
      <c r="CC768" s="6"/>
      <c r="CD768" s="6"/>
      <c r="CE768" s="6"/>
      <c r="CF768" s="6"/>
      <c r="CG768" s="6"/>
      <c r="CH768" s="6"/>
    </row>
    <row r="769" spans="1:86" ht="16.8" x14ac:dyDescent="0.4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  <c r="BY769" s="6"/>
      <c r="BZ769" s="6"/>
      <c r="CA769" s="6"/>
      <c r="CB769" s="6"/>
      <c r="CC769" s="6"/>
      <c r="CD769" s="6"/>
      <c r="CE769" s="6"/>
      <c r="CF769" s="6"/>
      <c r="CG769" s="6"/>
      <c r="CH769" s="6"/>
    </row>
    <row r="770" spans="1:86" ht="16.8" x14ac:dyDescent="0.4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  <c r="BY770" s="6"/>
      <c r="BZ770" s="6"/>
      <c r="CA770" s="6"/>
      <c r="CB770" s="6"/>
      <c r="CC770" s="6"/>
      <c r="CD770" s="6"/>
      <c r="CE770" s="6"/>
      <c r="CF770" s="6"/>
      <c r="CG770" s="6"/>
      <c r="CH770" s="6"/>
    </row>
    <row r="771" spans="1:86" ht="16.8" x14ac:dyDescent="0.4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6"/>
    </row>
    <row r="772" spans="1:86" ht="16.8" x14ac:dyDescent="0.4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  <c r="CA772" s="6"/>
      <c r="CB772" s="6"/>
      <c r="CC772" s="6"/>
      <c r="CD772" s="6"/>
      <c r="CE772" s="6"/>
      <c r="CF772" s="6"/>
      <c r="CG772" s="6"/>
      <c r="CH772" s="6"/>
    </row>
    <row r="773" spans="1:86" ht="16.8" x14ac:dyDescent="0.4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  <c r="BZ773" s="6"/>
      <c r="CA773" s="6"/>
      <c r="CB773" s="6"/>
      <c r="CC773" s="6"/>
      <c r="CD773" s="6"/>
      <c r="CE773" s="6"/>
      <c r="CF773" s="6"/>
      <c r="CG773" s="6"/>
      <c r="CH773" s="6"/>
    </row>
    <row r="774" spans="1:86" ht="16.8" x14ac:dyDescent="0.4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  <c r="BZ774" s="6"/>
      <c r="CA774" s="6"/>
      <c r="CB774" s="6"/>
      <c r="CC774" s="6"/>
      <c r="CD774" s="6"/>
      <c r="CE774" s="6"/>
      <c r="CF774" s="6"/>
      <c r="CG774" s="6"/>
      <c r="CH774" s="6"/>
    </row>
    <row r="775" spans="1:86" ht="16.8" x14ac:dyDescent="0.4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  <c r="BZ775" s="6"/>
      <c r="CA775" s="6"/>
      <c r="CB775" s="6"/>
      <c r="CC775" s="6"/>
      <c r="CD775" s="6"/>
      <c r="CE775" s="6"/>
      <c r="CF775" s="6"/>
      <c r="CG775" s="6"/>
      <c r="CH775" s="6"/>
    </row>
    <row r="776" spans="1:86" ht="16.8" x14ac:dyDescent="0.4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  <c r="BZ776" s="6"/>
      <c r="CA776" s="6"/>
      <c r="CB776" s="6"/>
      <c r="CC776" s="6"/>
      <c r="CD776" s="6"/>
      <c r="CE776" s="6"/>
      <c r="CF776" s="6"/>
      <c r="CG776" s="6"/>
      <c r="CH776" s="6"/>
    </row>
    <row r="777" spans="1:86" ht="16.8" x14ac:dyDescent="0.4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  <c r="BZ777" s="6"/>
      <c r="CA777" s="6"/>
      <c r="CB777" s="6"/>
      <c r="CC777" s="6"/>
      <c r="CD777" s="6"/>
      <c r="CE777" s="6"/>
      <c r="CF777" s="6"/>
      <c r="CG777" s="6"/>
      <c r="CH777" s="6"/>
    </row>
    <row r="778" spans="1:86" ht="16.8" x14ac:dyDescent="0.4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  <c r="CA778" s="6"/>
      <c r="CB778" s="6"/>
      <c r="CC778" s="6"/>
      <c r="CD778" s="6"/>
      <c r="CE778" s="6"/>
      <c r="CF778" s="6"/>
      <c r="CG778" s="6"/>
      <c r="CH778" s="6"/>
    </row>
    <row r="779" spans="1:86" ht="16.8" x14ac:dyDescent="0.4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  <c r="BZ779" s="6"/>
      <c r="CA779" s="6"/>
      <c r="CB779" s="6"/>
      <c r="CC779" s="6"/>
      <c r="CD779" s="6"/>
      <c r="CE779" s="6"/>
      <c r="CF779" s="6"/>
      <c r="CG779" s="6"/>
      <c r="CH779" s="6"/>
    </row>
    <row r="780" spans="1:86" ht="16.8" x14ac:dyDescent="0.4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  <c r="BZ780" s="6"/>
      <c r="CA780" s="6"/>
      <c r="CB780" s="6"/>
      <c r="CC780" s="6"/>
      <c r="CD780" s="6"/>
      <c r="CE780" s="6"/>
      <c r="CF780" s="6"/>
      <c r="CG780" s="6"/>
      <c r="CH780" s="6"/>
    </row>
    <row r="781" spans="1:86" ht="16.8" x14ac:dyDescent="0.4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  <c r="BZ781" s="6"/>
      <c r="CA781" s="6"/>
      <c r="CB781" s="6"/>
      <c r="CC781" s="6"/>
      <c r="CD781" s="6"/>
      <c r="CE781" s="6"/>
      <c r="CF781" s="6"/>
      <c r="CG781" s="6"/>
      <c r="CH781" s="6"/>
    </row>
    <row r="782" spans="1:86" ht="16.8" x14ac:dyDescent="0.4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  <c r="BZ782" s="6"/>
      <c r="CA782" s="6"/>
      <c r="CB782" s="6"/>
      <c r="CC782" s="6"/>
      <c r="CD782" s="6"/>
      <c r="CE782" s="6"/>
      <c r="CF782" s="6"/>
      <c r="CG782" s="6"/>
      <c r="CH782" s="6"/>
    </row>
    <row r="783" spans="1:86" ht="16.8" x14ac:dyDescent="0.4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  <c r="BZ783" s="6"/>
      <c r="CA783" s="6"/>
      <c r="CB783" s="6"/>
      <c r="CC783" s="6"/>
      <c r="CD783" s="6"/>
      <c r="CE783" s="6"/>
      <c r="CF783" s="6"/>
      <c r="CG783" s="6"/>
      <c r="CH783" s="6"/>
    </row>
    <row r="784" spans="1:86" ht="16.8" x14ac:dyDescent="0.4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  <c r="BZ784" s="6"/>
      <c r="CA784" s="6"/>
      <c r="CB784" s="6"/>
      <c r="CC784" s="6"/>
      <c r="CD784" s="6"/>
      <c r="CE784" s="6"/>
      <c r="CF784" s="6"/>
      <c r="CG784" s="6"/>
      <c r="CH784" s="6"/>
    </row>
    <row r="785" spans="1:86" ht="16.8" x14ac:dyDescent="0.4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6"/>
      <c r="BZ785" s="6"/>
      <c r="CA785" s="6"/>
      <c r="CB785" s="6"/>
      <c r="CC785" s="6"/>
      <c r="CD785" s="6"/>
      <c r="CE785" s="6"/>
      <c r="CF785" s="6"/>
      <c r="CG785" s="6"/>
      <c r="CH785" s="6"/>
    </row>
    <row r="786" spans="1:86" ht="16.8" x14ac:dyDescent="0.4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  <c r="BZ786" s="6"/>
      <c r="CA786" s="6"/>
      <c r="CB786" s="6"/>
      <c r="CC786" s="6"/>
      <c r="CD786" s="6"/>
      <c r="CE786" s="6"/>
      <c r="CF786" s="6"/>
      <c r="CG786" s="6"/>
      <c r="CH786" s="6"/>
    </row>
    <row r="787" spans="1:86" ht="16.8" x14ac:dyDescent="0.4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  <c r="BZ787" s="6"/>
      <c r="CA787" s="6"/>
      <c r="CB787" s="6"/>
      <c r="CC787" s="6"/>
      <c r="CD787" s="6"/>
      <c r="CE787" s="6"/>
      <c r="CF787" s="6"/>
      <c r="CG787" s="6"/>
      <c r="CH787" s="6"/>
    </row>
    <row r="788" spans="1:86" ht="16.8" x14ac:dyDescent="0.4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6"/>
      <c r="BZ788" s="6"/>
      <c r="CA788" s="6"/>
      <c r="CB788" s="6"/>
      <c r="CC788" s="6"/>
      <c r="CD788" s="6"/>
      <c r="CE788" s="6"/>
      <c r="CF788" s="6"/>
      <c r="CG788" s="6"/>
      <c r="CH788" s="6"/>
    </row>
    <row r="789" spans="1:86" ht="16.8" x14ac:dyDescent="0.4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  <c r="BY789" s="6"/>
      <c r="BZ789" s="6"/>
      <c r="CA789" s="6"/>
      <c r="CB789" s="6"/>
      <c r="CC789" s="6"/>
      <c r="CD789" s="6"/>
      <c r="CE789" s="6"/>
      <c r="CF789" s="6"/>
      <c r="CG789" s="6"/>
      <c r="CH789" s="6"/>
    </row>
    <row r="790" spans="1:86" ht="16.8" x14ac:dyDescent="0.4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6"/>
      <c r="BZ790" s="6"/>
      <c r="CA790" s="6"/>
      <c r="CB790" s="6"/>
      <c r="CC790" s="6"/>
      <c r="CD790" s="6"/>
      <c r="CE790" s="6"/>
      <c r="CF790" s="6"/>
      <c r="CG790" s="6"/>
      <c r="CH790" s="6"/>
    </row>
    <row r="791" spans="1:86" ht="16.8" x14ac:dyDescent="0.4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  <c r="BY791" s="6"/>
      <c r="BZ791" s="6"/>
      <c r="CA791" s="6"/>
      <c r="CB791" s="6"/>
      <c r="CC791" s="6"/>
      <c r="CD791" s="6"/>
      <c r="CE791" s="6"/>
      <c r="CF791" s="6"/>
      <c r="CG791" s="6"/>
      <c r="CH791" s="6"/>
    </row>
    <row r="792" spans="1:86" ht="16.8" x14ac:dyDescent="0.4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  <c r="BY792" s="6"/>
      <c r="BZ792" s="6"/>
      <c r="CA792" s="6"/>
      <c r="CB792" s="6"/>
      <c r="CC792" s="6"/>
      <c r="CD792" s="6"/>
      <c r="CE792" s="6"/>
      <c r="CF792" s="6"/>
      <c r="CG792" s="6"/>
      <c r="CH792" s="6"/>
    </row>
    <row r="793" spans="1:86" ht="16.8" x14ac:dyDescent="0.4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  <c r="BY793" s="6"/>
      <c r="BZ793" s="6"/>
      <c r="CA793" s="6"/>
      <c r="CB793" s="6"/>
      <c r="CC793" s="6"/>
      <c r="CD793" s="6"/>
      <c r="CE793" s="6"/>
      <c r="CF793" s="6"/>
      <c r="CG793" s="6"/>
      <c r="CH793" s="6"/>
    </row>
    <row r="794" spans="1:86" ht="16.8" x14ac:dyDescent="0.4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6"/>
      <c r="BZ794" s="6"/>
      <c r="CA794" s="6"/>
      <c r="CB794" s="6"/>
      <c r="CC794" s="6"/>
      <c r="CD794" s="6"/>
      <c r="CE794" s="6"/>
      <c r="CF794" s="6"/>
      <c r="CG794" s="6"/>
      <c r="CH794" s="6"/>
    </row>
    <row r="795" spans="1:86" ht="16.8" x14ac:dyDescent="0.4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  <c r="BY795" s="6"/>
      <c r="BZ795" s="6"/>
      <c r="CA795" s="6"/>
      <c r="CB795" s="6"/>
      <c r="CC795" s="6"/>
      <c r="CD795" s="6"/>
      <c r="CE795" s="6"/>
      <c r="CF795" s="6"/>
      <c r="CG795" s="6"/>
      <c r="CH795" s="6"/>
    </row>
    <row r="796" spans="1:86" ht="16.8" x14ac:dyDescent="0.4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6"/>
      <c r="BZ796" s="6"/>
      <c r="CA796" s="6"/>
      <c r="CB796" s="6"/>
      <c r="CC796" s="6"/>
      <c r="CD796" s="6"/>
      <c r="CE796" s="6"/>
      <c r="CF796" s="6"/>
      <c r="CG796" s="6"/>
      <c r="CH796" s="6"/>
    </row>
    <row r="797" spans="1:86" ht="16.8" x14ac:dyDescent="0.4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  <c r="BY797" s="6"/>
      <c r="BZ797" s="6"/>
      <c r="CA797" s="6"/>
      <c r="CB797" s="6"/>
      <c r="CC797" s="6"/>
      <c r="CD797" s="6"/>
      <c r="CE797" s="6"/>
      <c r="CF797" s="6"/>
      <c r="CG797" s="6"/>
      <c r="CH797" s="6"/>
    </row>
    <row r="798" spans="1:86" ht="16.8" x14ac:dyDescent="0.4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6"/>
      <c r="BZ798" s="6"/>
      <c r="CA798" s="6"/>
      <c r="CB798" s="6"/>
      <c r="CC798" s="6"/>
      <c r="CD798" s="6"/>
      <c r="CE798" s="6"/>
      <c r="CF798" s="6"/>
      <c r="CG798" s="6"/>
      <c r="CH798" s="6"/>
    </row>
    <row r="799" spans="1:86" ht="16.8" x14ac:dyDescent="0.4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  <c r="BZ799" s="6"/>
      <c r="CA799" s="6"/>
      <c r="CB799" s="6"/>
      <c r="CC799" s="6"/>
      <c r="CD799" s="6"/>
      <c r="CE799" s="6"/>
      <c r="CF799" s="6"/>
      <c r="CG799" s="6"/>
      <c r="CH799" s="6"/>
    </row>
    <row r="800" spans="1:86" ht="16.8" x14ac:dyDescent="0.4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  <c r="BZ800" s="6"/>
      <c r="CA800" s="6"/>
      <c r="CB800" s="6"/>
      <c r="CC800" s="6"/>
      <c r="CD800" s="6"/>
      <c r="CE800" s="6"/>
      <c r="CF800" s="6"/>
      <c r="CG800" s="6"/>
      <c r="CH800" s="6"/>
    </row>
    <row r="801" spans="1:86" ht="16.8" x14ac:dyDescent="0.4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  <c r="BZ801" s="6"/>
      <c r="CA801" s="6"/>
      <c r="CB801" s="6"/>
      <c r="CC801" s="6"/>
      <c r="CD801" s="6"/>
      <c r="CE801" s="6"/>
      <c r="CF801" s="6"/>
      <c r="CG801" s="6"/>
      <c r="CH801" s="6"/>
    </row>
    <row r="802" spans="1:86" ht="16.8" x14ac:dyDescent="0.4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  <c r="BZ802" s="6"/>
      <c r="CA802" s="6"/>
      <c r="CB802" s="6"/>
      <c r="CC802" s="6"/>
      <c r="CD802" s="6"/>
      <c r="CE802" s="6"/>
      <c r="CF802" s="6"/>
      <c r="CG802" s="6"/>
      <c r="CH802" s="6"/>
    </row>
    <row r="803" spans="1:86" ht="16.8" x14ac:dyDescent="0.4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  <c r="BZ803" s="6"/>
      <c r="CA803" s="6"/>
      <c r="CB803" s="6"/>
      <c r="CC803" s="6"/>
      <c r="CD803" s="6"/>
      <c r="CE803" s="6"/>
      <c r="CF803" s="6"/>
      <c r="CG803" s="6"/>
      <c r="CH803" s="6"/>
    </row>
    <row r="804" spans="1:86" ht="16.8" x14ac:dyDescent="0.4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6"/>
      <c r="BZ804" s="6"/>
      <c r="CA804" s="6"/>
      <c r="CB804" s="6"/>
      <c r="CC804" s="6"/>
      <c r="CD804" s="6"/>
      <c r="CE804" s="6"/>
      <c r="CF804" s="6"/>
      <c r="CG804" s="6"/>
      <c r="CH804" s="6"/>
    </row>
    <row r="805" spans="1:86" ht="16.8" x14ac:dyDescent="0.4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  <c r="CA805" s="6"/>
      <c r="CB805" s="6"/>
      <c r="CC805" s="6"/>
      <c r="CD805" s="6"/>
      <c r="CE805" s="6"/>
      <c r="CF805" s="6"/>
      <c r="CG805" s="6"/>
      <c r="CH805" s="6"/>
    </row>
    <row r="806" spans="1:86" ht="16.8" x14ac:dyDescent="0.4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  <c r="CA806" s="6"/>
      <c r="CB806" s="6"/>
      <c r="CC806" s="6"/>
      <c r="CD806" s="6"/>
      <c r="CE806" s="6"/>
      <c r="CF806" s="6"/>
      <c r="CG806" s="6"/>
      <c r="CH806" s="6"/>
    </row>
    <row r="807" spans="1:86" ht="16.8" x14ac:dyDescent="0.4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  <c r="BZ807" s="6"/>
      <c r="CA807" s="6"/>
      <c r="CB807" s="6"/>
      <c r="CC807" s="6"/>
      <c r="CD807" s="6"/>
      <c r="CE807" s="6"/>
      <c r="CF807" s="6"/>
      <c r="CG807" s="6"/>
      <c r="CH807" s="6"/>
    </row>
    <row r="808" spans="1:86" ht="16.8" x14ac:dyDescent="0.4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  <c r="BZ808" s="6"/>
      <c r="CA808" s="6"/>
      <c r="CB808" s="6"/>
      <c r="CC808" s="6"/>
      <c r="CD808" s="6"/>
      <c r="CE808" s="6"/>
      <c r="CF808" s="6"/>
      <c r="CG808" s="6"/>
      <c r="CH808" s="6"/>
    </row>
    <row r="809" spans="1:86" ht="16.8" x14ac:dyDescent="0.4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  <c r="BZ809" s="6"/>
      <c r="CA809" s="6"/>
      <c r="CB809" s="6"/>
      <c r="CC809" s="6"/>
      <c r="CD809" s="6"/>
      <c r="CE809" s="6"/>
      <c r="CF809" s="6"/>
      <c r="CG809" s="6"/>
      <c r="CH809" s="6"/>
    </row>
    <row r="810" spans="1:86" ht="16.8" x14ac:dyDescent="0.4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  <c r="BZ810" s="6"/>
      <c r="CA810" s="6"/>
      <c r="CB810" s="6"/>
      <c r="CC810" s="6"/>
      <c r="CD810" s="6"/>
      <c r="CE810" s="6"/>
      <c r="CF810" s="6"/>
      <c r="CG810" s="6"/>
      <c r="CH810" s="6"/>
    </row>
    <row r="811" spans="1:86" ht="16.8" x14ac:dyDescent="0.4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A811" s="6"/>
      <c r="CB811" s="6"/>
      <c r="CC811" s="6"/>
      <c r="CD811" s="6"/>
      <c r="CE811" s="6"/>
      <c r="CF811" s="6"/>
      <c r="CG811" s="6"/>
      <c r="CH811" s="6"/>
    </row>
    <row r="812" spans="1:86" ht="16.8" x14ac:dyDescent="0.4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  <c r="BZ812" s="6"/>
      <c r="CA812" s="6"/>
      <c r="CB812" s="6"/>
      <c r="CC812" s="6"/>
      <c r="CD812" s="6"/>
      <c r="CE812" s="6"/>
      <c r="CF812" s="6"/>
      <c r="CG812" s="6"/>
      <c r="CH812" s="6"/>
    </row>
    <row r="813" spans="1:86" ht="16.8" x14ac:dyDescent="0.4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A813" s="6"/>
      <c r="CB813" s="6"/>
      <c r="CC813" s="6"/>
      <c r="CD813" s="6"/>
      <c r="CE813" s="6"/>
      <c r="CF813" s="6"/>
      <c r="CG813" s="6"/>
      <c r="CH813" s="6"/>
    </row>
    <row r="814" spans="1:86" ht="16.8" x14ac:dyDescent="0.4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  <c r="CA814" s="6"/>
      <c r="CB814" s="6"/>
      <c r="CC814" s="6"/>
      <c r="CD814" s="6"/>
      <c r="CE814" s="6"/>
      <c r="CF814" s="6"/>
      <c r="CG814" s="6"/>
      <c r="CH814" s="6"/>
    </row>
    <row r="815" spans="1:86" ht="16.8" x14ac:dyDescent="0.4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A815" s="6"/>
      <c r="CB815" s="6"/>
      <c r="CC815" s="6"/>
      <c r="CD815" s="6"/>
      <c r="CE815" s="6"/>
      <c r="CF815" s="6"/>
      <c r="CG815" s="6"/>
      <c r="CH815" s="6"/>
    </row>
    <row r="816" spans="1:86" ht="16.8" x14ac:dyDescent="0.4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A816" s="6"/>
      <c r="CB816" s="6"/>
      <c r="CC816" s="6"/>
      <c r="CD816" s="6"/>
      <c r="CE816" s="6"/>
      <c r="CF816" s="6"/>
      <c r="CG816" s="6"/>
      <c r="CH816" s="6"/>
    </row>
    <row r="817" spans="1:86" ht="16.8" x14ac:dyDescent="0.4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  <c r="BZ817" s="6"/>
      <c r="CA817" s="6"/>
      <c r="CB817" s="6"/>
      <c r="CC817" s="6"/>
      <c r="CD817" s="6"/>
      <c r="CE817" s="6"/>
      <c r="CF817" s="6"/>
      <c r="CG817" s="6"/>
      <c r="CH817" s="6"/>
    </row>
    <row r="818" spans="1:86" ht="16.8" x14ac:dyDescent="0.4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  <c r="CA818" s="6"/>
      <c r="CB818" s="6"/>
      <c r="CC818" s="6"/>
      <c r="CD818" s="6"/>
      <c r="CE818" s="6"/>
      <c r="CF818" s="6"/>
      <c r="CG818" s="6"/>
      <c r="CH818" s="6"/>
    </row>
    <row r="819" spans="1:86" ht="16.8" x14ac:dyDescent="0.4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A819" s="6"/>
      <c r="CB819" s="6"/>
      <c r="CC819" s="6"/>
      <c r="CD819" s="6"/>
      <c r="CE819" s="6"/>
      <c r="CF819" s="6"/>
      <c r="CG819" s="6"/>
      <c r="CH819" s="6"/>
    </row>
    <row r="820" spans="1:86" ht="16.8" x14ac:dyDescent="0.4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  <c r="CA820" s="6"/>
      <c r="CB820" s="6"/>
      <c r="CC820" s="6"/>
      <c r="CD820" s="6"/>
      <c r="CE820" s="6"/>
      <c r="CF820" s="6"/>
      <c r="CG820" s="6"/>
      <c r="CH820" s="6"/>
    </row>
    <row r="821" spans="1:86" ht="16.8" x14ac:dyDescent="0.4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A821" s="6"/>
      <c r="CB821" s="6"/>
      <c r="CC821" s="6"/>
      <c r="CD821" s="6"/>
      <c r="CE821" s="6"/>
      <c r="CF821" s="6"/>
      <c r="CG821" s="6"/>
      <c r="CH821" s="6"/>
    </row>
    <row r="822" spans="1:86" ht="16.8" x14ac:dyDescent="0.4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  <c r="CA822" s="6"/>
      <c r="CB822" s="6"/>
      <c r="CC822" s="6"/>
      <c r="CD822" s="6"/>
      <c r="CE822" s="6"/>
      <c r="CF822" s="6"/>
      <c r="CG822" s="6"/>
      <c r="CH822" s="6"/>
    </row>
    <row r="823" spans="1:86" ht="16.8" x14ac:dyDescent="0.4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  <c r="CA823" s="6"/>
      <c r="CB823" s="6"/>
      <c r="CC823" s="6"/>
      <c r="CD823" s="6"/>
      <c r="CE823" s="6"/>
      <c r="CF823" s="6"/>
      <c r="CG823" s="6"/>
      <c r="CH823" s="6"/>
    </row>
    <row r="824" spans="1:86" ht="16.8" x14ac:dyDescent="0.4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  <c r="CB824" s="6"/>
      <c r="CC824" s="6"/>
      <c r="CD824" s="6"/>
      <c r="CE824" s="6"/>
      <c r="CF824" s="6"/>
      <c r="CG824" s="6"/>
      <c r="CH824" s="6"/>
    </row>
    <row r="825" spans="1:86" ht="16.8" x14ac:dyDescent="0.4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  <c r="BZ825" s="6"/>
      <c r="CA825" s="6"/>
      <c r="CB825" s="6"/>
      <c r="CC825" s="6"/>
      <c r="CD825" s="6"/>
      <c r="CE825" s="6"/>
      <c r="CF825" s="6"/>
      <c r="CG825" s="6"/>
      <c r="CH825" s="6"/>
    </row>
    <row r="826" spans="1:86" ht="16.8" x14ac:dyDescent="0.4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  <c r="CA826" s="6"/>
      <c r="CB826" s="6"/>
      <c r="CC826" s="6"/>
      <c r="CD826" s="6"/>
      <c r="CE826" s="6"/>
      <c r="CF826" s="6"/>
      <c r="CG826" s="6"/>
      <c r="CH826" s="6"/>
    </row>
    <row r="827" spans="1:86" ht="16.8" x14ac:dyDescent="0.4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  <c r="BZ827" s="6"/>
      <c r="CA827" s="6"/>
      <c r="CB827" s="6"/>
      <c r="CC827" s="6"/>
      <c r="CD827" s="6"/>
      <c r="CE827" s="6"/>
      <c r="CF827" s="6"/>
      <c r="CG827" s="6"/>
      <c r="CH827" s="6"/>
    </row>
    <row r="828" spans="1:86" ht="16.8" x14ac:dyDescent="0.4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A828" s="6"/>
      <c r="CB828" s="6"/>
      <c r="CC828" s="6"/>
      <c r="CD828" s="6"/>
      <c r="CE828" s="6"/>
      <c r="CF828" s="6"/>
      <c r="CG828" s="6"/>
      <c r="CH828" s="6"/>
    </row>
    <row r="829" spans="1:86" ht="16.8" x14ac:dyDescent="0.4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  <c r="BZ829" s="6"/>
      <c r="CA829" s="6"/>
      <c r="CB829" s="6"/>
      <c r="CC829" s="6"/>
      <c r="CD829" s="6"/>
      <c r="CE829" s="6"/>
      <c r="CF829" s="6"/>
      <c r="CG829" s="6"/>
      <c r="CH829" s="6"/>
    </row>
    <row r="830" spans="1:86" ht="16.8" x14ac:dyDescent="0.4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  <c r="BZ830" s="6"/>
      <c r="CA830" s="6"/>
      <c r="CB830" s="6"/>
      <c r="CC830" s="6"/>
      <c r="CD830" s="6"/>
      <c r="CE830" s="6"/>
      <c r="CF830" s="6"/>
      <c r="CG830" s="6"/>
      <c r="CH830" s="6"/>
    </row>
    <row r="831" spans="1:86" ht="16.8" x14ac:dyDescent="0.4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  <c r="BZ831" s="6"/>
      <c r="CA831" s="6"/>
      <c r="CB831" s="6"/>
      <c r="CC831" s="6"/>
      <c r="CD831" s="6"/>
      <c r="CE831" s="6"/>
      <c r="CF831" s="6"/>
      <c r="CG831" s="6"/>
      <c r="CH831" s="6"/>
    </row>
    <row r="832" spans="1:86" ht="16.8" x14ac:dyDescent="0.4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  <c r="BZ832" s="6"/>
      <c r="CA832" s="6"/>
      <c r="CB832" s="6"/>
      <c r="CC832" s="6"/>
      <c r="CD832" s="6"/>
      <c r="CE832" s="6"/>
      <c r="CF832" s="6"/>
      <c r="CG832" s="6"/>
      <c r="CH832" s="6"/>
    </row>
    <row r="833" spans="1:86" ht="16.8" x14ac:dyDescent="0.4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  <c r="CA833" s="6"/>
      <c r="CB833" s="6"/>
      <c r="CC833" s="6"/>
      <c r="CD833" s="6"/>
      <c r="CE833" s="6"/>
      <c r="CF833" s="6"/>
      <c r="CG833" s="6"/>
      <c r="CH833" s="6"/>
    </row>
    <row r="834" spans="1:86" ht="16.8" x14ac:dyDescent="0.4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  <c r="BZ834" s="6"/>
      <c r="CA834" s="6"/>
      <c r="CB834" s="6"/>
      <c r="CC834" s="6"/>
      <c r="CD834" s="6"/>
      <c r="CE834" s="6"/>
      <c r="CF834" s="6"/>
      <c r="CG834" s="6"/>
      <c r="CH834" s="6"/>
    </row>
    <row r="835" spans="1:86" ht="16.8" x14ac:dyDescent="0.4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  <c r="CA835" s="6"/>
      <c r="CB835" s="6"/>
      <c r="CC835" s="6"/>
      <c r="CD835" s="6"/>
      <c r="CE835" s="6"/>
      <c r="CF835" s="6"/>
      <c r="CG835" s="6"/>
      <c r="CH835" s="6"/>
    </row>
    <row r="836" spans="1:86" ht="16.8" x14ac:dyDescent="0.4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6"/>
      <c r="CA836" s="6"/>
      <c r="CB836" s="6"/>
      <c r="CC836" s="6"/>
      <c r="CD836" s="6"/>
      <c r="CE836" s="6"/>
      <c r="CF836" s="6"/>
      <c r="CG836" s="6"/>
      <c r="CH836" s="6"/>
    </row>
    <row r="837" spans="1:86" ht="16.8" x14ac:dyDescent="0.4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  <c r="BZ837" s="6"/>
      <c r="CA837" s="6"/>
      <c r="CB837" s="6"/>
      <c r="CC837" s="6"/>
      <c r="CD837" s="6"/>
      <c r="CE837" s="6"/>
      <c r="CF837" s="6"/>
      <c r="CG837" s="6"/>
      <c r="CH837" s="6"/>
    </row>
    <row r="838" spans="1:86" ht="16.8" x14ac:dyDescent="0.4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  <c r="BZ838" s="6"/>
      <c r="CA838" s="6"/>
      <c r="CB838" s="6"/>
      <c r="CC838" s="6"/>
      <c r="CD838" s="6"/>
      <c r="CE838" s="6"/>
      <c r="CF838" s="6"/>
      <c r="CG838" s="6"/>
      <c r="CH838" s="6"/>
    </row>
    <row r="839" spans="1:86" ht="16.8" x14ac:dyDescent="0.4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  <c r="BZ839" s="6"/>
      <c r="CA839" s="6"/>
      <c r="CB839" s="6"/>
      <c r="CC839" s="6"/>
      <c r="CD839" s="6"/>
      <c r="CE839" s="6"/>
      <c r="CF839" s="6"/>
      <c r="CG839" s="6"/>
      <c r="CH839" s="6"/>
    </row>
    <row r="840" spans="1:86" ht="16.8" x14ac:dyDescent="0.4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  <c r="CA840" s="6"/>
      <c r="CB840" s="6"/>
      <c r="CC840" s="6"/>
      <c r="CD840" s="6"/>
      <c r="CE840" s="6"/>
      <c r="CF840" s="6"/>
      <c r="CG840" s="6"/>
      <c r="CH840" s="6"/>
    </row>
    <row r="841" spans="1:86" ht="16.8" x14ac:dyDescent="0.4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  <c r="BZ841" s="6"/>
      <c r="CA841" s="6"/>
      <c r="CB841" s="6"/>
      <c r="CC841" s="6"/>
      <c r="CD841" s="6"/>
      <c r="CE841" s="6"/>
      <c r="CF841" s="6"/>
      <c r="CG841" s="6"/>
      <c r="CH841" s="6"/>
    </row>
    <row r="842" spans="1:86" ht="16.8" x14ac:dyDescent="0.4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  <c r="CA842" s="6"/>
      <c r="CB842" s="6"/>
      <c r="CC842" s="6"/>
      <c r="CD842" s="6"/>
      <c r="CE842" s="6"/>
      <c r="CF842" s="6"/>
      <c r="CG842" s="6"/>
      <c r="CH842" s="6"/>
    </row>
    <row r="843" spans="1:86" ht="16.8" x14ac:dyDescent="0.4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  <c r="BZ843" s="6"/>
      <c r="CA843" s="6"/>
      <c r="CB843" s="6"/>
      <c r="CC843" s="6"/>
      <c r="CD843" s="6"/>
      <c r="CE843" s="6"/>
      <c r="CF843" s="6"/>
      <c r="CG843" s="6"/>
      <c r="CH843" s="6"/>
    </row>
    <row r="844" spans="1:86" ht="16.8" x14ac:dyDescent="0.4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  <c r="BZ844" s="6"/>
      <c r="CA844" s="6"/>
      <c r="CB844" s="6"/>
      <c r="CC844" s="6"/>
      <c r="CD844" s="6"/>
      <c r="CE844" s="6"/>
      <c r="CF844" s="6"/>
      <c r="CG844" s="6"/>
      <c r="CH844" s="6"/>
    </row>
    <row r="845" spans="1:86" ht="16.8" x14ac:dyDescent="0.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  <c r="BZ845" s="6"/>
      <c r="CA845" s="6"/>
      <c r="CB845" s="6"/>
      <c r="CC845" s="6"/>
      <c r="CD845" s="6"/>
      <c r="CE845" s="6"/>
      <c r="CF845" s="6"/>
      <c r="CG845" s="6"/>
      <c r="CH845" s="6"/>
    </row>
    <row r="846" spans="1:86" ht="16.8" x14ac:dyDescent="0.4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  <c r="BZ846" s="6"/>
      <c r="CA846" s="6"/>
      <c r="CB846" s="6"/>
      <c r="CC846" s="6"/>
      <c r="CD846" s="6"/>
      <c r="CE846" s="6"/>
      <c r="CF846" s="6"/>
      <c r="CG846" s="6"/>
      <c r="CH846" s="6"/>
    </row>
    <row r="847" spans="1:86" ht="16.8" x14ac:dyDescent="0.4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  <c r="BZ847" s="6"/>
      <c r="CA847" s="6"/>
      <c r="CB847" s="6"/>
      <c r="CC847" s="6"/>
      <c r="CD847" s="6"/>
      <c r="CE847" s="6"/>
      <c r="CF847" s="6"/>
      <c r="CG847" s="6"/>
      <c r="CH847" s="6"/>
    </row>
    <row r="848" spans="1:86" ht="16.8" x14ac:dyDescent="0.4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  <c r="BZ848" s="6"/>
      <c r="CA848" s="6"/>
      <c r="CB848" s="6"/>
      <c r="CC848" s="6"/>
      <c r="CD848" s="6"/>
      <c r="CE848" s="6"/>
      <c r="CF848" s="6"/>
      <c r="CG848" s="6"/>
      <c r="CH848" s="6"/>
    </row>
    <row r="849" spans="1:86" ht="16.8" x14ac:dyDescent="0.4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  <c r="BZ849" s="6"/>
      <c r="CA849" s="6"/>
      <c r="CB849" s="6"/>
      <c r="CC849" s="6"/>
      <c r="CD849" s="6"/>
      <c r="CE849" s="6"/>
      <c r="CF849" s="6"/>
      <c r="CG849" s="6"/>
      <c r="CH849" s="6"/>
    </row>
    <row r="850" spans="1:86" ht="16.8" x14ac:dyDescent="0.4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A850" s="6"/>
      <c r="CB850" s="6"/>
      <c r="CC850" s="6"/>
      <c r="CD850" s="6"/>
      <c r="CE850" s="6"/>
      <c r="CF850" s="6"/>
      <c r="CG850" s="6"/>
      <c r="CH850" s="6"/>
    </row>
    <row r="851" spans="1:86" ht="16.8" x14ac:dyDescent="0.4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  <c r="BZ851" s="6"/>
      <c r="CA851" s="6"/>
      <c r="CB851" s="6"/>
      <c r="CC851" s="6"/>
      <c r="CD851" s="6"/>
      <c r="CE851" s="6"/>
      <c r="CF851" s="6"/>
      <c r="CG851" s="6"/>
      <c r="CH851" s="6"/>
    </row>
    <row r="852" spans="1:86" ht="16.8" x14ac:dyDescent="0.4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  <c r="BZ852" s="6"/>
      <c r="CA852" s="6"/>
      <c r="CB852" s="6"/>
      <c r="CC852" s="6"/>
      <c r="CD852" s="6"/>
      <c r="CE852" s="6"/>
      <c r="CF852" s="6"/>
      <c r="CG852" s="6"/>
      <c r="CH852" s="6"/>
    </row>
    <row r="853" spans="1:86" ht="16.8" x14ac:dyDescent="0.4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  <c r="BZ853" s="6"/>
      <c r="CA853" s="6"/>
      <c r="CB853" s="6"/>
      <c r="CC853" s="6"/>
      <c r="CD853" s="6"/>
      <c r="CE853" s="6"/>
      <c r="CF853" s="6"/>
      <c r="CG853" s="6"/>
      <c r="CH853" s="6"/>
    </row>
    <row r="854" spans="1:86" ht="16.8" x14ac:dyDescent="0.4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  <c r="BZ854" s="6"/>
      <c r="CA854" s="6"/>
      <c r="CB854" s="6"/>
      <c r="CC854" s="6"/>
      <c r="CD854" s="6"/>
      <c r="CE854" s="6"/>
      <c r="CF854" s="6"/>
      <c r="CG854" s="6"/>
      <c r="CH854" s="6"/>
    </row>
    <row r="855" spans="1:86" ht="16.8" x14ac:dyDescent="0.4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  <c r="BZ855" s="6"/>
      <c r="CA855" s="6"/>
      <c r="CB855" s="6"/>
      <c r="CC855" s="6"/>
      <c r="CD855" s="6"/>
      <c r="CE855" s="6"/>
      <c r="CF855" s="6"/>
      <c r="CG855" s="6"/>
      <c r="CH855" s="6"/>
    </row>
    <row r="856" spans="1:86" ht="16.8" x14ac:dyDescent="0.4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  <c r="BZ856" s="6"/>
      <c r="CA856" s="6"/>
      <c r="CB856" s="6"/>
      <c r="CC856" s="6"/>
      <c r="CD856" s="6"/>
      <c r="CE856" s="6"/>
      <c r="CF856" s="6"/>
      <c r="CG856" s="6"/>
      <c r="CH856" s="6"/>
    </row>
    <row r="857" spans="1:86" ht="16.8" x14ac:dyDescent="0.4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  <c r="BZ857" s="6"/>
      <c r="CA857" s="6"/>
      <c r="CB857" s="6"/>
      <c r="CC857" s="6"/>
      <c r="CD857" s="6"/>
      <c r="CE857" s="6"/>
      <c r="CF857" s="6"/>
      <c r="CG857" s="6"/>
      <c r="CH857" s="6"/>
    </row>
    <row r="858" spans="1:86" ht="16.8" x14ac:dyDescent="0.4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6"/>
      <c r="BZ858" s="6"/>
      <c r="CA858" s="6"/>
      <c r="CB858" s="6"/>
      <c r="CC858" s="6"/>
      <c r="CD858" s="6"/>
      <c r="CE858" s="6"/>
      <c r="CF858" s="6"/>
      <c r="CG858" s="6"/>
      <c r="CH858" s="6"/>
    </row>
    <row r="859" spans="1:86" ht="16.8" x14ac:dyDescent="0.4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  <c r="BZ859" s="6"/>
      <c r="CA859" s="6"/>
      <c r="CB859" s="6"/>
      <c r="CC859" s="6"/>
      <c r="CD859" s="6"/>
      <c r="CE859" s="6"/>
      <c r="CF859" s="6"/>
      <c r="CG859" s="6"/>
      <c r="CH859" s="6"/>
    </row>
    <row r="860" spans="1:86" ht="16.8" x14ac:dyDescent="0.4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  <c r="BZ860" s="6"/>
      <c r="CA860" s="6"/>
      <c r="CB860" s="6"/>
      <c r="CC860" s="6"/>
      <c r="CD860" s="6"/>
      <c r="CE860" s="6"/>
      <c r="CF860" s="6"/>
      <c r="CG860" s="6"/>
      <c r="CH860" s="6"/>
    </row>
    <row r="861" spans="1:86" ht="16.8" x14ac:dyDescent="0.4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  <c r="BZ861" s="6"/>
      <c r="CA861" s="6"/>
      <c r="CB861" s="6"/>
      <c r="CC861" s="6"/>
      <c r="CD861" s="6"/>
      <c r="CE861" s="6"/>
      <c r="CF861" s="6"/>
      <c r="CG861" s="6"/>
      <c r="CH861" s="6"/>
    </row>
    <row r="862" spans="1:86" ht="16.8" x14ac:dyDescent="0.4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  <c r="BZ862" s="6"/>
      <c r="CA862" s="6"/>
      <c r="CB862" s="6"/>
      <c r="CC862" s="6"/>
      <c r="CD862" s="6"/>
      <c r="CE862" s="6"/>
      <c r="CF862" s="6"/>
      <c r="CG862" s="6"/>
      <c r="CH862" s="6"/>
    </row>
    <row r="863" spans="1:86" ht="16.8" x14ac:dyDescent="0.4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  <c r="BZ863" s="6"/>
      <c r="CA863" s="6"/>
      <c r="CB863" s="6"/>
      <c r="CC863" s="6"/>
      <c r="CD863" s="6"/>
      <c r="CE863" s="6"/>
      <c r="CF863" s="6"/>
      <c r="CG863" s="6"/>
      <c r="CH863" s="6"/>
    </row>
    <row r="864" spans="1:86" ht="16.8" x14ac:dyDescent="0.4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6"/>
      <c r="BZ864" s="6"/>
      <c r="CA864" s="6"/>
      <c r="CB864" s="6"/>
      <c r="CC864" s="6"/>
      <c r="CD864" s="6"/>
      <c r="CE864" s="6"/>
      <c r="CF864" s="6"/>
      <c r="CG864" s="6"/>
      <c r="CH864" s="6"/>
    </row>
    <row r="865" spans="1:86" ht="16.8" x14ac:dyDescent="0.4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  <c r="BZ865" s="6"/>
      <c r="CA865" s="6"/>
      <c r="CB865" s="6"/>
      <c r="CC865" s="6"/>
      <c r="CD865" s="6"/>
      <c r="CE865" s="6"/>
      <c r="CF865" s="6"/>
      <c r="CG865" s="6"/>
      <c r="CH865" s="6"/>
    </row>
    <row r="866" spans="1:86" ht="16.8" x14ac:dyDescent="0.4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  <c r="BY866" s="6"/>
      <c r="BZ866" s="6"/>
      <c r="CA866" s="6"/>
      <c r="CB866" s="6"/>
      <c r="CC866" s="6"/>
      <c r="CD866" s="6"/>
      <c r="CE866" s="6"/>
      <c r="CF866" s="6"/>
      <c r="CG866" s="6"/>
      <c r="CH866" s="6"/>
    </row>
    <row r="867" spans="1:86" ht="16.8" x14ac:dyDescent="0.4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  <c r="BZ867" s="6"/>
      <c r="CA867" s="6"/>
      <c r="CB867" s="6"/>
      <c r="CC867" s="6"/>
      <c r="CD867" s="6"/>
      <c r="CE867" s="6"/>
      <c r="CF867" s="6"/>
      <c r="CG867" s="6"/>
      <c r="CH867" s="6"/>
    </row>
    <row r="868" spans="1:86" ht="16.8" x14ac:dyDescent="0.4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6"/>
      <c r="BZ868" s="6"/>
      <c r="CA868" s="6"/>
      <c r="CB868" s="6"/>
      <c r="CC868" s="6"/>
      <c r="CD868" s="6"/>
      <c r="CE868" s="6"/>
      <c r="CF868" s="6"/>
      <c r="CG868" s="6"/>
      <c r="CH868" s="6"/>
    </row>
    <row r="869" spans="1:86" ht="16.8" x14ac:dyDescent="0.4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  <c r="BY869" s="6"/>
      <c r="BZ869" s="6"/>
      <c r="CA869" s="6"/>
      <c r="CB869" s="6"/>
      <c r="CC869" s="6"/>
      <c r="CD869" s="6"/>
      <c r="CE869" s="6"/>
      <c r="CF869" s="6"/>
      <c r="CG869" s="6"/>
      <c r="CH869" s="6"/>
    </row>
    <row r="870" spans="1:86" ht="16.8" x14ac:dyDescent="0.4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  <c r="BY870" s="6"/>
      <c r="BZ870" s="6"/>
      <c r="CA870" s="6"/>
      <c r="CB870" s="6"/>
      <c r="CC870" s="6"/>
      <c r="CD870" s="6"/>
      <c r="CE870" s="6"/>
      <c r="CF870" s="6"/>
      <c r="CG870" s="6"/>
      <c r="CH870" s="6"/>
    </row>
    <row r="871" spans="1:86" ht="16.8" x14ac:dyDescent="0.4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  <c r="BY871" s="6"/>
      <c r="BZ871" s="6"/>
      <c r="CA871" s="6"/>
      <c r="CB871" s="6"/>
      <c r="CC871" s="6"/>
      <c r="CD871" s="6"/>
      <c r="CE871" s="6"/>
      <c r="CF871" s="6"/>
      <c r="CG871" s="6"/>
      <c r="CH871" s="6"/>
    </row>
    <row r="872" spans="1:86" ht="16.8" x14ac:dyDescent="0.4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6"/>
      <c r="BZ872" s="6"/>
      <c r="CA872" s="6"/>
      <c r="CB872" s="6"/>
      <c r="CC872" s="6"/>
      <c r="CD872" s="6"/>
      <c r="CE872" s="6"/>
      <c r="CF872" s="6"/>
      <c r="CG872" s="6"/>
      <c r="CH872" s="6"/>
    </row>
    <row r="873" spans="1:86" ht="16.8" x14ac:dyDescent="0.4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6"/>
      <c r="BZ873" s="6"/>
      <c r="CA873" s="6"/>
      <c r="CB873" s="6"/>
      <c r="CC873" s="6"/>
      <c r="CD873" s="6"/>
      <c r="CE873" s="6"/>
      <c r="CF873" s="6"/>
      <c r="CG873" s="6"/>
      <c r="CH873" s="6"/>
    </row>
    <row r="874" spans="1:86" ht="16.8" x14ac:dyDescent="0.4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6"/>
      <c r="BZ874" s="6"/>
      <c r="CA874" s="6"/>
      <c r="CB874" s="6"/>
      <c r="CC874" s="6"/>
      <c r="CD874" s="6"/>
      <c r="CE874" s="6"/>
      <c r="CF874" s="6"/>
      <c r="CG874" s="6"/>
      <c r="CH874" s="6"/>
    </row>
    <row r="875" spans="1:86" ht="16.8" x14ac:dyDescent="0.4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  <c r="BY875" s="6"/>
      <c r="BZ875" s="6"/>
      <c r="CA875" s="6"/>
      <c r="CB875" s="6"/>
      <c r="CC875" s="6"/>
      <c r="CD875" s="6"/>
      <c r="CE875" s="6"/>
      <c r="CF875" s="6"/>
      <c r="CG875" s="6"/>
      <c r="CH875" s="6"/>
    </row>
    <row r="876" spans="1:86" ht="16.8" x14ac:dyDescent="0.4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6"/>
      <c r="BZ876" s="6"/>
      <c r="CA876" s="6"/>
      <c r="CB876" s="6"/>
      <c r="CC876" s="6"/>
      <c r="CD876" s="6"/>
      <c r="CE876" s="6"/>
      <c r="CF876" s="6"/>
      <c r="CG876" s="6"/>
      <c r="CH876" s="6"/>
    </row>
    <row r="877" spans="1:86" ht="16.8" x14ac:dyDescent="0.4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/>
      <c r="BY877" s="6"/>
      <c r="BZ877" s="6"/>
      <c r="CA877" s="6"/>
      <c r="CB877" s="6"/>
      <c r="CC877" s="6"/>
      <c r="CD877" s="6"/>
      <c r="CE877" s="6"/>
      <c r="CF877" s="6"/>
      <c r="CG877" s="6"/>
      <c r="CH877" s="6"/>
    </row>
    <row r="878" spans="1:86" ht="16.8" x14ac:dyDescent="0.4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6"/>
      <c r="BZ878" s="6"/>
      <c r="CA878" s="6"/>
      <c r="CB878" s="6"/>
      <c r="CC878" s="6"/>
      <c r="CD878" s="6"/>
      <c r="CE878" s="6"/>
      <c r="CF878" s="6"/>
      <c r="CG878" s="6"/>
      <c r="CH878" s="6"/>
    </row>
    <row r="879" spans="1:86" ht="16.8" x14ac:dyDescent="0.4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  <c r="BY879" s="6"/>
      <c r="BZ879" s="6"/>
      <c r="CA879" s="6"/>
      <c r="CB879" s="6"/>
      <c r="CC879" s="6"/>
      <c r="CD879" s="6"/>
      <c r="CE879" s="6"/>
      <c r="CF879" s="6"/>
      <c r="CG879" s="6"/>
      <c r="CH879" s="6"/>
    </row>
    <row r="880" spans="1:86" ht="16.8" x14ac:dyDescent="0.4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  <c r="BY880" s="6"/>
      <c r="BZ880" s="6"/>
      <c r="CA880" s="6"/>
      <c r="CB880" s="6"/>
      <c r="CC880" s="6"/>
      <c r="CD880" s="6"/>
      <c r="CE880" s="6"/>
      <c r="CF880" s="6"/>
      <c r="CG880" s="6"/>
      <c r="CH880" s="6"/>
    </row>
    <row r="881" spans="1:86" ht="16.8" x14ac:dyDescent="0.4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  <c r="BY881" s="6"/>
      <c r="BZ881" s="6"/>
      <c r="CA881" s="6"/>
      <c r="CB881" s="6"/>
      <c r="CC881" s="6"/>
      <c r="CD881" s="6"/>
      <c r="CE881" s="6"/>
      <c r="CF881" s="6"/>
      <c r="CG881" s="6"/>
      <c r="CH881" s="6"/>
    </row>
    <row r="882" spans="1:86" ht="16.8" x14ac:dyDescent="0.4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  <c r="BY882" s="6"/>
      <c r="BZ882" s="6"/>
      <c r="CA882" s="6"/>
      <c r="CB882" s="6"/>
      <c r="CC882" s="6"/>
      <c r="CD882" s="6"/>
      <c r="CE882" s="6"/>
      <c r="CF882" s="6"/>
      <c r="CG882" s="6"/>
      <c r="CH882" s="6"/>
    </row>
    <row r="883" spans="1:86" ht="16.8" x14ac:dyDescent="0.4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6"/>
      <c r="BZ883" s="6"/>
      <c r="CA883" s="6"/>
      <c r="CB883" s="6"/>
      <c r="CC883" s="6"/>
      <c r="CD883" s="6"/>
      <c r="CE883" s="6"/>
      <c r="CF883" s="6"/>
      <c r="CG883" s="6"/>
      <c r="CH883" s="6"/>
    </row>
    <row r="884" spans="1:86" ht="16.8" x14ac:dyDescent="0.4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6"/>
      <c r="BZ884" s="6"/>
      <c r="CA884" s="6"/>
      <c r="CB884" s="6"/>
      <c r="CC884" s="6"/>
      <c r="CD884" s="6"/>
      <c r="CE884" s="6"/>
      <c r="CF884" s="6"/>
      <c r="CG884" s="6"/>
      <c r="CH884" s="6"/>
    </row>
    <row r="885" spans="1:86" ht="16.8" x14ac:dyDescent="0.4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  <c r="BZ885" s="6"/>
      <c r="CA885" s="6"/>
      <c r="CB885" s="6"/>
      <c r="CC885" s="6"/>
      <c r="CD885" s="6"/>
      <c r="CE885" s="6"/>
      <c r="CF885" s="6"/>
      <c r="CG885" s="6"/>
      <c r="CH885" s="6"/>
    </row>
    <row r="886" spans="1:86" ht="16.8" x14ac:dyDescent="0.4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6"/>
      <c r="BZ886" s="6"/>
      <c r="CA886" s="6"/>
      <c r="CB886" s="6"/>
      <c r="CC886" s="6"/>
      <c r="CD886" s="6"/>
      <c r="CE886" s="6"/>
      <c r="CF886" s="6"/>
      <c r="CG886" s="6"/>
      <c r="CH886" s="6"/>
    </row>
    <row r="887" spans="1:86" ht="16.8" x14ac:dyDescent="0.4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6"/>
      <c r="BZ887" s="6"/>
      <c r="CA887" s="6"/>
      <c r="CB887" s="6"/>
      <c r="CC887" s="6"/>
      <c r="CD887" s="6"/>
      <c r="CE887" s="6"/>
      <c r="CF887" s="6"/>
      <c r="CG887" s="6"/>
      <c r="CH887" s="6"/>
    </row>
    <row r="888" spans="1:86" ht="16.8" x14ac:dyDescent="0.4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6"/>
      <c r="BZ888" s="6"/>
      <c r="CA888" s="6"/>
      <c r="CB888" s="6"/>
      <c r="CC888" s="6"/>
      <c r="CD888" s="6"/>
      <c r="CE888" s="6"/>
      <c r="CF888" s="6"/>
      <c r="CG888" s="6"/>
      <c r="CH888" s="6"/>
    </row>
    <row r="889" spans="1:86" ht="16.8" x14ac:dyDescent="0.4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6"/>
      <c r="BZ889" s="6"/>
      <c r="CA889" s="6"/>
      <c r="CB889" s="6"/>
      <c r="CC889" s="6"/>
      <c r="CD889" s="6"/>
      <c r="CE889" s="6"/>
      <c r="CF889" s="6"/>
      <c r="CG889" s="6"/>
      <c r="CH889" s="6"/>
    </row>
    <row r="890" spans="1:86" ht="16.8" x14ac:dyDescent="0.4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6"/>
      <c r="BZ890" s="6"/>
      <c r="CA890" s="6"/>
      <c r="CB890" s="6"/>
      <c r="CC890" s="6"/>
      <c r="CD890" s="6"/>
      <c r="CE890" s="6"/>
      <c r="CF890" s="6"/>
      <c r="CG890" s="6"/>
      <c r="CH890" s="6"/>
    </row>
    <row r="891" spans="1:86" ht="16.8" x14ac:dyDescent="0.4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6"/>
      <c r="BZ891" s="6"/>
      <c r="CA891" s="6"/>
      <c r="CB891" s="6"/>
      <c r="CC891" s="6"/>
      <c r="CD891" s="6"/>
      <c r="CE891" s="6"/>
      <c r="CF891" s="6"/>
      <c r="CG891" s="6"/>
      <c r="CH891" s="6"/>
    </row>
    <row r="892" spans="1:86" ht="16.8" x14ac:dyDescent="0.4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  <c r="BY892" s="6"/>
      <c r="BZ892" s="6"/>
      <c r="CA892" s="6"/>
      <c r="CB892" s="6"/>
      <c r="CC892" s="6"/>
      <c r="CD892" s="6"/>
      <c r="CE892" s="6"/>
      <c r="CF892" s="6"/>
      <c r="CG892" s="6"/>
      <c r="CH892" s="6"/>
    </row>
    <row r="893" spans="1:86" ht="16.8" x14ac:dyDescent="0.4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6"/>
      <c r="BZ893" s="6"/>
      <c r="CA893" s="6"/>
      <c r="CB893" s="6"/>
      <c r="CC893" s="6"/>
      <c r="CD893" s="6"/>
      <c r="CE893" s="6"/>
      <c r="CF893" s="6"/>
      <c r="CG893" s="6"/>
      <c r="CH893" s="6"/>
    </row>
    <row r="894" spans="1:86" ht="16.8" x14ac:dyDescent="0.4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  <c r="BY894" s="6"/>
      <c r="BZ894" s="6"/>
      <c r="CA894" s="6"/>
      <c r="CB894" s="6"/>
      <c r="CC894" s="6"/>
      <c r="CD894" s="6"/>
      <c r="CE894" s="6"/>
      <c r="CF894" s="6"/>
      <c r="CG894" s="6"/>
      <c r="CH894" s="6"/>
    </row>
    <row r="895" spans="1:86" ht="16.8" x14ac:dyDescent="0.4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  <c r="BY895" s="6"/>
      <c r="BZ895" s="6"/>
      <c r="CA895" s="6"/>
      <c r="CB895" s="6"/>
      <c r="CC895" s="6"/>
      <c r="CD895" s="6"/>
      <c r="CE895" s="6"/>
      <c r="CF895" s="6"/>
      <c r="CG895" s="6"/>
      <c r="CH895" s="6"/>
    </row>
    <row r="896" spans="1:86" ht="16.8" x14ac:dyDescent="0.4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  <c r="BY896" s="6"/>
      <c r="BZ896" s="6"/>
      <c r="CA896" s="6"/>
      <c r="CB896" s="6"/>
      <c r="CC896" s="6"/>
      <c r="CD896" s="6"/>
      <c r="CE896" s="6"/>
      <c r="CF896" s="6"/>
      <c r="CG896" s="6"/>
      <c r="CH896" s="6"/>
    </row>
    <row r="897" spans="1:86" ht="16.8" x14ac:dyDescent="0.4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  <c r="BY897" s="6"/>
      <c r="BZ897" s="6"/>
      <c r="CA897" s="6"/>
      <c r="CB897" s="6"/>
      <c r="CC897" s="6"/>
      <c r="CD897" s="6"/>
      <c r="CE897" s="6"/>
      <c r="CF897" s="6"/>
      <c r="CG897" s="6"/>
      <c r="CH897" s="6"/>
    </row>
    <row r="898" spans="1:86" ht="16.8" x14ac:dyDescent="0.4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6"/>
      <c r="BZ898" s="6"/>
      <c r="CA898" s="6"/>
      <c r="CB898" s="6"/>
      <c r="CC898" s="6"/>
      <c r="CD898" s="6"/>
      <c r="CE898" s="6"/>
      <c r="CF898" s="6"/>
      <c r="CG898" s="6"/>
      <c r="CH898" s="6"/>
    </row>
    <row r="899" spans="1:86" ht="16.8" x14ac:dyDescent="0.4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6"/>
      <c r="BZ899" s="6"/>
      <c r="CA899" s="6"/>
      <c r="CB899" s="6"/>
      <c r="CC899" s="6"/>
      <c r="CD899" s="6"/>
      <c r="CE899" s="6"/>
      <c r="CF899" s="6"/>
      <c r="CG899" s="6"/>
      <c r="CH899" s="6"/>
    </row>
    <row r="900" spans="1:86" ht="16.8" x14ac:dyDescent="0.4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6"/>
      <c r="BZ900" s="6"/>
      <c r="CA900" s="6"/>
      <c r="CB900" s="6"/>
      <c r="CC900" s="6"/>
      <c r="CD900" s="6"/>
      <c r="CE900" s="6"/>
      <c r="CF900" s="6"/>
      <c r="CG900" s="6"/>
      <c r="CH900" s="6"/>
    </row>
    <row r="901" spans="1:86" ht="16.8" x14ac:dyDescent="0.4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6"/>
      <c r="BZ901" s="6"/>
      <c r="CA901" s="6"/>
      <c r="CB901" s="6"/>
      <c r="CC901" s="6"/>
      <c r="CD901" s="6"/>
      <c r="CE901" s="6"/>
      <c r="CF901" s="6"/>
      <c r="CG901" s="6"/>
      <c r="CH901" s="6"/>
    </row>
    <row r="902" spans="1:86" ht="16.8" x14ac:dyDescent="0.4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6"/>
      <c r="BZ902" s="6"/>
      <c r="CA902" s="6"/>
      <c r="CB902" s="6"/>
      <c r="CC902" s="6"/>
      <c r="CD902" s="6"/>
      <c r="CE902" s="6"/>
      <c r="CF902" s="6"/>
      <c r="CG902" s="6"/>
      <c r="CH902" s="6"/>
    </row>
    <row r="903" spans="1:86" ht="16.8" x14ac:dyDescent="0.4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  <c r="BZ903" s="6"/>
      <c r="CA903" s="6"/>
      <c r="CB903" s="6"/>
      <c r="CC903" s="6"/>
      <c r="CD903" s="6"/>
      <c r="CE903" s="6"/>
      <c r="CF903" s="6"/>
      <c r="CG903" s="6"/>
      <c r="CH903" s="6"/>
    </row>
    <row r="904" spans="1:86" ht="16.8" x14ac:dyDescent="0.4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  <c r="BY904" s="6"/>
      <c r="BZ904" s="6"/>
      <c r="CA904" s="6"/>
      <c r="CB904" s="6"/>
      <c r="CC904" s="6"/>
      <c r="CD904" s="6"/>
      <c r="CE904" s="6"/>
      <c r="CF904" s="6"/>
      <c r="CG904" s="6"/>
      <c r="CH904" s="6"/>
    </row>
    <row r="905" spans="1:86" ht="16.8" x14ac:dyDescent="0.4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6"/>
      <c r="BZ905" s="6"/>
      <c r="CA905" s="6"/>
      <c r="CB905" s="6"/>
      <c r="CC905" s="6"/>
      <c r="CD905" s="6"/>
      <c r="CE905" s="6"/>
      <c r="CF905" s="6"/>
      <c r="CG905" s="6"/>
      <c r="CH905" s="6"/>
    </row>
    <row r="906" spans="1:86" ht="16.8" x14ac:dyDescent="0.4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6"/>
      <c r="BZ906" s="6"/>
      <c r="CA906" s="6"/>
      <c r="CB906" s="6"/>
      <c r="CC906" s="6"/>
      <c r="CD906" s="6"/>
      <c r="CE906" s="6"/>
      <c r="CF906" s="6"/>
      <c r="CG906" s="6"/>
      <c r="CH906" s="6"/>
    </row>
    <row r="907" spans="1:86" ht="16.8" x14ac:dyDescent="0.4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  <c r="BY907" s="6"/>
      <c r="BZ907" s="6"/>
      <c r="CA907" s="6"/>
      <c r="CB907" s="6"/>
      <c r="CC907" s="6"/>
      <c r="CD907" s="6"/>
      <c r="CE907" s="6"/>
      <c r="CF907" s="6"/>
      <c r="CG907" s="6"/>
      <c r="CH907" s="6"/>
    </row>
    <row r="908" spans="1:86" ht="16.8" x14ac:dyDescent="0.4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  <c r="BZ908" s="6"/>
      <c r="CA908" s="6"/>
      <c r="CB908" s="6"/>
      <c r="CC908" s="6"/>
      <c r="CD908" s="6"/>
      <c r="CE908" s="6"/>
      <c r="CF908" s="6"/>
      <c r="CG908" s="6"/>
      <c r="CH908" s="6"/>
    </row>
    <row r="909" spans="1:86" ht="16.8" x14ac:dyDescent="0.4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  <c r="BY909" s="6"/>
      <c r="BZ909" s="6"/>
      <c r="CA909" s="6"/>
      <c r="CB909" s="6"/>
      <c r="CC909" s="6"/>
      <c r="CD909" s="6"/>
      <c r="CE909" s="6"/>
      <c r="CF909" s="6"/>
      <c r="CG909" s="6"/>
      <c r="CH909" s="6"/>
    </row>
    <row r="910" spans="1:86" ht="16.8" x14ac:dyDescent="0.4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  <c r="BZ910" s="6"/>
      <c r="CA910" s="6"/>
      <c r="CB910" s="6"/>
      <c r="CC910" s="6"/>
      <c r="CD910" s="6"/>
      <c r="CE910" s="6"/>
      <c r="CF910" s="6"/>
      <c r="CG910" s="6"/>
      <c r="CH910" s="6"/>
    </row>
    <row r="911" spans="1:86" ht="16.8" x14ac:dyDescent="0.4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  <c r="BY911" s="6"/>
      <c r="BZ911" s="6"/>
      <c r="CA911" s="6"/>
      <c r="CB911" s="6"/>
      <c r="CC911" s="6"/>
      <c r="CD911" s="6"/>
      <c r="CE911" s="6"/>
      <c r="CF911" s="6"/>
      <c r="CG911" s="6"/>
      <c r="CH911" s="6"/>
    </row>
    <row r="912" spans="1:86" ht="16.8" x14ac:dyDescent="0.4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  <c r="BY912" s="6"/>
      <c r="BZ912" s="6"/>
      <c r="CA912" s="6"/>
      <c r="CB912" s="6"/>
      <c r="CC912" s="6"/>
      <c r="CD912" s="6"/>
      <c r="CE912" s="6"/>
      <c r="CF912" s="6"/>
      <c r="CG912" s="6"/>
      <c r="CH912" s="6"/>
    </row>
    <row r="913" spans="1:86" ht="16.8" x14ac:dyDescent="0.4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  <c r="BZ913" s="6"/>
      <c r="CA913" s="6"/>
      <c r="CB913" s="6"/>
      <c r="CC913" s="6"/>
      <c r="CD913" s="6"/>
      <c r="CE913" s="6"/>
      <c r="CF913" s="6"/>
      <c r="CG913" s="6"/>
      <c r="CH913" s="6"/>
    </row>
    <row r="914" spans="1:86" ht="16.8" x14ac:dyDescent="0.4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  <c r="BZ914" s="6"/>
      <c r="CA914" s="6"/>
      <c r="CB914" s="6"/>
      <c r="CC914" s="6"/>
      <c r="CD914" s="6"/>
      <c r="CE914" s="6"/>
      <c r="CF914" s="6"/>
      <c r="CG914" s="6"/>
      <c r="CH914" s="6"/>
    </row>
    <row r="915" spans="1:86" ht="16.8" x14ac:dyDescent="0.4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  <c r="BY915" s="6"/>
      <c r="BZ915" s="6"/>
      <c r="CA915" s="6"/>
      <c r="CB915" s="6"/>
      <c r="CC915" s="6"/>
      <c r="CD915" s="6"/>
      <c r="CE915" s="6"/>
      <c r="CF915" s="6"/>
      <c r="CG915" s="6"/>
      <c r="CH915" s="6"/>
    </row>
    <row r="916" spans="1:86" ht="16.8" x14ac:dyDescent="0.4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  <c r="BY916" s="6"/>
      <c r="BZ916" s="6"/>
      <c r="CA916" s="6"/>
      <c r="CB916" s="6"/>
      <c r="CC916" s="6"/>
      <c r="CD916" s="6"/>
      <c r="CE916" s="6"/>
      <c r="CF916" s="6"/>
      <c r="CG916" s="6"/>
      <c r="CH916" s="6"/>
    </row>
    <row r="917" spans="1:86" ht="16.8" x14ac:dyDescent="0.4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  <c r="BY917" s="6"/>
      <c r="BZ917" s="6"/>
      <c r="CA917" s="6"/>
      <c r="CB917" s="6"/>
      <c r="CC917" s="6"/>
      <c r="CD917" s="6"/>
      <c r="CE917" s="6"/>
      <c r="CF917" s="6"/>
      <c r="CG917" s="6"/>
      <c r="CH917" s="6"/>
    </row>
    <row r="918" spans="1:86" ht="16.8" x14ac:dyDescent="0.4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  <c r="BZ918" s="6"/>
      <c r="CA918" s="6"/>
      <c r="CB918" s="6"/>
      <c r="CC918" s="6"/>
      <c r="CD918" s="6"/>
      <c r="CE918" s="6"/>
      <c r="CF918" s="6"/>
      <c r="CG918" s="6"/>
      <c r="CH918" s="6"/>
    </row>
    <row r="919" spans="1:86" ht="16.8" x14ac:dyDescent="0.4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  <c r="BY919" s="6"/>
      <c r="BZ919" s="6"/>
      <c r="CA919" s="6"/>
      <c r="CB919" s="6"/>
      <c r="CC919" s="6"/>
      <c r="CD919" s="6"/>
      <c r="CE919" s="6"/>
      <c r="CF919" s="6"/>
      <c r="CG919" s="6"/>
      <c r="CH919" s="6"/>
    </row>
    <row r="920" spans="1:86" ht="16.8" x14ac:dyDescent="0.4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  <c r="BY920" s="6"/>
      <c r="BZ920" s="6"/>
      <c r="CA920" s="6"/>
      <c r="CB920" s="6"/>
      <c r="CC920" s="6"/>
      <c r="CD920" s="6"/>
      <c r="CE920" s="6"/>
      <c r="CF920" s="6"/>
      <c r="CG920" s="6"/>
      <c r="CH920" s="6"/>
    </row>
    <row r="921" spans="1:86" ht="16.8" x14ac:dyDescent="0.4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  <c r="BY921" s="6"/>
      <c r="BZ921" s="6"/>
      <c r="CA921" s="6"/>
      <c r="CB921" s="6"/>
      <c r="CC921" s="6"/>
      <c r="CD921" s="6"/>
      <c r="CE921" s="6"/>
      <c r="CF921" s="6"/>
      <c r="CG921" s="6"/>
      <c r="CH921" s="6"/>
    </row>
    <row r="922" spans="1:86" ht="16.8" x14ac:dyDescent="0.4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  <c r="BY922" s="6"/>
      <c r="BZ922" s="6"/>
      <c r="CA922" s="6"/>
      <c r="CB922" s="6"/>
      <c r="CC922" s="6"/>
      <c r="CD922" s="6"/>
      <c r="CE922" s="6"/>
      <c r="CF922" s="6"/>
      <c r="CG922" s="6"/>
      <c r="CH922" s="6"/>
    </row>
    <row r="923" spans="1:86" ht="16.8" x14ac:dyDescent="0.4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  <c r="BZ923" s="6"/>
      <c r="CA923" s="6"/>
      <c r="CB923" s="6"/>
      <c r="CC923" s="6"/>
      <c r="CD923" s="6"/>
      <c r="CE923" s="6"/>
      <c r="CF923" s="6"/>
      <c r="CG923" s="6"/>
      <c r="CH923" s="6"/>
    </row>
    <row r="924" spans="1:86" ht="16.8" x14ac:dyDescent="0.4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  <c r="BY924" s="6"/>
      <c r="BZ924" s="6"/>
      <c r="CA924" s="6"/>
      <c r="CB924" s="6"/>
      <c r="CC924" s="6"/>
      <c r="CD924" s="6"/>
      <c r="CE924" s="6"/>
      <c r="CF924" s="6"/>
      <c r="CG924" s="6"/>
      <c r="CH924" s="6"/>
    </row>
    <row r="925" spans="1:86" ht="16.8" x14ac:dyDescent="0.4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  <c r="BY925" s="6"/>
      <c r="BZ925" s="6"/>
      <c r="CA925" s="6"/>
      <c r="CB925" s="6"/>
      <c r="CC925" s="6"/>
      <c r="CD925" s="6"/>
      <c r="CE925" s="6"/>
      <c r="CF925" s="6"/>
      <c r="CG925" s="6"/>
      <c r="CH925" s="6"/>
    </row>
    <row r="926" spans="1:86" ht="16.8" x14ac:dyDescent="0.4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  <c r="BY926" s="6"/>
      <c r="BZ926" s="6"/>
      <c r="CA926" s="6"/>
      <c r="CB926" s="6"/>
      <c r="CC926" s="6"/>
      <c r="CD926" s="6"/>
      <c r="CE926" s="6"/>
      <c r="CF926" s="6"/>
      <c r="CG926" s="6"/>
      <c r="CH926" s="6"/>
    </row>
    <row r="927" spans="1:86" ht="16.8" x14ac:dyDescent="0.4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/>
      <c r="BY927" s="6"/>
      <c r="BZ927" s="6"/>
      <c r="CA927" s="6"/>
      <c r="CB927" s="6"/>
      <c r="CC927" s="6"/>
      <c r="CD927" s="6"/>
      <c r="CE927" s="6"/>
      <c r="CF927" s="6"/>
      <c r="CG927" s="6"/>
      <c r="CH927" s="6"/>
    </row>
    <row r="928" spans="1:86" ht="16.8" x14ac:dyDescent="0.4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  <c r="BY928" s="6"/>
      <c r="BZ928" s="6"/>
      <c r="CA928" s="6"/>
      <c r="CB928" s="6"/>
      <c r="CC928" s="6"/>
      <c r="CD928" s="6"/>
      <c r="CE928" s="6"/>
      <c r="CF928" s="6"/>
      <c r="CG928" s="6"/>
      <c r="CH928" s="6"/>
    </row>
    <row r="929" spans="1:86" ht="16.8" x14ac:dyDescent="0.4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/>
      <c r="BY929" s="6"/>
      <c r="BZ929" s="6"/>
      <c r="CA929" s="6"/>
      <c r="CB929" s="6"/>
      <c r="CC929" s="6"/>
      <c r="CD929" s="6"/>
      <c r="CE929" s="6"/>
      <c r="CF929" s="6"/>
      <c r="CG929" s="6"/>
      <c r="CH929" s="6"/>
    </row>
    <row r="930" spans="1:86" ht="16.8" x14ac:dyDescent="0.4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  <c r="BY930" s="6"/>
      <c r="BZ930" s="6"/>
      <c r="CA930" s="6"/>
      <c r="CB930" s="6"/>
      <c r="CC930" s="6"/>
      <c r="CD930" s="6"/>
      <c r="CE930" s="6"/>
      <c r="CF930" s="6"/>
      <c r="CG930" s="6"/>
      <c r="CH930" s="6"/>
    </row>
    <row r="931" spans="1:86" ht="16.8" x14ac:dyDescent="0.4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/>
      <c r="BY931" s="6"/>
      <c r="BZ931" s="6"/>
      <c r="CA931" s="6"/>
      <c r="CB931" s="6"/>
      <c r="CC931" s="6"/>
      <c r="CD931" s="6"/>
      <c r="CE931" s="6"/>
      <c r="CF931" s="6"/>
      <c r="CG931" s="6"/>
      <c r="CH931" s="6"/>
    </row>
    <row r="932" spans="1:86" ht="16.8" x14ac:dyDescent="0.4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  <c r="BY932" s="6"/>
      <c r="BZ932" s="6"/>
      <c r="CA932" s="6"/>
      <c r="CB932" s="6"/>
      <c r="CC932" s="6"/>
      <c r="CD932" s="6"/>
      <c r="CE932" s="6"/>
      <c r="CF932" s="6"/>
      <c r="CG932" s="6"/>
      <c r="CH932" s="6"/>
    </row>
    <row r="933" spans="1:86" ht="16.8" x14ac:dyDescent="0.4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  <c r="BY933" s="6"/>
      <c r="BZ933" s="6"/>
      <c r="CA933" s="6"/>
      <c r="CB933" s="6"/>
      <c r="CC933" s="6"/>
      <c r="CD933" s="6"/>
      <c r="CE933" s="6"/>
      <c r="CF933" s="6"/>
      <c r="CG933" s="6"/>
      <c r="CH933" s="6"/>
    </row>
    <row r="934" spans="1:86" ht="16.8" x14ac:dyDescent="0.4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  <c r="BY934" s="6"/>
      <c r="BZ934" s="6"/>
      <c r="CA934" s="6"/>
      <c r="CB934" s="6"/>
      <c r="CC934" s="6"/>
      <c r="CD934" s="6"/>
      <c r="CE934" s="6"/>
      <c r="CF934" s="6"/>
      <c r="CG934" s="6"/>
      <c r="CH934" s="6"/>
    </row>
    <row r="935" spans="1:86" ht="16.8" x14ac:dyDescent="0.4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  <c r="BY935" s="6"/>
      <c r="BZ935" s="6"/>
      <c r="CA935" s="6"/>
      <c r="CB935" s="6"/>
      <c r="CC935" s="6"/>
      <c r="CD935" s="6"/>
      <c r="CE935" s="6"/>
      <c r="CF935" s="6"/>
      <c r="CG935" s="6"/>
      <c r="CH935" s="6"/>
    </row>
    <row r="936" spans="1:86" ht="16.8" x14ac:dyDescent="0.4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  <c r="BY936" s="6"/>
      <c r="BZ936" s="6"/>
      <c r="CA936" s="6"/>
      <c r="CB936" s="6"/>
      <c r="CC936" s="6"/>
      <c r="CD936" s="6"/>
      <c r="CE936" s="6"/>
      <c r="CF936" s="6"/>
      <c r="CG936" s="6"/>
      <c r="CH936" s="6"/>
    </row>
    <row r="937" spans="1:86" ht="16.8" x14ac:dyDescent="0.4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  <c r="BY937" s="6"/>
      <c r="BZ937" s="6"/>
      <c r="CA937" s="6"/>
      <c r="CB937" s="6"/>
      <c r="CC937" s="6"/>
      <c r="CD937" s="6"/>
      <c r="CE937" s="6"/>
      <c r="CF937" s="6"/>
      <c r="CG937" s="6"/>
      <c r="CH937" s="6"/>
    </row>
    <row r="938" spans="1:86" ht="16.8" x14ac:dyDescent="0.4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  <c r="BY938" s="6"/>
      <c r="BZ938" s="6"/>
      <c r="CA938" s="6"/>
      <c r="CB938" s="6"/>
      <c r="CC938" s="6"/>
      <c r="CD938" s="6"/>
      <c r="CE938" s="6"/>
      <c r="CF938" s="6"/>
      <c r="CG938" s="6"/>
      <c r="CH938" s="6"/>
    </row>
    <row r="939" spans="1:86" ht="16.8" x14ac:dyDescent="0.4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  <c r="BY939" s="6"/>
      <c r="BZ939" s="6"/>
      <c r="CA939" s="6"/>
      <c r="CB939" s="6"/>
      <c r="CC939" s="6"/>
      <c r="CD939" s="6"/>
      <c r="CE939" s="6"/>
      <c r="CF939" s="6"/>
      <c r="CG939" s="6"/>
      <c r="CH939" s="6"/>
    </row>
    <row r="940" spans="1:86" ht="16.8" x14ac:dyDescent="0.4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  <c r="BY940" s="6"/>
      <c r="BZ940" s="6"/>
      <c r="CA940" s="6"/>
      <c r="CB940" s="6"/>
      <c r="CC940" s="6"/>
      <c r="CD940" s="6"/>
      <c r="CE940" s="6"/>
      <c r="CF940" s="6"/>
      <c r="CG940" s="6"/>
      <c r="CH940" s="6"/>
    </row>
    <row r="941" spans="1:86" ht="16.8" x14ac:dyDescent="0.4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  <c r="BY941" s="6"/>
      <c r="BZ941" s="6"/>
      <c r="CA941" s="6"/>
      <c r="CB941" s="6"/>
      <c r="CC941" s="6"/>
      <c r="CD941" s="6"/>
      <c r="CE941" s="6"/>
      <c r="CF941" s="6"/>
      <c r="CG941" s="6"/>
      <c r="CH941" s="6"/>
    </row>
    <row r="942" spans="1:86" ht="16.8" x14ac:dyDescent="0.4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  <c r="BY942" s="6"/>
      <c r="BZ942" s="6"/>
      <c r="CA942" s="6"/>
      <c r="CB942" s="6"/>
      <c r="CC942" s="6"/>
      <c r="CD942" s="6"/>
      <c r="CE942" s="6"/>
      <c r="CF942" s="6"/>
      <c r="CG942" s="6"/>
      <c r="CH942" s="6"/>
    </row>
    <row r="943" spans="1:86" ht="16.8" x14ac:dyDescent="0.4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  <c r="BY943" s="6"/>
      <c r="BZ943" s="6"/>
      <c r="CA943" s="6"/>
      <c r="CB943" s="6"/>
      <c r="CC943" s="6"/>
      <c r="CD943" s="6"/>
      <c r="CE943" s="6"/>
      <c r="CF943" s="6"/>
      <c r="CG943" s="6"/>
      <c r="CH943" s="6"/>
    </row>
    <row r="944" spans="1:86" ht="16.8" x14ac:dyDescent="0.4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  <c r="BZ944" s="6"/>
      <c r="CA944" s="6"/>
      <c r="CB944" s="6"/>
      <c r="CC944" s="6"/>
      <c r="CD944" s="6"/>
      <c r="CE944" s="6"/>
      <c r="CF944" s="6"/>
      <c r="CG944" s="6"/>
      <c r="CH944" s="6"/>
    </row>
    <row r="945" spans="1:86" ht="16.8" x14ac:dyDescent="0.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  <c r="BZ945" s="6"/>
      <c r="CA945" s="6"/>
      <c r="CB945" s="6"/>
      <c r="CC945" s="6"/>
      <c r="CD945" s="6"/>
      <c r="CE945" s="6"/>
      <c r="CF945" s="6"/>
      <c r="CG945" s="6"/>
      <c r="CH945" s="6"/>
    </row>
    <row r="946" spans="1:86" ht="16.8" x14ac:dyDescent="0.4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  <c r="BZ946" s="6"/>
      <c r="CA946" s="6"/>
      <c r="CB946" s="6"/>
      <c r="CC946" s="6"/>
      <c r="CD946" s="6"/>
      <c r="CE946" s="6"/>
      <c r="CF946" s="6"/>
      <c r="CG946" s="6"/>
      <c r="CH946" s="6"/>
    </row>
    <row r="947" spans="1:86" ht="16.8" x14ac:dyDescent="0.4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  <c r="BZ947" s="6"/>
      <c r="CA947" s="6"/>
      <c r="CB947" s="6"/>
      <c r="CC947" s="6"/>
      <c r="CD947" s="6"/>
      <c r="CE947" s="6"/>
      <c r="CF947" s="6"/>
      <c r="CG947" s="6"/>
      <c r="CH947" s="6"/>
    </row>
    <row r="948" spans="1:86" ht="16.8" x14ac:dyDescent="0.4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  <c r="BZ948" s="6"/>
      <c r="CA948" s="6"/>
      <c r="CB948" s="6"/>
      <c r="CC948" s="6"/>
      <c r="CD948" s="6"/>
      <c r="CE948" s="6"/>
      <c r="CF948" s="6"/>
      <c r="CG948" s="6"/>
      <c r="CH948" s="6"/>
    </row>
    <row r="949" spans="1:86" ht="16.8" x14ac:dyDescent="0.4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  <c r="BZ949" s="6"/>
      <c r="CA949" s="6"/>
      <c r="CB949" s="6"/>
      <c r="CC949" s="6"/>
      <c r="CD949" s="6"/>
      <c r="CE949" s="6"/>
      <c r="CF949" s="6"/>
      <c r="CG949" s="6"/>
      <c r="CH949" s="6"/>
    </row>
    <row r="950" spans="1:86" ht="16.8" x14ac:dyDescent="0.4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  <c r="CA950" s="6"/>
      <c r="CB950" s="6"/>
      <c r="CC950" s="6"/>
      <c r="CD950" s="6"/>
      <c r="CE950" s="6"/>
      <c r="CF950" s="6"/>
      <c r="CG950" s="6"/>
      <c r="CH950" s="6"/>
    </row>
    <row r="951" spans="1:86" ht="16.8" x14ac:dyDescent="0.4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A951" s="6"/>
      <c r="CB951" s="6"/>
      <c r="CC951" s="6"/>
      <c r="CD951" s="6"/>
      <c r="CE951" s="6"/>
      <c r="CF951" s="6"/>
      <c r="CG951" s="6"/>
      <c r="CH951" s="6"/>
    </row>
    <row r="952" spans="1:86" ht="16.8" x14ac:dyDescent="0.4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A952" s="6"/>
      <c r="CB952" s="6"/>
      <c r="CC952" s="6"/>
      <c r="CD952" s="6"/>
      <c r="CE952" s="6"/>
      <c r="CF952" s="6"/>
      <c r="CG952" s="6"/>
      <c r="CH952" s="6"/>
    </row>
    <row r="953" spans="1:86" ht="16.8" x14ac:dyDescent="0.4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  <c r="CA953" s="6"/>
      <c r="CB953" s="6"/>
      <c r="CC953" s="6"/>
      <c r="CD953" s="6"/>
      <c r="CE953" s="6"/>
      <c r="CF953" s="6"/>
      <c r="CG953" s="6"/>
      <c r="CH953" s="6"/>
    </row>
    <row r="954" spans="1:86" ht="16.8" x14ac:dyDescent="0.4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  <c r="CA954" s="6"/>
      <c r="CB954" s="6"/>
      <c r="CC954" s="6"/>
      <c r="CD954" s="6"/>
      <c r="CE954" s="6"/>
      <c r="CF954" s="6"/>
      <c r="CG954" s="6"/>
      <c r="CH954" s="6"/>
    </row>
    <row r="955" spans="1:86" ht="16.8" x14ac:dyDescent="0.4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A955" s="6"/>
      <c r="CB955" s="6"/>
      <c r="CC955" s="6"/>
      <c r="CD955" s="6"/>
      <c r="CE955" s="6"/>
      <c r="CF955" s="6"/>
      <c r="CG955" s="6"/>
      <c r="CH955" s="6"/>
    </row>
    <row r="956" spans="1:86" ht="16.8" x14ac:dyDescent="0.4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  <c r="CA956" s="6"/>
      <c r="CB956" s="6"/>
      <c r="CC956" s="6"/>
      <c r="CD956" s="6"/>
      <c r="CE956" s="6"/>
      <c r="CF956" s="6"/>
      <c r="CG956" s="6"/>
      <c r="CH956" s="6"/>
    </row>
    <row r="957" spans="1:86" ht="16.8" x14ac:dyDescent="0.4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A957" s="6"/>
      <c r="CB957" s="6"/>
      <c r="CC957" s="6"/>
      <c r="CD957" s="6"/>
      <c r="CE957" s="6"/>
      <c r="CF957" s="6"/>
      <c r="CG957" s="6"/>
      <c r="CH957" s="6"/>
    </row>
    <row r="958" spans="1:86" ht="16.8" x14ac:dyDescent="0.4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A958" s="6"/>
      <c r="CB958" s="6"/>
      <c r="CC958" s="6"/>
      <c r="CD958" s="6"/>
      <c r="CE958" s="6"/>
      <c r="CF958" s="6"/>
      <c r="CG958" s="6"/>
      <c r="CH958" s="6"/>
    </row>
    <row r="959" spans="1:86" ht="16.8" x14ac:dyDescent="0.4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  <c r="BZ959" s="6"/>
      <c r="CA959" s="6"/>
      <c r="CB959" s="6"/>
      <c r="CC959" s="6"/>
      <c r="CD959" s="6"/>
      <c r="CE959" s="6"/>
      <c r="CF959" s="6"/>
      <c r="CG959" s="6"/>
      <c r="CH959" s="6"/>
    </row>
    <row r="960" spans="1:86" ht="16.8" x14ac:dyDescent="0.4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  <c r="BY960" s="6"/>
      <c r="BZ960" s="6"/>
      <c r="CA960" s="6"/>
      <c r="CB960" s="6"/>
      <c r="CC960" s="6"/>
      <c r="CD960" s="6"/>
      <c r="CE960" s="6"/>
      <c r="CF960" s="6"/>
      <c r="CG960" s="6"/>
      <c r="CH960" s="6"/>
    </row>
    <row r="961" spans="1:86" ht="16.8" x14ac:dyDescent="0.4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  <c r="CA961" s="6"/>
      <c r="CB961" s="6"/>
      <c r="CC961" s="6"/>
      <c r="CD961" s="6"/>
      <c r="CE961" s="6"/>
      <c r="CF961" s="6"/>
      <c r="CG961" s="6"/>
      <c r="CH961" s="6"/>
    </row>
    <row r="962" spans="1:86" ht="16.8" x14ac:dyDescent="0.4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  <c r="CA962" s="6"/>
      <c r="CB962" s="6"/>
      <c r="CC962" s="6"/>
      <c r="CD962" s="6"/>
      <c r="CE962" s="6"/>
      <c r="CF962" s="6"/>
      <c r="CG962" s="6"/>
      <c r="CH962" s="6"/>
    </row>
    <row r="963" spans="1:86" ht="16.8" x14ac:dyDescent="0.4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  <c r="CA963" s="6"/>
      <c r="CB963" s="6"/>
      <c r="CC963" s="6"/>
      <c r="CD963" s="6"/>
      <c r="CE963" s="6"/>
      <c r="CF963" s="6"/>
      <c r="CG963" s="6"/>
      <c r="CH963" s="6"/>
    </row>
    <row r="964" spans="1:86" ht="16.8" x14ac:dyDescent="0.4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A964" s="6"/>
      <c r="CB964" s="6"/>
      <c r="CC964" s="6"/>
      <c r="CD964" s="6"/>
      <c r="CE964" s="6"/>
      <c r="CF964" s="6"/>
      <c r="CG964" s="6"/>
      <c r="CH964" s="6"/>
    </row>
    <row r="965" spans="1:86" ht="16.8" x14ac:dyDescent="0.4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A965" s="6"/>
      <c r="CB965" s="6"/>
      <c r="CC965" s="6"/>
      <c r="CD965" s="6"/>
      <c r="CE965" s="6"/>
      <c r="CF965" s="6"/>
      <c r="CG965" s="6"/>
      <c r="CH965" s="6"/>
    </row>
    <row r="966" spans="1:86" ht="16.8" x14ac:dyDescent="0.4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A966" s="6"/>
      <c r="CB966" s="6"/>
      <c r="CC966" s="6"/>
      <c r="CD966" s="6"/>
      <c r="CE966" s="6"/>
      <c r="CF966" s="6"/>
      <c r="CG966" s="6"/>
      <c r="CH966" s="6"/>
    </row>
    <row r="967" spans="1:86" ht="16.8" x14ac:dyDescent="0.4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  <c r="CA967" s="6"/>
      <c r="CB967" s="6"/>
      <c r="CC967" s="6"/>
      <c r="CD967" s="6"/>
      <c r="CE967" s="6"/>
      <c r="CF967" s="6"/>
      <c r="CG967" s="6"/>
      <c r="CH967" s="6"/>
    </row>
    <row r="968" spans="1:86" ht="16.8" x14ac:dyDescent="0.4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A968" s="6"/>
      <c r="CB968" s="6"/>
      <c r="CC968" s="6"/>
      <c r="CD968" s="6"/>
      <c r="CE968" s="6"/>
      <c r="CF968" s="6"/>
      <c r="CG968" s="6"/>
      <c r="CH968" s="6"/>
    </row>
    <row r="969" spans="1:86" ht="16.8" x14ac:dyDescent="0.4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A969" s="6"/>
      <c r="CB969" s="6"/>
      <c r="CC969" s="6"/>
      <c r="CD969" s="6"/>
      <c r="CE969" s="6"/>
      <c r="CF969" s="6"/>
      <c r="CG969" s="6"/>
      <c r="CH969" s="6"/>
    </row>
    <row r="970" spans="1:86" ht="16.8" x14ac:dyDescent="0.4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A970" s="6"/>
      <c r="CB970" s="6"/>
      <c r="CC970" s="6"/>
      <c r="CD970" s="6"/>
      <c r="CE970" s="6"/>
      <c r="CF970" s="6"/>
      <c r="CG970" s="6"/>
      <c r="CH970" s="6"/>
    </row>
    <row r="971" spans="1:86" ht="16.8" x14ac:dyDescent="0.4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A971" s="6"/>
      <c r="CB971" s="6"/>
      <c r="CC971" s="6"/>
      <c r="CD971" s="6"/>
      <c r="CE971" s="6"/>
      <c r="CF971" s="6"/>
      <c r="CG971" s="6"/>
      <c r="CH971" s="6"/>
    </row>
    <row r="972" spans="1:86" ht="16.8" x14ac:dyDescent="0.4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A972" s="6"/>
      <c r="CB972" s="6"/>
      <c r="CC972" s="6"/>
      <c r="CD972" s="6"/>
      <c r="CE972" s="6"/>
      <c r="CF972" s="6"/>
      <c r="CG972" s="6"/>
      <c r="CH972" s="6"/>
    </row>
    <row r="973" spans="1:86" ht="16.8" x14ac:dyDescent="0.4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A973" s="6"/>
      <c r="CB973" s="6"/>
      <c r="CC973" s="6"/>
      <c r="CD973" s="6"/>
      <c r="CE973" s="6"/>
      <c r="CF973" s="6"/>
      <c r="CG973" s="6"/>
      <c r="CH973" s="6"/>
    </row>
    <row r="974" spans="1:86" ht="16.8" x14ac:dyDescent="0.4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A974" s="6"/>
      <c r="CB974" s="6"/>
      <c r="CC974" s="6"/>
      <c r="CD974" s="6"/>
      <c r="CE974" s="6"/>
      <c r="CF974" s="6"/>
      <c r="CG974" s="6"/>
      <c r="CH974" s="6"/>
    </row>
    <row r="975" spans="1:86" ht="16.8" x14ac:dyDescent="0.4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A975" s="6"/>
      <c r="CB975" s="6"/>
      <c r="CC975" s="6"/>
      <c r="CD975" s="6"/>
      <c r="CE975" s="6"/>
      <c r="CF975" s="6"/>
      <c r="CG975" s="6"/>
      <c r="CH975" s="6"/>
    </row>
    <row r="976" spans="1:86" ht="16.8" x14ac:dyDescent="0.4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  <c r="BZ976" s="6"/>
      <c r="CA976" s="6"/>
      <c r="CB976" s="6"/>
      <c r="CC976" s="6"/>
      <c r="CD976" s="6"/>
      <c r="CE976" s="6"/>
      <c r="CF976" s="6"/>
      <c r="CG976" s="6"/>
      <c r="CH976" s="6"/>
    </row>
    <row r="977" spans="1:86" ht="16.8" x14ac:dyDescent="0.4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  <c r="CA977" s="6"/>
      <c r="CB977" s="6"/>
      <c r="CC977" s="6"/>
      <c r="CD977" s="6"/>
      <c r="CE977" s="6"/>
      <c r="CF977" s="6"/>
      <c r="CG977" s="6"/>
      <c r="CH977" s="6"/>
    </row>
    <row r="978" spans="1:86" ht="16.8" x14ac:dyDescent="0.4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  <c r="BY978" s="6"/>
      <c r="BZ978" s="6"/>
      <c r="CA978" s="6"/>
      <c r="CB978" s="6"/>
      <c r="CC978" s="6"/>
      <c r="CD978" s="6"/>
      <c r="CE978" s="6"/>
      <c r="CF978" s="6"/>
      <c r="CG978" s="6"/>
      <c r="CH978" s="6"/>
    </row>
    <row r="979" spans="1:86" ht="16.8" x14ac:dyDescent="0.4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  <c r="BZ979" s="6"/>
      <c r="CA979" s="6"/>
      <c r="CB979" s="6"/>
      <c r="CC979" s="6"/>
      <c r="CD979" s="6"/>
      <c r="CE979" s="6"/>
      <c r="CF979" s="6"/>
      <c r="CG979" s="6"/>
      <c r="CH979" s="6"/>
    </row>
    <row r="980" spans="1:86" ht="16.8" x14ac:dyDescent="0.4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  <c r="BZ980" s="6"/>
      <c r="CA980" s="6"/>
      <c r="CB980" s="6"/>
      <c r="CC980" s="6"/>
      <c r="CD980" s="6"/>
      <c r="CE980" s="6"/>
      <c r="CF980" s="6"/>
      <c r="CG980" s="6"/>
      <c r="CH980" s="6"/>
    </row>
    <row r="981" spans="1:86" ht="16.8" x14ac:dyDescent="0.4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  <c r="BY981" s="6"/>
      <c r="BZ981" s="6"/>
      <c r="CA981" s="6"/>
      <c r="CB981" s="6"/>
      <c r="CC981" s="6"/>
      <c r="CD981" s="6"/>
      <c r="CE981" s="6"/>
      <c r="CF981" s="6"/>
      <c r="CG981" s="6"/>
      <c r="CH981" s="6"/>
    </row>
    <row r="982" spans="1:86" ht="16.8" x14ac:dyDescent="0.4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  <c r="BY982" s="6"/>
      <c r="BZ982" s="6"/>
      <c r="CA982" s="6"/>
      <c r="CB982" s="6"/>
      <c r="CC982" s="6"/>
      <c r="CD982" s="6"/>
      <c r="CE982" s="6"/>
      <c r="CF982" s="6"/>
      <c r="CG982" s="6"/>
      <c r="CH982" s="6"/>
    </row>
    <row r="983" spans="1:86" ht="16.8" x14ac:dyDescent="0.4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  <c r="BY983" s="6"/>
      <c r="BZ983" s="6"/>
      <c r="CA983" s="6"/>
      <c r="CB983" s="6"/>
      <c r="CC983" s="6"/>
      <c r="CD983" s="6"/>
      <c r="CE983" s="6"/>
      <c r="CF983" s="6"/>
      <c r="CG983" s="6"/>
      <c r="CH983" s="6"/>
    </row>
    <row r="984" spans="1:86" ht="16.8" x14ac:dyDescent="0.4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  <c r="BZ984" s="6"/>
      <c r="CA984" s="6"/>
      <c r="CB984" s="6"/>
      <c r="CC984" s="6"/>
      <c r="CD984" s="6"/>
      <c r="CE984" s="6"/>
      <c r="CF984" s="6"/>
      <c r="CG984" s="6"/>
      <c r="CH984" s="6"/>
    </row>
    <row r="985" spans="1:86" ht="16.8" x14ac:dyDescent="0.4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  <c r="BY985" s="6"/>
      <c r="BZ985" s="6"/>
      <c r="CA985" s="6"/>
      <c r="CB985" s="6"/>
      <c r="CC985" s="6"/>
      <c r="CD985" s="6"/>
      <c r="CE985" s="6"/>
      <c r="CF985" s="6"/>
      <c r="CG985" s="6"/>
      <c r="CH985" s="6"/>
    </row>
    <row r="986" spans="1:86" ht="16.8" x14ac:dyDescent="0.4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  <c r="BZ986" s="6"/>
      <c r="CA986" s="6"/>
      <c r="CB986" s="6"/>
      <c r="CC986" s="6"/>
      <c r="CD986" s="6"/>
      <c r="CE986" s="6"/>
      <c r="CF986" s="6"/>
      <c r="CG986" s="6"/>
      <c r="CH986" s="6"/>
    </row>
    <row r="987" spans="1:86" ht="16.8" x14ac:dyDescent="0.4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  <c r="BY987" s="6"/>
      <c r="BZ987" s="6"/>
      <c r="CA987" s="6"/>
      <c r="CB987" s="6"/>
      <c r="CC987" s="6"/>
      <c r="CD987" s="6"/>
      <c r="CE987" s="6"/>
      <c r="CF987" s="6"/>
      <c r="CG987" s="6"/>
      <c r="CH987" s="6"/>
    </row>
    <row r="988" spans="1:86" ht="16.8" x14ac:dyDescent="0.4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  <c r="BY988" s="6"/>
      <c r="BZ988" s="6"/>
      <c r="CA988" s="6"/>
      <c r="CB988" s="6"/>
      <c r="CC988" s="6"/>
      <c r="CD988" s="6"/>
      <c r="CE988" s="6"/>
      <c r="CF988" s="6"/>
      <c r="CG988" s="6"/>
      <c r="CH988" s="6"/>
    </row>
    <row r="989" spans="1:86" ht="16.8" x14ac:dyDescent="0.4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  <c r="CA989" s="6"/>
      <c r="CB989" s="6"/>
      <c r="CC989" s="6"/>
      <c r="CD989" s="6"/>
      <c r="CE989" s="6"/>
      <c r="CF989" s="6"/>
      <c r="CG989" s="6"/>
      <c r="CH989" s="6"/>
    </row>
    <row r="990" spans="1:86" ht="16.8" x14ac:dyDescent="0.4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  <c r="CA990" s="6"/>
      <c r="CB990" s="6"/>
      <c r="CC990" s="6"/>
      <c r="CD990" s="6"/>
      <c r="CE990" s="6"/>
      <c r="CF990" s="6"/>
      <c r="CG990" s="6"/>
      <c r="CH990" s="6"/>
    </row>
    <row r="991" spans="1:86" ht="16.8" x14ac:dyDescent="0.4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  <c r="BZ991" s="6"/>
      <c r="CA991" s="6"/>
      <c r="CB991" s="6"/>
      <c r="CC991" s="6"/>
      <c r="CD991" s="6"/>
      <c r="CE991" s="6"/>
      <c r="CF991" s="6"/>
      <c r="CG991" s="6"/>
      <c r="CH991" s="6"/>
    </row>
    <row r="992" spans="1:86" ht="16.8" x14ac:dyDescent="0.4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  <c r="BZ992" s="6"/>
      <c r="CA992" s="6"/>
      <c r="CB992" s="6"/>
      <c r="CC992" s="6"/>
      <c r="CD992" s="6"/>
      <c r="CE992" s="6"/>
      <c r="CF992" s="6"/>
      <c r="CG992" s="6"/>
      <c r="CH992" s="6"/>
    </row>
    <row r="993" spans="1:86" ht="16.8" x14ac:dyDescent="0.4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  <c r="CA993" s="6"/>
      <c r="CB993" s="6"/>
      <c r="CC993" s="6"/>
      <c r="CD993" s="6"/>
      <c r="CE993" s="6"/>
      <c r="CF993" s="6"/>
      <c r="CG993" s="6"/>
      <c r="CH993" s="6"/>
    </row>
    <row r="994" spans="1:86" ht="16.8" x14ac:dyDescent="0.4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  <c r="CA994" s="6"/>
      <c r="CB994" s="6"/>
      <c r="CC994" s="6"/>
      <c r="CD994" s="6"/>
      <c r="CE994" s="6"/>
      <c r="CF994" s="6"/>
      <c r="CG994" s="6"/>
      <c r="CH994" s="6"/>
    </row>
    <row r="995" spans="1:86" ht="16.8" x14ac:dyDescent="0.4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  <c r="BZ995" s="6"/>
      <c r="CA995" s="6"/>
      <c r="CB995" s="6"/>
      <c r="CC995" s="6"/>
      <c r="CD995" s="6"/>
      <c r="CE995" s="6"/>
      <c r="CF995" s="6"/>
      <c r="CG995" s="6"/>
      <c r="CH995" s="6"/>
    </row>
    <row r="996" spans="1:86" ht="16.8" x14ac:dyDescent="0.4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  <c r="CA996" s="6"/>
      <c r="CB996" s="6"/>
      <c r="CC996" s="6"/>
      <c r="CD996" s="6"/>
      <c r="CE996" s="6"/>
      <c r="CF996" s="6"/>
      <c r="CG996" s="6"/>
      <c r="CH996" s="6"/>
    </row>
    <row r="997" spans="1:86" ht="16.8" x14ac:dyDescent="0.4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  <c r="BZ997" s="6"/>
      <c r="CA997" s="6"/>
      <c r="CB997" s="6"/>
      <c r="CC997" s="6"/>
      <c r="CD997" s="6"/>
      <c r="CE997" s="6"/>
      <c r="CF997" s="6"/>
      <c r="CG997" s="6"/>
      <c r="CH997" s="6"/>
    </row>
    <row r="998" spans="1:86" ht="16.8" x14ac:dyDescent="0.4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  <c r="BY998" s="6"/>
      <c r="BZ998" s="6"/>
      <c r="CA998" s="6"/>
      <c r="CB998" s="6"/>
      <c r="CC998" s="6"/>
      <c r="CD998" s="6"/>
      <c r="CE998" s="6"/>
      <c r="CF998" s="6"/>
      <c r="CG998" s="6"/>
      <c r="CH998" s="6"/>
    </row>
    <row r="999" spans="1:86" ht="16.8" x14ac:dyDescent="0.4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  <c r="BY999" s="6"/>
      <c r="BZ999" s="6"/>
      <c r="CA999" s="6"/>
      <c r="CB999" s="6"/>
      <c r="CC999" s="6"/>
      <c r="CD999" s="6"/>
      <c r="CE999" s="6"/>
      <c r="CF999" s="6"/>
      <c r="CG999" s="6"/>
      <c r="CH999" s="6"/>
    </row>
    <row r="1000" spans="1:86" ht="16.8" x14ac:dyDescent="0.4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  <c r="CH1000" s="6"/>
    </row>
    <row r="1001" spans="1:86" ht="16.8" x14ac:dyDescent="0.4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V1001" s="6"/>
      <c r="BW1001" s="6"/>
      <c r="BX1001" s="6"/>
      <c r="BY1001" s="6"/>
      <c r="BZ1001" s="6"/>
      <c r="CA1001" s="6"/>
      <c r="CB1001" s="6"/>
      <c r="CC1001" s="6"/>
      <c r="CD1001" s="6"/>
      <c r="CE1001" s="6"/>
      <c r="CF1001" s="6"/>
      <c r="CG1001" s="6"/>
      <c r="CH1001" s="6"/>
    </row>
    <row r="1002" spans="1:86" ht="16.8" x14ac:dyDescent="0.45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T1002" s="6"/>
      <c r="BU1002" s="6"/>
      <c r="BV1002" s="6"/>
      <c r="BW1002" s="6"/>
      <c r="BX1002" s="6"/>
      <c r="BY1002" s="6"/>
      <c r="BZ1002" s="6"/>
      <c r="CA1002" s="6"/>
      <c r="CB1002" s="6"/>
      <c r="CC1002" s="6"/>
      <c r="CD1002" s="6"/>
      <c r="CE1002" s="6"/>
      <c r="CF1002" s="6"/>
      <c r="CG1002" s="6"/>
      <c r="CH1002" s="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2"/>
  <sheetViews>
    <sheetView workbookViewId="0"/>
  </sheetViews>
  <sheetFormatPr defaultColWidth="12.6640625" defaultRowHeight="15.75" customHeight="1" x14ac:dyDescent="0.25"/>
  <cols>
    <col min="1" max="7" width="12.6640625" customWidth="1"/>
  </cols>
  <sheetData>
    <row r="1" spans="1:26" ht="15.75" customHeight="1" x14ac:dyDescent="0.45">
      <c r="A1" s="8" t="s">
        <v>193</v>
      </c>
      <c r="B1" s="8"/>
      <c r="C1" s="8"/>
      <c r="D1" s="8"/>
      <c r="E1" s="8"/>
      <c r="F1" s="8"/>
      <c r="G1" s="8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 x14ac:dyDescent="0.45">
      <c r="A2" s="8" t="s">
        <v>22</v>
      </c>
      <c r="B2" s="8" t="s">
        <v>23</v>
      </c>
      <c r="C2" s="8" t="s">
        <v>24</v>
      </c>
      <c r="D2" s="8" t="s">
        <v>25</v>
      </c>
      <c r="E2" s="8" t="s">
        <v>26</v>
      </c>
      <c r="F2" s="8" t="s">
        <v>27</v>
      </c>
      <c r="G2" s="8" t="s">
        <v>28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 x14ac:dyDescent="0.45">
      <c r="A3" s="9">
        <v>1</v>
      </c>
      <c r="B3" s="9" t="s">
        <v>29</v>
      </c>
      <c r="C3" s="9">
        <v>1994</v>
      </c>
      <c r="D3" s="9" t="s">
        <v>30</v>
      </c>
      <c r="E3" s="9">
        <v>142</v>
      </c>
      <c r="F3" s="9" t="s">
        <v>31</v>
      </c>
      <c r="G3" s="9">
        <v>9.3000000000000007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 x14ac:dyDescent="0.45">
      <c r="A4" s="9">
        <v>2</v>
      </c>
      <c r="B4" s="9" t="s">
        <v>32</v>
      </c>
      <c r="C4" s="9">
        <v>1972</v>
      </c>
      <c r="D4" s="9" t="s">
        <v>30</v>
      </c>
      <c r="E4" s="9">
        <v>175</v>
      </c>
      <c r="F4" s="9" t="s">
        <v>33</v>
      </c>
      <c r="G4" s="9">
        <v>9.1999999999999993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 x14ac:dyDescent="0.45">
      <c r="A5" s="9">
        <v>3</v>
      </c>
      <c r="B5" s="9" t="s">
        <v>34</v>
      </c>
      <c r="C5" s="9">
        <v>2008</v>
      </c>
      <c r="D5" s="9" t="s">
        <v>35</v>
      </c>
      <c r="E5" s="9">
        <v>152</v>
      </c>
      <c r="F5" s="9" t="s">
        <v>36</v>
      </c>
      <c r="G5" s="9">
        <v>9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 x14ac:dyDescent="0.45">
      <c r="A6" s="9">
        <v>4</v>
      </c>
      <c r="B6" s="9" t="s">
        <v>37</v>
      </c>
      <c r="C6" s="9">
        <v>1974</v>
      </c>
      <c r="D6" s="9" t="s">
        <v>30</v>
      </c>
      <c r="E6" s="9">
        <v>202</v>
      </c>
      <c r="F6" s="9" t="s">
        <v>33</v>
      </c>
      <c r="G6" s="9">
        <v>9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 x14ac:dyDescent="0.45">
      <c r="A7" s="9">
        <v>5</v>
      </c>
      <c r="B7" s="9" t="s">
        <v>38</v>
      </c>
      <c r="C7" s="9">
        <v>2003</v>
      </c>
      <c r="D7" s="9" t="s">
        <v>35</v>
      </c>
      <c r="E7" s="9">
        <v>201</v>
      </c>
      <c r="F7" s="9" t="s">
        <v>39</v>
      </c>
      <c r="G7" s="9">
        <v>8.9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 x14ac:dyDescent="0.4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 x14ac:dyDescent="0.45">
      <c r="A9" s="10" t="s">
        <v>210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 x14ac:dyDescent="0.45">
      <c r="A10" s="12" t="s">
        <v>211</v>
      </c>
      <c r="B10" s="6"/>
      <c r="C10" s="6"/>
      <c r="D10" s="6"/>
      <c r="E10" s="6"/>
      <c r="F10" s="13" t="s">
        <v>212</v>
      </c>
      <c r="G10" s="6"/>
      <c r="H10" s="6"/>
      <c r="I10" s="6"/>
      <c r="J10" s="6"/>
      <c r="K10" s="14" t="s">
        <v>213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 x14ac:dyDescent="0.45">
      <c r="A11" s="6" t="str">
        <f ca="1">IFERROR(__xludf.DUMMYFUNCTION("QUERY(IMDB,""select B,D,E,G order by G"")"),"MOVIE_NAME")</f>
        <v>MOVIE_NAME</v>
      </c>
      <c r="B11" s="6" t="str">
        <f ca="1">IFERROR(__xludf.DUMMYFUNCTION("""COMPUTED_VALUE"""),"RATING")</f>
        <v>RATING</v>
      </c>
      <c r="C11" s="6" t="str">
        <f ca="1">IFERROR(__xludf.DUMMYFUNCTION("""COMPUTED_VALUE"""),"LENGTH")</f>
        <v>LENGTH</v>
      </c>
      <c r="D11" s="6" t="str">
        <f ca="1">IFERROR(__xludf.DUMMYFUNCTION("""COMPUTED_VALUE"""),"SCORE")</f>
        <v>SCORE</v>
      </c>
      <c r="E11" s="6"/>
      <c r="F11" s="6" t="str">
        <f ca="1">IFERROR(__xludf.DUMMYFUNCTION("QUERY(IMDB,""select B,D,E,G order by G desc"")"),"MOVIE_NAME")</f>
        <v>MOVIE_NAME</v>
      </c>
      <c r="G11" s="6" t="str">
        <f ca="1">IFERROR(__xludf.DUMMYFUNCTION("""COMPUTED_VALUE"""),"RATING")</f>
        <v>RATING</v>
      </c>
      <c r="H11" s="6" t="str">
        <f ca="1">IFERROR(__xludf.DUMMYFUNCTION("""COMPUTED_VALUE"""),"LENGTH")</f>
        <v>LENGTH</v>
      </c>
      <c r="I11" s="6" t="str">
        <f ca="1">IFERROR(__xludf.DUMMYFUNCTION("""COMPUTED_VALUE"""),"SCORE")</f>
        <v>SCORE</v>
      </c>
      <c r="J11" s="6"/>
      <c r="K11" s="6" t="str">
        <f ca="1">IFERROR(__xludf.DUMMYFUNCTION("query(IMDB,""select B,D,E,G where D is not null order by D,E desc"") "),"MOVIE_NAME")</f>
        <v>MOVIE_NAME</v>
      </c>
      <c r="L11" s="6" t="str">
        <f ca="1">IFERROR(__xludf.DUMMYFUNCTION("""COMPUTED_VALUE"""),"RATING")</f>
        <v>RATING</v>
      </c>
      <c r="M11" s="6" t="str">
        <f ca="1">IFERROR(__xludf.DUMMYFUNCTION("""COMPUTED_VALUE"""),"LENGTH")</f>
        <v>LENGTH</v>
      </c>
      <c r="N11" s="6" t="str">
        <f ca="1">IFERROR(__xludf.DUMMYFUNCTION("""COMPUTED_VALUE"""),"SCORE")</f>
        <v>SCORE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 x14ac:dyDescent="0.45">
      <c r="A12" s="18" t="str">
        <f ca="1">IFERROR(__xludf.DUMMYFUNCTION("""COMPUTED_VALUE"""),"1917")</f>
        <v>1917</v>
      </c>
      <c r="B12" s="6" t="str">
        <f ca="1">IFERROR(__xludf.DUMMYFUNCTION("""COMPUTED_VALUE"""),"R")</f>
        <v>R</v>
      </c>
      <c r="C12" s="6">
        <f ca="1">IFERROR(__xludf.DUMMYFUNCTION("""COMPUTED_VALUE"""),119)</f>
        <v>119</v>
      </c>
      <c r="D12" s="6">
        <f ca="1">IFERROR(__xludf.DUMMYFUNCTION("""COMPUTED_VALUE"""),8.3)</f>
        <v>8.3000000000000007</v>
      </c>
      <c r="E12" s="6"/>
      <c r="F12" s="6" t="str">
        <f ca="1">IFERROR(__xludf.DUMMYFUNCTION("""COMPUTED_VALUE"""),"The Shawshank Redemption")</f>
        <v>The Shawshank Redemption</v>
      </c>
      <c r="G12" s="6" t="str">
        <f ca="1">IFERROR(__xludf.DUMMYFUNCTION("""COMPUTED_VALUE"""),"R")</f>
        <v>R</v>
      </c>
      <c r="H12" s="6">
        <f ca="1">IFERROR(__xludf.DUMMYFUNCTION("""COMPUTED_VALUE"""),142)</f>
        <v>142</v>
      </c>
      <c r="I12" s="6">
        <f ca="1">IFERROR(__xludf.DUMMYFUNCTION("""COMPUTED_VALUE"""),9.3)</f>
        <v>9.3000000000000007</v>
      </c>
      <c r="J12" s="6"/>
      <c r="K12" s="6" t="str">
        <f ca="1">IFERROR(__xludf.DUMMYFUNCTION("""COMPUTED_VALUE"""),"Witness for the Prosecution")</f>
        <v>Witness for the Prosecution</v>
      </c>
      <c r="L12" s="6" t="str">
        <f ca="1">IFERROR(__xludf.DUMMYFUNCTION("""COMPUTED_VALUE"""),"Approved")</f>
        <v>Approved</v>
      </c>
      <c r="M12" s="6">
        <f ca="1">IFERROR(__xludf.DUMMYFUNCTION("""COMPUTED_VALUE"""),116)</f>
        <v>116</v>
      </c>
      <c r="N12" s="6">
        <f ca="1">IFERROR(__xludf.DUMMYFUNCTION("""COMPUTED_VALUE"""),8.4)</f>
        <v>8.4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 x14ac:dyDescent="0.45">
      <c r="A13" s="6" t="str">
        <f ca="1">IFERROR(__xludf.DUMMYFUNCTION("""COMPUTED_VALUE"""),"Uri: The Surgical Strike")</f>
        <v>Uri: The Surgical Strike</v>
      </c>
      <c r="B13" s="6" t="str">
        <f ca="1">IFERROR(__xludf.DUMMYFUNCTION("""COMPUTED_VALUE"""),"Not Rated")</f>
        <v>Not Rated</v>
      </c>
      <c r="C13" s="6">
        <f ca="1">IFERROR(__xludf.DUMMYFUNCTION("""COMPUTED_VALUE"""),138)</f>
        <v>138</v>
      </c>
      <c r="D13" s="6">
        <f ca="1">IFERROR(__xludf.DUMMYFUNCTION("""COMPUTED_VALUE"""),8.3)</f>
        <v>8.3000000000000007</v>
      </c>
      <c r="E13" s="6"/>
      <c r="F13" s="6" t="str">
        <f ca="1">IFERROR(__xludf.DUMMYFUNCTION("""COMPUTED_VALUE"""),"The Godfather")</f>
        <v>The Godfather</v>
      </c>
      <c r="G13" s="6" t="str">
        <f ca="1">IFERROR(__xludf.DUMMYFUNCTION("""COMPUTED_VALUE"""),"R")</f>
        <v>R</v>
      </c>
      <c r="H13" s="6">
        <f ca="1">IFERROR(__xludf.DUMMYFUNCTION("""COMPUTED_VALUE"""),175)</f>
        <v>175</v>
      </c>
      <c r="I13" s="6">
        <f ca="1">IFERROR(__xludf.DUMMYFUNCTION("""COMPUTED_VALUE"""),9.2)</f>
        <v>9.1999999999999993</v>
      </c>
      <c r="J13" s="6"/>
      <c r="K13" s="6" t="str">
        <f ca="1">IFERROR(__xludf.DUMMYFUNCTION("""COMPUTED_VALUE"""),"12 Angry Men")</f>
        <v>12 Angry Men</v>
      </c>
      <c r="L13" s="6" t="str">
        <f ca="1">IFERROR(__xludf.DUMMYFUNCTION("""COMPUTED_VALUE"""),"Approved")</f>
        <v>Approved</v>
      </c>
      <c r="M13" s="6">
        <f ca="1">IFERROR(__xludf.DUMMYFUNCTION("""COMPUTED_VALUE"""),96)</f>
        <v>96</v>
      </c>
      <c r="N13" s="6">
        <f ca="1">IFERROR(__xludf.DUMMYFUNCTION("""COMPUTED_VALUE"""),8.9)</f>
        <v>8.9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 x14ac:dyDescent="0.45">
      <c r="A14" s="6" t="str">
        <f ca="1">IFERROR(__xludf.DUMMYFUNCTION("""COMPUTED_VALUE"""),"Tumbbad")</f>
        <v>Tumbbad</v>
      </c>
      <c r="B14" s="6" t="str">
        <f ca="1">IFERROR(__xludf.DUMMYFUNCTION("""COMPUTED_VALUE"""),"Not Rated")</f>
        <v>Not Rated</v>
      </c>
      <c r="C14" s="6">
        <f ca="1">IFERROR(__xludf.DUMMYFUNCTION("""COMPUTED_VALUE"""),104)</f>
        <v>104</v>
      </c>
      <c r="D14" s="6">
        <f ca="1">IFERROR(__xludf.DUMMYFUNCTION("""COMPUTED_VALUE"""),8.3)</f>
        <v>8.3000000000000007</v>
      </c>
      <c r="E14" s="6"/>
      <c r="F14" s="6" t="str">
        <f ca="1">IFERROR(__xludf.DUMMYFUNCTION("""COMPUTED_VALUE"""),"The Dark Knight")</f>
        <v>The Dark Knight</v>
      </c>
      <c r="G14" s="6" t="str">
        <f ca="1">IFERROR(__xludf.DUMMYFUNCTION("""COMPUTED_VALUE"""),"PG-13")</f>
        <v>PG-13</v>
      </c>
      <c r="H14" s="6">
        <f ca="1">IFERROR(__xludf.DUMMYFUNCTION("""COMPUTED_VALUE"""),152)</f>
        <v>152</v>
      </c>
      <c r="I14" s="6">
        <f ca="1">IFERROR(__xludf.DUMMYFUNCTION("""COMPUTED_VALUE"""),9)</f>
        <v>9</v>
      </c>
      <c r="J14" s="6"/>
      <c r="K14" s="6" t="str">
        <f ca="1">IFERROR(__xludf.DUMMYFUNCTION("""COMPUTED_VALUE"""),"Paths of Glory")</f>
        <v>Paths of Glory</v>
      </c>
      <c r="L14" s="6" t="str">
        <f ca="1">IFERROR(__xludf.DUMMYFUNCTION("""COMPUTED_VALUE"""),"Approved")</f>
        <v>Approved</v>
      </c>
      <c r="M14" s="6">
        <f ca="1">IFERROR(__xludf.DUMMYFUNCTION("""COMPUTED_VALUE"""),88)</f>
        <v>88</v>
      </c>
      <c r="N14" s="6">
        <f ca="1">IFERROR(__xludf.DUMMYFUNCTION("""COMPUTED_VALUE"""),8.4)</f>
        <v>8.4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 x14ac:dyDescent="0.45">
      <c r="A15" s="6" t="str">
        <f ca="1">IFERROR(__xludf.DUMMYFUNCTION("""COMPUTED_VALUE"""),"Andhadhun")</f>
        <v>Andhadhun</v>
      </c>
      <c r="B15" s="6" t="str">
        <f ca="1">IFERROR(__xludf.DUMMYFUNCTION("""COMPUTED_VALUE"""),"Not Rated")</f>
        <v>Not Rated</v>
      </c>
      <c r="C15" s="6">
        <f ca="1">IFERROR(__xludf.DUMMYFUNCTION("""COMPUTED_VALUE"""),139)</f>
        <v>139</v>
      </c>
      <c r="D15" s="6">
        <f ca="1">IFERROR(__xludf.DUMMYFUNCTION("""COMPUTED_VALUE"""),8.3)</f>
        <v>8.3000000000000007</v>
      </c>
      <c r="E15" s="6"/>
      <c r="F15" s="6" t="str">
        <f ca="1">IFERROR(__xludf.DUMMYFUNCTION("""COMPUTED_VALUE"""),"The Godfather: Part II")</f>
        <v>The Godfather: Part II</v>
      </c>
      <c r="G15" s="6" t="str">
        <f ca="1">IFERROR(__xludf.DUMMYFUNCTION("""COMPUTED_VALUE"""),"R")</f>
        <v>R</v>
      </c>
      <c r="H15" s="6">
        <f ca="1">IFERROR(__xludf.DUMMYFUNCTION("""COMPUTED_VALUE"""),202)</f>
        <v>202</v>
      </c>
      <c r="I15" s="6">
        <f ca="1">IFERROR(__xludf.DUMMYFUNCTION("""COMPUTED_VALUE"""),9)</f>
        <v>9</v>
      </c>
      <c r="J15" s="6"/>
      <c r="K15" s="6" t="str">
        <f ca="1">IFERROR(__xludf.DUMMYFUNCTION("""COMPUTED_VALUE"""),"Toy Story 3")</f>
        <v>Toy Story 3</v>
      </c>
      <c r="L15" s="6" t="str">
        <f ca="1">IFERROR(__xludf.DUMMYFUNCTION("""COMPUTED_VALUE"""),"G")</f>
        <v>G</v>
      </c>
      <c r="M15" s="6">
        <f ca="1">IFERROR(__xludf.DUMMYFUNCTION("""COMPUTED_VALUE"""),103)</f>
        <v>103</v>
      </c>
      <c r="N15" s="6">
        <f ca="1">IFERROR(__xludf.DUMMYFUNCTION("""COMPUTED_VALUE"""),8.3)</f>
        <v>8.3000000000000007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 x14ac:dyDescent="0.45">
      <c r="A16" s="6" t="str">
        <f ca="1">IFERROR(__xludf.DUMMYFUNCTION("""COMPUTED_VALUE"""),"Drishyam")</f>
        <v>Drishyam</v>
      </c>
      <c r="B16" s="6" t="str">
        <f ca="1">IFERROR(__xludf.DUMMYFUNCTION("""COMPUTED_VALUE"""),"Not Rated")</f>
        <v>Not Rated</v>
      </c>
      <c r="C16" s="6">
        <f ca="1">IFERROR(__xludf.DUMMYFUNCTION("""COMPUTED_VALUE"""),160)</f>
        <v>160</v>
      </c>
      <c r="D16" s="6">
        <f ca="1">IFERROR(__xludf.DUMMYFUNCTION("""COMPUTED_VALUE"""),8.3)</f>
        <v>8.3000000000000007</v>
      </c>
      <c r="E16" s="6"/>
      <c r="F16" s="6" t="str">
        <f ca="1">IFERROR(__xludf.DUMMYFUNCTION("""COMPUTED_VALUE"""),"The Lord of the Rings: The Return of the King")</f>
        <v>The Lord of the Rings: The Return of the King</v>
      </c>
      <c r="G16" s="6" t="str">
        <f ca="1">IFERROR(__xludf.DUMMYFUNCTION("""COMPUTED_VALUE"""),"PG-13")</f>
        <v>PG-13</v>
      </c>
      <c r="H16" s="6">
        <f ca="1">IFERROR(__xludf.DUMMYFUNCTION("""COMPUTED_VALUE"""),201)</f>
        <v>201</v>
      </c>
      <c r="I16" s="6">
        <f ca="1">IFERROR(__xludf.DUMMYFUNCTION("""COMPUTED_VALUE"""),8.9)</f>
        <v>8.9</v>
      </c>
      <c r="J16" s="6"/>
      <c r="K16" s="6" t="str">
        <f ca="1">IFERROR(__xludf.DUMMYFUNCTION("""COMPUTED_VALUE"""),"WALL·E")</f>
        <v>WALL·E</v>
      </c>
      <c r="L16" s="6" t="str">
        <f ca="1">IFERROR(__xludf.DUMMYFUNCTION("""COMPUTED_VALUE"""),"G")</f>
        <v>G</v>
      </c>
      <c r="M16" s="6">
        <f ca="1">IFERROR(__xludf.DUMMYFUNCTION("""COMPUTED_VALUE"""),98)</f>
        <v>98</v>
      </c>
      <c r="N16" s="6">
        <f ca="1">IFERROR(__xludf.DUMMYFUNCTION("""COMPUTED_VALUE"""),8.4)</f>
        <v>8.4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 x14ac:dyDescent="0.45">
      <c r="A17" s="6" t="str">
        <f ca="1">IFERROR(__xludf.DUMMYFUNCTION("""COMPUTED_VALUE"""),"The Hunt")</f>
        <v>The Hunt</v>
      </c>
      <c r="B17" s="6" t="str">
        <f ca="1">IFERROR(__xludf.DUMMYFUNCTION("""COMPUTED_VALUE"""),"R")</f>
        <v>R</v>
      </c>
      <c r="C17" s="6">
        <f ca="1">IFERROR(__xludf.DUMMYFUNCTION("""COMPUTED_VALUE"""),115)</f>
        <v>115</v>
      </c>
      <c r="D17" s="6">
        <f ca="1">IFERROR(__xludf.DUMMYFUNCTION("""COMPUTED_VALUE"""),8.3)</f>
        <v>8.3000000000000007</v>
      </c>
      <c r="E17" s="6"/>
      <c r="F17" s="6" t="str">
        <f ca="1">IFERROR(__xludf.DUMMYFUNCTION("""COMPUTED_VALUE"""),"Pulp Fiction")</f>
        <v>Pulp Fiction</v>
      </c>
      <c r="G17" s="6" t="str">
        <f ca="1">IFERROR(__xludf.DUMMYFUNCTION("""COMPUTED_VALUE"""),"R")</f>
        <v>R</v>
      </c>
      <c r="H17" s="6">
        <f ca="1">IFERROR(__xludf.DUMMYFUNCTION("""COMPUTED_VALUE"""),154)</f>
        <v>154</v>
      </c>
      <c r="I17" s="6">
        <f ca="1">IFERROR(__xludf.DUMMYFUNCTION("""COMPUTED_VALUE"""),8.9)</f>
        <v>8.9</v>
      </c>
      <c r="J17" s="6"/>
      <c r="K17" s="6" t="str">
        <f ca="1">IFERROR(__xludf.DUMMYFUNCTION("""COMPUTED_VALUE"""),"The Lion King")</f>
        <v>The Lion King</v>
      </c>
      <c r="L17" s="6" t="str">
        <f ca="1">IFERROR(__xludf.DUMMYFUNCTION("""COMPUTED_VALUE"""),"G")</f>
        <v>G</v>
      </c>
      <c r="M17" s="6">
        <f ca="1">IFERROR(__xludf.DUMMYFUNCTION("""COMPUTED_VALUE"""),88)</f>
        <v>88</v>
      </c>
      <c r="N17" s="6">
        <f ca="1">IFERROR(__xludf.DUMMYFUNCTION("""COMPUTED_VALUE"""),8.5)</f>
        <v>8.5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 x14ac:dyDescent="0.45">
      <c r="A18" s="6" t="str">
        <f ca="1">IFERROR(__xludf.DUMMYFUNCTION("""COMPUTED_VALUE"""),"A Separation")</f>
        <v>A Separation</v>
      </c>
      <c r="B18" s="6" t="str">
        <f ca="1">IFERROR(__xludf.DUMMYFUNCTION("""COMPUTED_VALUE"""),"PG-13")</f>
        <v>PG-13</v>
      </c>
      <c r="C18" s="6">
        <f ca="1">IFERROR(__xludf.DUMMYFUNCTION("""COMPUTED_VALUE"""),123)</f>
        <v>123</v>
      </c>
      <c r="D18" s="6">
        <f ca="1">IFERROR(__xludf.DUMMYFUNCTION("""COMPUTED_VALUE"""),8.3)</f>
        <v>8.3000000000000007</v>
      </c>
      <c r="E18" s="6"/>
      <c r="F18" s="6" t="str">
        <f ca="1">IFERROR(__xludf.DUMMYFUNCTION("""COMPUTED_VALUE"""),"Schindler's List")</f>
        <v>Schindler's List</v>
      </c>
      <c r="G18" s="6" t="str">
        <f ca="1">IFERROR(__xludf.DUMMYFUNCTION("""COMPUTED_VALUE"""),"R")</f>
        <v>R</v>
      </c>
      <c r="H18" s="6">
        <f ca="1">IFERROR(__xludf.DUMMYFUNCTION("""COMPUTED_VALUE"""),195)</f>
        <v>195</v>
      </c>
      <c r="I18" s="6">
        <f ca="1">IFERROR(__xludf.DUMMYFUNCTION("""COMPUTED_VALUE"""),8.9)</f>
        <v>8.9</v>
      </c>
      <c r="J18" s="6"/>
      <c r="K18" s="6" t="str">
        <f ca="1">IFERROR(__xludf.DUMMYFUNCTION("""COMPUTED_VALUE"""),"Modern Times")</f>
        <v>Modern Times</v>
      </c>
      <c r="L18" s="6" t="str">
        <f ca="1">IFERROR(__xludf.DUMMYFUNCTION("""COMPUTED_VALUE"""),"G")</f>
        <v>G</v>
      </c>
      <c r="M18" s="6">
        <f ca="1">IFERROR(__xludf.DUMMYFUNCTION("""COMPUTED_VALUE"""),87)</f>
        <v>87</v>
      </c>
      <c r="N18" s="6">
        <f ca="1">IFERROR(__xludf.DUMMYFUNCTION("""COMPUTED_VALUE"""),8.5)</f>
        <v>8.5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 x14ac:dyDescent="0.45">
      <c r="A19" s="6" t="str">
        <f ca="1">IFERROR(__xludf.DUMMYFUNCTION("""COMPUTED_VALUE"""),"Incendies")</f>
        <v>Incendies</v>
      </c>
      <c r="B19" s="6" t="str">
        <f ca="1">IFERROR(__xludf.DUMMYFUNCTION("""COMPUTED_VALUE"""),"R")</f>
        <v>R</v>
      </c>
      <c r="C19" s="6">
        <f ca="1">IFERROR(__xludf.DUMMYFUNCTION("""COMPUTED_VALUE"""),131)</f>
        <v>131</v>
      </c>
      <c r="D19" s="6">
        <f ca="1">IFERROR(__xludf.DUMMYFUNCTION("""COMPUTED_VALUE"""),8.3)</f>
        <v>8.3000000000000007</v>
      </c>
      <c r="E19" s="6"/>
      <c r="F19" s="6" t="str">
        <f ca="1">IFERROR(__xludf.DUMMYFUNCTION("""COMPUTED_VALUE"""),"12 Angry Men")</f>
        <v>12 Angry Men</v>
      </c>
      <c r="G19" s="6" t="str">
        <f ca="1">IFERROR(__xludf.DUMMYFUNCTION("""COMPUTED_VALUE"""),"Approved")</f>
        <v>Approved</v>
      </c>
      <c r="H19" s="6">
        <f ca="1">IFERROR(__xludf.DUMMYFUNCTION("""COMPUTED_VALUE"""),96)</f>
        <v>96</v>
      </c>
      <c r="I19" s="6">
        <f ca="1">IFERROR(__xludf.DUMMYFUNCTION("""COMPUTED_VALUE"""),8.9)</f>
        <v>8.9</v>
      </c>
      <c r="J19" s="6"/>
      <c r="K19" s="6" t="str">
        <f ca="1">IFERROR(__xludf.DUMMYFUNCTION("""COMPUTED_VALUE"""),"City Lights")</f>
        <v>City Lights</v>
      </c>
      <c r="L19" s="6" t="str">
        <f ca="1">IFERROR(__xludf.DUMMYFUNCTION("""COMPUTED_VALUE"""),"G")</f>
        <v>G</v>
      </c>
      <c r="M19" s="6">
        <f ca="1">IFERROR(__xludf.DUMMYFUNCTION("""COMPUTED_VALUE"""),87)</f>
        <v>87</v>
      </c>
      <c r="N19" s="6">
        <f ca="1">IFERROR(__xludf.DUMMYFUNCTION("""COMPUTED_VALUE"""),8.5)</f>
        <v>8.5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 x14ac:dyDescent="0.45">
      <c r="A20" s="6" t="str">
        <f ca="1">IFERROR(__xludf.DUMMYFUNCTION("""COMPUTED_VALUE"""),"Yedinci Kogustaki Mucize")</f>
        <v>Yedinci Kogustaki Mucize</v>
      </c>
      <c r="B20" s="6"/>
      <c r="C20" s="6">
        <f ca="1">IFERROR(__xludf.DUMMYFUNCTION("""COMPUTED_VALUE"""),132)</f>
        <v>132</v>
      </c>
      <c r="D20" s="6">
        <f ca="1">IFERROR(__xludf.DUMMYFUNCTION("""COMPUTED_VALUE"""),8.3)</f>
        <v>8.3000000000000007</v>
      </c>
      <c r="E20" s="6"/>
      <c r="F20" s="6" t="str">
        <f ca="1">IFERROR(__xludf.DUMMYFUNCTION("""COMPUTED_VALUE"""),"Inception")</f>
        <v>Inception</v>
      </c>
      <c r="G20" s="6" t="str">
        <f ca="1">IFERROR(__xludf.DUMMYFUNCTION("""COMPUTED_VALUE"""),"PG-13")</f>
        <v>PG-13</v>
      </c>
      <c r="H20" s="6">
        <f ca="1">IFERROR(__xludf.DUMMYFUNCTION("""COMPUTED_VALUE"""),148)</f>
        <v>148</v>
      </c>
      <c r="I20" s="6">
        <f ca="1">IFERROR(__xludf.DUMMYFUNCTION("""COMPUTED_VALUE"""),8.8)</f>
        <v>8.8000000000000007</v>
      </c>
      <c r="J20" s="6"/>
      <c r="K20" s="6" t="str">
        <f ca="1">IFERROR(__xludf.DUMMYFUNCTION("""COMPUTED_VALUE"""),"Seven Samurai")</f>
        <v>Seven Samurai</v>
      </c>
      <c r="L20" s="6" t="str">
        <f ca="1">IFERROR(__xludf.DUMMYFUNCTION("""COMPUTED_VALUE"""),"Not Rated")</f>
        <v>Not Rated</v>
      </c>
      <c r="M20" s="6">
        <f ca="1">IFERROR(__xludf.DUMMYFUNCTION("""COMPUTED_VALUE"""),207)</f>
        <v>207</v>
      </c>
      <c r="N20" s="6">
        <f ca="1">IFERROR(__xludf.DUMMYFUNCTION("""COMPUTED_VALUE"""),8.6)</f>
        <v>8.6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45">
      <c r="A21" s="6" t="str">
        <f ca="1">IFERROR(__xludf.DUMMYFUNCTION("""COMPUTED_VALUE"""),"Babam ve Oglum")</f>
        <v>Babam ve Oglum</v>
      </c>
      <c r="B21" s="6"/>
      <c r="C21" s="6">
        <f ca="1">IFERROR(__xludf.DUMMYFUNCTION("""COMPUTED_VALUE"""),112)</f>
        <v>112</v>
      </c>
      <c r="D21" s="6">
        <f ca="1">IFERROR(__xludf.DUMMYFUNCTION("""COMPUTED_VALUE"""),8.3)</f>
        <v>8.3000000000000007</v>
      </c>
      <c r="E21" s="6"/>
      <c r="F21" s="6" t="str">
        <f ca="1">IFERROR(__xludf.DUMMYFUNCTION("""COMPUTED_VALUE"""),"Fight Club")</f>
        <v>Fight Club</v>
      </c>
      <c r="G21" s="6" t="str">
        <f ca="1">IFERROR(__xludf.DUMMYFUNCTION("""COMPUTED_VALUE"""),"R")</f>
        <v>R</v>
      </c>
      <c r="H21" s="6">
        <f ca="1">IFERROR(__xludf.DUMMYFUNCTION("""COMPUTED_VALUE"""),139)</f>
        <v>139</v>
      </c>
      <c r="I21" s="6">
        <f ca="1">IFERROR(__xludf.DUMMYFUNCTION("""COMPUTED_VALUE"""),8.8)</f>
        <v>8.8000000000000007</v>
      </c>
      <c r="J21" s="6"/>
      <c r="K21" s="6" t="str">
        <f ca="1">IFERROR(__xludf.DUMMYFUNCTION("""COMPUTED_VALUE"""),"Dangal")</f>
        <v>Dangal</v>
      </c>
      <c r="L21" s="6" t="str">
        <f ca="1">IFERROR(__xludf.DUMMYFUNCTION("""COMPUTED_VALUE"""),"Not Rated")</f>
        <v>Not Rated</v>
      </c>
      <c r="M21" s="6">
        <f ca="1">IFERROR(__xludf.DUMMYFUNCTION("""COMPUTED_VALUE"""),161)</f>
        <v>161</v>
      </c>
      <c r="N21" s="6">
        <f ca="1">IFERROR(__xludf.DUMMYFUNCTION("""COMPUTED_VALUE"""),8.4)</f>
        <v>8.4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45">
      <c r="A22" s="6" t="str">
        <f ca="1">IFERROR(__xludf.DUMMYFUNCTION("""COMPUTED_VALUE"""),"Toy Story 3")</f>
        <v>Toy Story 3</v>
      </c>
      <c r="B22" s="6" t="str">
        <f ca="1">IFERROR(__xludf.DUMMYFUNCTION("""COMPUTED_VALUE"""),"G")</f>
        <v>G</v>
      </c>
      <c r="C22" s="6">
        <f ca="1">IFERROR(__xludf.DUMMYFUNCTION("""COMPUTED_VALUE"""),103)</f>
        <v>103</v>
      </c>
      <c r="D22" s="6">
        <f ca="1">IFERROR(__xludf.DUMMYFUNCTION("""COMPUTED_VALUE"""),8.3)</f>
        <v>8.3000000000000007</v>
      </c>
      <c r="E22" s="6"/>
      <c r="F22" s="6" t="str">
        <f ca="1">IFERROR(__xludf.DUMMYFUNCTION("""COMPUTED_VALUE"""),"The Lord of the Rings: The Fellowship of the Ring")</f>
        <v>The Lord of the Rings: The Fellowship of the Ring</v>
      </c>
      <c r="G22" s="6" t="str">
        <f ca="1">IFERROR(__xludf.DUMMYFUNCTION("""COMPUTED_VALUE"""),"PG-13")</f>
        <v>PG-13</v>
      </c>
      <c r="H22" s="6">
        <f ca="1">IFERROR(__xludf.DUMMYFUNCTION("""COMPUTED_VALUE"""),178)</f>
        <v>178</v>
      </c>
      <c r="I22" s="6">
        <f ca="1">IFERROR(__xludf.DUMMYFUNCTION("""COMPUTED_VALUE"""),8.8)</f>
        <v>8.8000000000000007</v>
      </c>
      <c r="J22" s="6"/>
      <c r="K22" s="6" t="str">
        <f ca="1">IFERROR(__xludf.DUMMYFUNCTION("""COMPUTED_VALUE"""),"Drishyam")</f>
        <v>Drishyam</v>
      </c>
      <c r="L22" s="6" t="str">
        <f ca="1">IFERROR(__xludf.DUMMYFUNCTION("""COMPUTED_VALUE"""),"Not Rated")</f>
        <v>Not Rated</v>
      </c>
      <c r="M22" s="6">
        <f ca="1">IFERROR(__xludf.DUMMYFUNCTION("""COMPUTED_VALUE"""),160)</f>
        <v>160</v>
      </c>
      <c r="N22" s="6">
        <f ca="1">IFERROR(__xludf.DUMMYFUNCTION("""COMPUTED_VALUE"""),8.3)</f>
        <v>8.3000000000000007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45">
      <c r="A23" s="6" t="str">
        <f ca="1">IFERROR(__xludf.DUMMYFUNCTION("""COMPUTED_VALUE"""),"Inglourious Basterds")</f>
        <v>Inglourious Basterds</v>
      </c>
      <c r="B23" s="6" t="str">
        <f ca="1">IFERROR(__xludf.DUMMYFUNCTION("""COMPUTED_VALUE"""),"R")</f>
        <v>R</v>
      </c>
      <c r="C23" s="6">
        <f ca="1">IFERROR(__xludf.DUMMYFUNCTION("""COMPUTED_VALUE"""),153)</f>
        <v>153</v>
      </c>
      <c r="D23" s="6">
        <f ca="1">IFERROR(__xludf.DUMMYFUNCTION("""COMPUTED_VALUE"""),8.3)</f>
        <v>8.3000000000000007</v>
      </c>
      <c r="E23" s="6"/>
      <c r="F23" s="6" t="str">
        <f ca="1">IFERROR(__xludf.DUMMYFUNCTION("""COMPUTED_VALUE"""),"Forrest Gump")</f>
        <v>Forrest Gump</v>
      </c>
      <c r="G23" s="6" t="str">
        <f ca="1">IFERROR(__xludf.DUMMYFUNCTION("""COMPUTED_VALUE"""),"PG-13")</f>
        <v>PG-13</v>
      </c>
      <c r="H23" s="6">
        <f ca="1">IFERROR(__xludf.DUMMYFUNCTION("""COMPUTED_VALUE"""),142)</f>
        <v>142</v>
      </c>
      <c r="I23" s="6">
        <f ca="1">IFERROR(__xludf.DUMMYFUNCTION("""COMPUTED_VALUE"""),8.8)</f>
        <v>8.8000000000000007</v>
      </c>
      <c r="J23" s="6"/>
      <c r="K23" s="6" t="str">
        <f ca="1">IFERROR(__xludf.DUMMYFUNCTION("""COMPUTED_VALUE"""),"High and Low")</f>
        <v>High and Low</v>
      </c>
      <c r="L23" s="6" t="str">
        <f ca="1">IFERROR(__xludf.DUMMYFUNCTION("""COMPUTED_VALUE"""),"Not Rated")</f>
        <v>Not Rated</v>
      </c>
      <c r="M23" s="6">
        <f ca="1">IFERROR(__xludf.DUMMYFUNCTION("""COMPUTED_VALUE"""),143)</f>
        <v>143</v>
      </c>
      <c r="N23" s="6">
        <f ca="1">IFERROR(__xludf.DUMMYFUNCTION("""COMPUTED_VALUE"""),8.4)</f>
        <v>8.4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45">
      <c r="A24" s="6" t="str">
        <f ca="1">IFERROR(__xludf.DUMMYFUNCTION("""COMPUTED_VALUE"""),"Eternal Sunshine of the Spotless Mind")</f>
        <v>Eternal Sunshine of the Spotless Mind</v>
      </c>
      <c r="B24" s="6" t="str">
        <f ca="1">IFERROR(__xludf.DUMMYFUNCTION("""COMPUTED_VALUE"""),"R")</f>
        <v>R</v>
      </c>
      <c r="C24" s="6">
        <f ca="1">IFERROR(__xludf.DUMMYFUNCTION("""COMPUTED_VALUE"""),108)</f>
        <v>108</v>
      </c>
      <c r="D24" s="6">
        <f ca="1">IFERROR(__xludf.DUMMYFUNCTION("""COMPUTED_VALUE"""),8.3)</f>
        <v>8.3000000000000007</v>
      </c>
      <c r="E24" s="6"/>
      <c r="F24" s="6" t="str">
        <f ca="1">IFERROR(__xludf.DUMMYFUNCTION("""COMPUTED_VALUE"""),"The Good, the Bad and the Ugly")</f>
        <v>The Good, the Bad and the Ugly</v>
      </c>
      <c r="G24" s="6" t="str">
        <f ca="1">IFERROR(__xludf.DUMMYFUNCTION("""COMPUTED_VALUE"""),"R")</f>
        <v>R</v>
      </c>
      <c r="H24" s="6">
        <f ca="1">IFERROR(__xludf.DUMMYFUNCTION("""COMPUTED_VALUE"""),178)</f>
        <v>178</v>
      </c>
      <c r="I24" s="6">
        <f ca="1">IFERROR(__xludf.DUMMYFUNCTION("""COMPUTED_VALUE"""),8.8)</f>
        <v>8.8000000000000007</v>
      </c>
      <c r="J24" s="6"/>
      <c r="K24" s="6" t="str">
        <f ca="1">IFERROR(__xludf.DUMMYFUNCTION("""COMPUTED_VALUE"""),"Andhadhun")</f>
        <v>Andhadhun</v>
      </c>
      <c r="L24" s="6" t="str">
        <f ca="1">IFERROR(__xludf.DUMMYFUNCTION("""COMPUTED_VALUE"""),"Not Rated")</f>
        <v>Not Rated</v>
      </c>
      <c r="M24" s="6">
        <f ca="1">IFERROR(__xludf.DUMMYFUNCTION("""COMPUTED_VALUE"""),139)</f>
        <v>139</v>
      </c>
      <c r="N24" s="6">
        <f ca="1">IFERROR(__xludf.DUMMYFUNCTION("""COMPUTED_VALUE"""),8.3)</f>
        <v>8.3000000000000007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45">
      <c r="A25" s="6" t="str">
        <f ca="1">IFERROR(__xludf.DUMMYFUNCTION("""COMPUTED_VALUE"""),"Amélie")</f>
        <v>Amélie</v>
      </c>
      <c r="B25" s="6" t="str">
        <f ca="1">IFERROR(__xludf.DUMMYFUNCTION("""COMPUTED_VALUE"""),"R")</f>
        <v>R</v>
      </c>
      <c r="C25" s="6">
        <f ca="1">IFERROR(__xludf.DUMMYFUNCTION("""COMPUTED_VALUE"""),122)</f>
        <v>122</v>
      </c>
      <c r="D25" s="6">
        <f ca="1">IFERROR(__xludf.DUMMYFUNCTION("""COMPUTED_VALUE"""),8.3)</f>
        <v>8.3000000000000007</v>
      </c>
      <c r="E25" s="6"/>
      <c r="F25" s="6" t="str">
        <f ca="1">IFERROR(__xludf.DUMMYFUNCTION("""COMPUTED_VALUE"""),"Hamilton")</f>
        <v>Hamilton</v>
      </c>
      <c r="G25" s="6" t="str">
        <f ca="1">IFERROR(__xludf.DUMMYFUNCTION("""COMPUTED_VALUE"""),"PG-13")</f>
        <v>PG-13</v>
      </c>
      <c r="H25" s="6">
        <f ca="1">IFERROR(__xludf.DUMMYFUNCTION("""COMPUTED_VALUE"""),160)</f>
        <v>160</v>
      </c>
      <c r="I25" s="6">
        <f ca="1">IFERROR(__xludf.DUMMYFUNCTION("""COMPUTED_VALUE"""),8.7)</f>
        <v>8.6999999999999993</v>
      </c>
      <c r="J25" s="6"/>
      <c r="K25" s="6" t="str">
        <f ca="1">IFERROR(__xludf.DUMMYFUNCTION("""COMPUTED_VALUE"""),"Uri: The Surgical Strike")</f>
        <v>Uri: The Surgical Strike</v>
      </c>
      <c r="L25" s="6" t="str">
        <f ca="1">IFERROR(__xludf.DUMMYFUNCTION("""COMPUTED_VALUE"""),"Not Rated")</f>
        <v>Not Rated</v>
      </c>
      <c r="M25" s="6">
        <f ca="1">IFERROR(__xludf.DUMMYFUNCTION("""COMPUTED_VALUE"""),138)</f>
        <v>138</v>
      </c>
      <c r="N25" s="6">
        <f ca="1">IFERROR(__xludf.DUMMYFUNCTION("""COMPUTED_VALUE"""),8.3)</f>
        <v>8.3000000000000007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45">
      <c r="A26" s="6" t="str">
        <f ca="1">IFERROR(__xludf.DUMMYFUNCTION("""COMPUTED_VALUE"""),"Snatch")</f>
        <v>Snatch</v>
      </c>
      <c r="B26" s="6" t="str">
        <f ca="1">IFERROR(__xludf.DUMMYFUNCTION("""COMPUTED_VALUE"""),"R")</f>
        <v>R</v>
      </c>
      <c r="C26" s="6">
        <f ca="1">IFERROR(__xludf.DUMMYFUNCTION("""COMPUTED_VALUE"""),102)</f>
        <v>102</v>
      </c>
      <c r="D26" s="6">
        <f ca="1">IFERROR(__xludf.DUMMYFUNCTION("""COMPUTED_VALUE"""),8.3)</f>
        <v>8.3000000000000007</v>
      </c>
      <c r="E26" s="6"/>
      <c r="F26" s="6" t="str">
        <f ca="1">IFERROR(__xludf.DUMMYFUNCTION("""COMPUTED_VALUE"""),"The Lord of the Rings: The Two Towers")</f>
        <v>The Lord of the Rings: The Two Towers</v>
      </c>
      <c r="G26" s="6" t="str">
        <f ca="1">IFERROR(__xludf.DUMMYFUNCTION("""COMPUTED_VALUE"""),"PG-13")</f>
        <v>PG-13</v>
      </c>
      <c r="H26" s="6">
        <f ca="1">IFERROR(__xludf.DUMMYFUNCTION("""COMPUTED_VALUE"""),179)</f>
        <v>179</v>
      </c>
      <c r="I26" s="6">
        <f ca="1">IFERROR(__xludf.DUMMYFUNCTION("""COMPUTED_VALUE"""),8.7)</f>
        <v>8.6999999999999993</v>
      </c>
      <c r="J26" s="6"/>
      <c r="K26" s="6" t="str">
        <f ca="1">IFERROR(__xludf.DUMMYFUNCTION("""COMPUTED_VALUE"""),"Harakiri")</f>
        <v>Harakiri</v>
      </c>
      <c r="L26" s="6" t="str">
        <f ca="1">IFERROR(__xludf.DUMMYFUNCTION("""COMPUTED_VALUE"""),"Not Rated")</f>
        <v>Not Rated</v>
      </c>
      <c r="M26" s="6">
        <f ca="1">IFERROR(__xludf.DUMMYFUNCTION("""COMPUTED_VALUE"""),133)</f>
        <v>133</v>
      </c>
      <c r="N26" s="6">
        <f ca="1">IFERROR(__xludf.DUMMYFUNCTION("""COMPUTED_VALUE"""),8.6)</f>
        <v>8.6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6.8" x14ac:dyDescent="0.45">
      <c r="A27" s="6" t="str">
        <f ca="1">IFERROR(__xludf.DUMMYFUNCTION("""COMPUTED_VALUE"""),"Requiem for a Dream")</f>
        <v>Requiem for a Dream</v>
      </c>
      <c r="B27" s="6" t="str">
        <f ca="1">IFERROR(__xludf.DUMMYFUNCTION("""COMPUTED_VALUE"""),"R")</f>
        <v>R</v>
      </c>
      <c r="C27" s="6">
        <f ca="1">IFERROR(__xludf.DUMMYFUNCTION("""COMPUTED_VALUE"""),102)</f>
        <v>102</v>
      </c>
      <c r="D27" s="6">
        <f ca="1">IFERROR(__xludf.DUMMYFUNCTION("""COMPUTED_VALUE"""),8.3)</f>
        <v>8.3000000000000007</v>
      </c>
      <c r="E27" s="6"/>
      <c r="F27" s="6" t="str">
        <f ca="1">IFERROR(__xludf.DUMMYFUNCTION("""COMPUTED_VALUE"""),"The Matrix")</f>
        <v>The Matrix</v>
      </c>
      <c r="G27" s="6" t="str">
        <f ca="1">IFERROR(__xludf.DUMMYFUNCTION("""COMPUTED_VALUE"""),"R")</f>
        <v>R</v>
      </c>
      <c r="H27" s="6">
        <f ca="1">IFERROR(__xludf.DUMMYFUNCTION("""COMPUTED_VALUE"""),136)</f>
        <v>136</v>
      </c>
      <c r="I27" s="6">
        <f ca="1">IFERROR(__xludf.DUMMYFUNCTION("""COMPUTED_VALUE"""),8.7)</f>
        <v>8.6999999999999993</v>
      </c>
      <c r="J27" s="6"/>
      <c r="K27" s="6" t="str">
        <f ca="1">IFERROR(__xludf.DUMMYFUNCTION("""COMPUTED_VALUE"""),"Anand")</f>
        <v>Anand</v>
      </c>
      <c r="L27" s="6" t="str">
        <f ca="1">IFERROR(__xludf.DUMMYFUNCTION("""COMPUTED_VALUE"""),"Not Rated")</f>
        <v>Not Rated</v>
      </c>
      <c r="M27" s="6">
        <f ca="1">IFERROR(__xludf.DUMMYFUNCTION("""COMPUTED_VALUE"""),122)</f>
        <v>122</v>
      </c>
      <c r="N27" s="6">
        <f ca="1">IFERROR(__xludf.DUMMYFUNCTION("""COMPUTED_VALUE"""),8.5)</f>
        <v>8.5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6.8" x14ac:dyDescent="0.45">
      <c r="A28" s="6" t="str">
        <f ca="1">IFERROR(__xludf.DUMMYFUNCTION("""COMPUTED_VALUE"""),"American Beauty")</f>
        <v>American Beauty</v>
      </c>
      <c r="B28" s="6" t="str">
        <f ca="1">IFERROR(__xludf.DUMMYFUNCTION("""COMPUTED_VALUE"""),"R")</f>
        <v>R</v>
      </c>
      <c r="C28" s="6">
        <f ca="1">IFERROR(__xludf.DUMMYFUNCTION("""COMPUTED_VALUE"""),122)</f>
        <v>122</v>
      </c>
      <c r="D28" s="6">
        <f ca="1">IFERROR(__xludf.DUMMYFUNCTION("""COMPUTED_VALUE"""),8.3)</f>
        <v>8.3000000000000007</v>
      </c>
      <c r="E28" s="6"/>
      <c r="F28" s="6" t="str">
        <f ca="1">IFERROR(__xludf.DUMMYFUNCTION("""COMPUTED_VALUE"""),"Goodfellas")</f>
        <v>Goodfellas</v>
      </c>
      <c r="G28" s="6" t="str">
        <f ca="1">IFERROR(__xludf.DUMMYFUNCTION("""COMPUTED_VALUE"""),"R")</f>
        <v>R</v>
      </c>
      <c r="H28" s="6">
        <f ca="1">IFERROR(__xludf.DUMMYFUNCTION("""COMPUTED_VALUE"""),146)</f>
        <v>146</v>
      </c>
      <c r="I28" s="6">
        <f ca="1">IFERROR(__xludf.DUMMYFUNCTION("""COMPUTED_VALUE"""),8.7)</f>
        <v>8.6999999999999993</v>
      </c>
      <c r="J28" s="6"/>
      <c r="K28" s="6" t="str">
        <f ca="1">IFERROR(__xludf.DUMMYFUNCTION("""COMPUTED_VALUE"""),"Tumbbad")</f>
        <v>Tumbbad</v>
      </c>
      <c r="L28" s="6" t="str">
        <f ca="1">IFERROR(__xludf.DUMMYFUNCTION("""COMPUTED_VALUE"""),"Not Rated")</f>
        <v>Not Rated</v>
      </c>
      <c r="M28" s="6">
        <f ca="1">IFERROR(__xludf.DUMMYFUNCTION("""COMPUTED_VALUE"""),104)</f>
        <v>104</v>
      </c>
      <c r="N28" s="6">
        <f ca="1">IFERROR(__xludf.DUMMYFUNCTION("""COMPUTED_VALUE"""),8.3)</f>
        <v>8.3000000000000007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6.8" x14ac:dyDescent="0.45">
      <c r="A29" s="6" t="str">
        <f ca="1">IFERROR(__xludf.DUMMYFUNCTION("""COMPUTED_VALUE"""),"Good Will Hunting")</f>
        <v>Good Will Hunting</v>
      </c>
      <c r="B29" s="6" t="str">
        <f ca="1">IFERROR(__xludf.DUMMYFUNCTION("""COMPUTED_VALUE"""),"R")</f>
        <v>R</v>
      </c>
      <c r="C29" s="6">
        <f ca="1">IFERROR(__xludf.DUMMYFUNCTION("""COMPUTED_VALUE"""),126)</f>
        <v>126</v>
      </c>
      <c r="D29" s="6">
        <f ca="1">IFERROR(__xludf.DUMMYFUNCTION("""COMPUTED_VALUE"""),8.3)</f>
        <v>8.3000000000000007</v>
      </c>
      <c r="E29" s="6"/>
      <c r="F29" s="6" t="str">
        <f ca="1">IFERROR(__xludf.DUMMYFUNCTION("""COMPUTED_VALUE"""),"Star Wars: Episode V - The Empire Strikes Back")</f>
        <v>Star Wars: Episode V - The Empire Strikes Back</v>
      </c>
      <c r="G29" s="6" t="str">
        <f ca="1">IFERROR(__xludf.DUMMYFUNCTION("""COMPUTED_VALUE"""),"PG")</f>
        <v>PG</v>
      </c>
      <c r="H29" s="6">
        <f ca="1">IFERROR(__xludf.DUMMYFUNCTION("""COMPUTED_VALUE"""),124)</f>
        <v>124</v>
      </c>
      <c r="I29" s="6">
        <f ca="1">IFERROR(__xludf.DUMMYFUNCTION("""COMPUTED_VALUE"""),8.7)</f>
        <v>8.6999999999999993</v>
      </c>
      <c r="J29" s="6"/>
      <c r="K29" s="6" t="str">
        <f ca="1">IFERROR(__xludf.DUMMYFUNCTION("""COMPUTED_VALUE"""),"Grave of the Fireflies")</f>
        <v>Grave of the Fireflies</v>
      </c>
      <c r="L29" s="6" t="str">
        <f ca="1">IFERROR(__xludf.DUMMYFUNCTION("""COMPUTED_VALUE"""),"Not Rated")</f>
        <v>Not Rated</v>
      </c>
      <c r="M29" s="6">
        <f ca="1">IFERROR(__xludf.DUMMYFUNCTION("""COMPUTED_VALUE"""),89)</f>
        <v>89</v>
      </c>
      <c r="N29" s="6">
        <f ca="1">IFERROR(__xludf.DUMMYFUNCTION("""COMPUTED_VALUE"""),8.5)</f>
        <v>8.5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6.8" x14ac:dyDescent="0.45">
      <c r="A30" s="6" t="str">
        <f ca="1">IFERROR(__xludf.DUMMYFUNCTION("""COMPUTED_VALUE"""),"Capharnaüm")</f>
        <v>Capharnaüm</v>
      </c>
      <c r="B30" s="6" t="str">
        <f ca="1">IFERROR(__xludf.DUMMYFUNCTION("""COMPUTED_VALUE"""),"R")</f>
        <v>R</v>
      </c>
      <c r="C30" s="6">
        <f ca="1">IFERROR(__xludf.DUMMYFUNCTION("""COMPUTED_VALUE"""),126)</f>
        <v>126</v>
      </c>
      <c r="D30" s="6">
        <f ca="1">IFERROR(__xludf.DUMMYFUNCTION("""COMPUTED_VALUE"""),8.4)</f>
        <v>8.4</v>
      </c>
      <c r="E30" s="6"/>
      <c r="F30" s="6" t="str">
        <f ca="1">IFERROR(__xludf.DUMMYFUNCTION("""COMPUTED_VALUE"""),"One Flew Over the Cuckoo's Nest")</f>
        <v>One Flew Over the Cuckoo's Nest</v>
      </c>
      <c r="G30" s="6" t="str">
        <f ca="1">IFERROR(__xludf.DUMMYFUNCTION("""COMPUTED_VALUE"""),"R")</f>
        <v>R</v>
      </c>
      <c r="H30" s="6">
        <f ca="1">IFERROR(__xludf.DUMMYFUNCTION("""COMPUTED_VALUE"""),133)</f>
        <v>133</v>
      </c>
      <c r="I30" s="6">
        <f ca="1">IFERROR(__xludf.DUMMYFUNCTION("""COMPUTED_VALUE"""),8.7)</f>
        <v>8.6999999999999993</v>
      </c>
      <c r="J30" s="6"/>
      <c r="K30" s="6" t="str">
        <f ca="1">IFERROR(__xludf.DUMMYFUNCTION("""COMPUTED_VALUE"""),"The Great Dictator")</f>
        <v>The Great Dictator</v>
      </c>
      <c r="L30" s="6" t="str">
        <f ca="1">IFERROR(__xludf.DUMMYFUNCTION("""COMPUTED_VALUE"""),"Passed")</f>
        <v>Passed</v>
      </c>
      <c r="M30" s="6">
        <f ca="1">IFERROR(__xludf.DUMMYFUNCTION("""COMPUTED_VALUE"""),125)</f>
        <v>125</v>
      </c>
      <c r="N30" s="6">
        <f ca="1">IFERROR(__xludf.DUMMYFUNCTION("""COMPUTED_VALUE"""),8.4)</f>
        <v>8.4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6.8" x14ac:dyDescent="0.45">
      <c r="A31" s="6" t="str">
        <f ca="1">IFERROR(__xludf.DUMMYFUNCTION("""COMPUTED_VALUE"""),"Ayla: The Daughter of War")</f>
        <v>Ayla: The Daughter of War</v>
      </c>
      <c r="B31" s="6"/>
      <c r="C31" s="6">
        <f ca="1">IFERROR(__xludf.DUMMYFUNCTION("""COMPUTED_VALUE"""),125)</f>
        <v>125</v>
      </c>
      <c r="D31" s="6">
        <f ca="1">IFERROR(__xludf.DUMMYFUNCTION("""COMPUTED_VALUE"""),8.4)</f>
        <v>8.4</v>
      </c>
      <c r="E31" s="6"/>
      <c r="F31" s="6" t="str">
        <f ca="1">IFERROR(__xludf.DUMMYFUNCTION("""COMPUTED_VALUE"""),"Parasite")</f>
        <v>Parasite</v>
      </c>
      <c r="G31" s="6" t="str">
        <f ca="1">IFERROR(__xludf.DUMMYFUNCTION("""COMPUTED_VALUE"""),"R")</f>
        <v>R</v>
      </c>
      <c r="H31" s="6">
        <f ca="1">IFERROR(__xludf.DUMMYFUNCTION("""COMPUTED_VALUE"""),132)</f>
        <v>132</v>
      </c>
      <c r="I31" s="6">
        <f ca="1">IFERROR(__xludf.DUMMYFUNCTION("""COMPUTED_VALUE"""),8.6)</f>
        <v>8.6</v>
      </c>
      <c r="J31" s="6"/>
      <c r="K31" s="6" t="str">
        <f ca="1">IFERROR(__xludf.DUMMYFUNCTION("""COMPUTED_VALUE"""),"Sunset Blvd.")</f>
        <v>Sunset Blvd.</v>
      </c>
      <c r="L31" s="6" t="str">
        <f ca="1">IFERROR(__xludf.DUMMYFUNCTION("""COMPUTED_VALUE"""),"Passed")</f>
        <v>Passed</v>
      </c>
      <c r="M31" s="6">
        <f ca="1">IFERROR(__xludf.DUMMYFUNCTION("""COMPUTED_VALUE"""),110)</f>
        <v>110</v>
      </c>
      <c r="N31" s="6">
        <f ca="1">IFERROR(__xludf.DUMMYFUNCTION("""COMPUTED_VALUE"""),8.4)</f>
        <v>8.4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6.8" x14ac:dyDescent="0.45">
      <c r="A32" s="6" t="str">
        <f ca="1">IFERROR(__xludf.DUMMYFUNCTION("""COMPUTED_VALUE"""),"Your Name.")</f>
        <v>Your Name.</v>
      </c>
      <c r="B32" s="6" t="str">
        <f ca="1">IFERROR(__xludf.DUMMYFUNCTION("""COMPUTED_VALUE"""),"PG")</f>
        <v>PG</v>
      </c>
      <c r="C32" s="6">
        <f ca="1">IFERROR(__xludf.DUMMYFUNCTION("""COMPUTED_VALUE"""),106)</f>
        <v>106</v>
      </c>
      <c r="D32" s="6">
        <f ca="1">IFERROR(__xludf.DUMMYFUNCTION("""COMPUTED_VALUE"""),8.4)</f>
        <v>8.4</v>
      </c>
      <c r="E32" s="6"/>
      <c r="F32" s="6" t="str">
        <f ca="1">IFERROR(__xludf.DUMMYFUNCTION("""COMPUTED_VALUE"""),"Interstellar")</f>
        <v>Interstellar</v>
      </c>
      <c r="G32" s="6" t="str">
        <f ca="1">IFERROR(__xludf.DUMMYFUNCTION("""COMPUTED_VALUE"""),"PG-13")</f>
        <v>PG-13</v>
      </c>
      <c r="H32" s="6">
        <f ca="1">IFERROR(__xludf.DUMMYFUNCTION("""COMPUTED_VALUE"""),169)</f>
        <v>169</v>
      </c>
      <c r="I32" s="6">
        <f ca="1">IFERROR(__xludf.DUMMYFUNCTION("""COMPUTED_VALUE"""),8.6)</f>
        <v>8.6</v>
      </c>
      <c r="J32" s="6"/>
      <c r="K32" s="6" t="str">
        <f ca="1">IFERROR(__xludf.DUMMYFUNCTION("""COMPUTED_VALUE"""),"Taare Zameen Par")</f>
        <v>Taare Zameen Par</v>
      </c>
      <c r="L32" s="6" t="str">
        <f ca="1">IFERROR(__xludf.DUMMYFUNCTION("""COMPUTED_VALUE"""),"PG")</f>
        <v>PG</v>
      </c>
      <c r="M32" s="6">
        <f ca="1">IFERROR(__xludf.DUMMYFUNCTION("""COMPUTED_VALUE"""),165)</f>
        <v>165</v>
      </c>
      <c r="N32" s="6">
        <f ca="1">IFERROR(__xludf.DUMMYFUNCTION("""COMPUTED_VALUE"""),8.4)</f>
        <v>8.4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6.8" x14ac:dyDescent="0.45">
      <c r="A33" s="6" t="str">
        <f ca="1">IFERROR(__xludf.DUMMYFUNCTION("""COMPUTED_VALUE"""),"Dangal")</f>
        <v>Dangal</v>
      </c>
      <c r="B33" s="6" t="str">
        <f ca="1">IFERROR(__xludf.DUMMYFUNCTION("""COMPUTED_VALUE"""),"Not Rated")</f>
        <v>Not Rated</v>
      </c>
      <c r="C33" s="6">
        <f ca="1">IFERROR(__xludf.DUMMYFUNCTION("""COMPUTED_VALUE"""),161)</f>
        <v>161</v>
      </c>
      <c r="D33" s="6">
        <f ca="1">IFERROR(__xludf.DUMMYFUNCTION("""COMPUTED_VALUE"""),8.4)</f>
        <v>8.4</v>
      </c>
      <c r="E33" s="6"/>
      <c r="F33" s="6" t="str">
        <f ca="1">IFERROR(__xludf.DUMMYFUNCTION("""COMPUTED_VALUE"""),"City of God")</f>
        <v>City of God</v>
      </c>
      <c r="G33" s="6" t="str">
        <f ca="1">IFERROR(__xludf.DUMMYFUNCTION("""COMPUTED_VALUE"""),"R")</f>
        <v>R</v>
      </c>
      <c r="H33" s="6">
        <f ca="1">IFERROR(__xludf.DUMMYFUNCTION("""COMPUTED_VALUE"""),130)</f>
        <v>130</v>
      </c>
      <c r="I33" s="6">
        <f ca="1">IFERROR(__xludf.DUMMYFUNCTION("""COMPUTED_VALUE"""),8.6)</f>
        <v>8.6</v>
      </c>
      <c r="J33" s="6"/>
      <c r="K33" s="6" t="str">
        <f ca="1">IFERROR(__xludf.DUMMYFUNCTION("""COMPUTED_VALUE"""),"It's a Wonderful Life")</f>
        <v>It's a Wonderful Life</v>
      </c>
      <c r="L33" s="6" t="str">
        <f ca="1">IFERROR(__xludf.DUMMYFUNCTION("""COMPUTED_VALUE"""),"PG")</f>
        <v>PG</v>
      </c>
      <c r="M33" s="6">
        <f ca="1">IFERROR(__xludf.DUMMYFUNCTION("""COMPUTED_VALUE"""),130)</f>
        <v>130</v>
      </c>
      <c r="N33" s="6">
        <f ca="1">IFERROR(__xludf.DUMMYFUNCTION("""COMPUTED_VALUE"""),8.6)</f>
        <v>8.6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6.8" x14ac:dyDescent="0.45">
      <c r="A34" s="6" t="str">
        <f ca="1">IFERROR(__xludf.DUMMYFUNCTION("""COMPUTED_VALUE"""),"Spider-Man: Into the Spider-Verse")</f>
        <v>Spider-Man: Into the Spider-Verse</v>
      </c>
      <c r="B34" s="6" t="str">
        <f ca="1">IFERROR(__xludf.DUMMYFUNCTION("""COMPUTED_VALUE"""),"PG")</f>
        <v>PG</v>
      </c>
      <c r="C34" s="6">
        <f ca="1">IFERROR(__xludf.DUMMYFUNCTION("""COMPUTED_VALUE"""),117)</f>
        <v>117</v>
      </c>
      <c r="D34" s="6">
        <f ca="1">IFERROR(__xludf.DUMMYFUNCTION("""COMPUTED_VALUE"""),8.4)</f>
        <v>8.4</v>
      </c>
      <c r="E34" s="6"/>
      <c r="F34" s="6" t="str">
        <f ca="1">IFERROR(__xludf.DUMMYFUNCTION("""COMPUTED_VALUE"""),"Spirited Away")</f>
        <v>Spirited Away</v>
      </c>
      <c r="G34" s="6" t="str">
        <f ca="1">IFERROR(__xludf.DUMMYFUNCTION("""COMPUTED_VALUE"""),"PG")</f>
        <v>PG</v>
      </c>
      <c r="H34" s="6">
        <f ca="1">IFERROR(__xludf.DUMMYFUNCTION("""COMPUTED_VALUE"""),125)</f>
        <v>125</v>
      </c>
      <c r="I34" s="6">
        <f ca="1">IFERROR(__xludf.DUMMYFUNCTION("""COMPUTED_VALUE"""),8.6)</f>
        <v>8.6</v>
      </c>
      <c r="J34" s="6"/>
      <c r="K34" s="6" t="str">
        <f ca="1">IFERROR(__xludf.DUMMYFUNCTION("""COMPUTED_VALUE"""),"Spirited Away")</f>
        <v>Spirited Away</v>
      </c>
      <c r="L34" s="6" t="str">
        <f ca="1">IFERROR(__xludf.DUMMYFUNCTION("""COMPUTED_VALUE"""),"PG")</f>
        <v>PG</v>
      </c>
      <c r="M34" s="6">
        <f ca="1">IFERROR(__xludf.DUMMYFUNCTION("""COMPUTED_VALUE"""),125)</f>
        <v>125</v>
      </c>
      <c r="N34" s="6">
        <f ca="1">IFERROR(__xludf.DUMMYFUNCTION("""COMPUTED_VALUE"""),8.6)</f>
        <v>8.6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6.8" x14ac:dyDescent="0.45">
      <c r="A35" s="6" t="str">
        <f ca="1">IFERROR(__xludf.DUMMYFUNCTION("""COMPUTED_VALUE"""),"Avengers: Endgame")</f>
        <v>Avengers: Endgame</v>
      </c>
      <c r="B35" s="6" t="str">
        <f ca="1">IFERROR(__xludf.DUMMYFUNCTION("""COMPUTED_VALUE"""),"PG-13")</f>
        <v>PG-13</v>
      </c>
      <c r="C35" s="6">
        <f ca="1">IFERROR(__xludf.DUMMYFUNCTION("""COMPUTED_VALUE"""),181)</f>
        <v>181</v>
      </c>
      <c r="D35" s="6">
        <f ca="1">IFERROR(__xludf.DUMMYFUNCTION("""COMPUTED_VALUE"""),8.4)</f>
        <v>8.4</v>
      </c>
      <c r="E35" s="6"/>
      <c r="F35" s="6" t="str">
        <f ca="1">IFERROR(__xludf.DUMMYFUNCTION("""COMPUTED_VALUE"""),"Saving Private Ryan")</f>
        <v>Saving Private Ryan</v>
      </c>
      <c r="G35" s="6" t="str">
        <f ca="1">IFERROR(__xludf.DUMMYFUNCTION("""COMPUTED_VALUE"""),"R")</f>
        <v>R</v>
      </c>
      <c r="H35" s="6">
        <f ca="1">IFERROR(__xludf.DUMMYFUNCTION("""COMPUTED_VALUE"""),169)</f>
        <v>169</v>
      </c>
      <c r="I35" s="6">
        <f ca="1">IFERROR(__xludf.DUMMYFUNCTION("""COMPUTED_VALUE"""),8.6)</f>
        <v>8.6</v>
      </c>
      <c r="J35" s="6"/>
      <c r="K35" s="6" t="str">
        <f ca="1">IFERROR(__xludf.DUMMYFUNCTION("""COMPUTED_VALUE"""),"Star Wars: Episode V - The Empire Strikes Back")</f>
        <v>Star Wars: Episode V - The Empire Strikes Back</v>
      </c>
      <c r="L35" s="6" t="str">
        <f ca="1">IFERROR(__xludf.DUMMYFUNCTION("""COMPUTED_VALUE"""),"PG")</f>
        <v>PG</v>
      </c>
      <c r="M35" s="6">
        <f ca="1">IFERROR(__xludf.DUMMYFUNCTION("""COMPUTED_VALUE"""),124)</f>
        <v>124</v>
      </c>
      <c r="N35" s="6">
        <f ca="1">IFERROR(__xludf.DUMMYFUNCTION("""COMPUTED_VALUE"""),8.7)</f>
        <v>8.6999999999999993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6.8" x14ac:dyDescent="0.45">
      <c r="A36" s="6" t="str">
        <f ca="1">IFERROR(__xludf.DUMMYFUNCTION("""COMPUTED_VALUE"""),"Avengers: Infinity War")</f>
        <v>Avengers: Infinity War</v>
      </c>
      <c r="B36" s="6" t="str">
        <f ca="1">IFERROR(__xludf.DUMMYFUNCTION("""COMPUTED_VALUE"""),"PG-13")</f>
        <v>PG-13</v>
      </c>
      <c r="C36" s="6">
        <f ca="1">IFERROR(__xludf.DUMMYFUNCTION("""COMPUTED_VALUE"""),149)</f>
        <v>149</v>
      </c>
      <c r="D36" s="6">
        <f ca="1">IFERROR(__xludf.DUMMYFUNCTION("""COMPUTED_VALUE"""),8.4)</f>
        <v>8.4</v>
      </c>
      <c r="E36" s="6"/>
      <c r="F36" s="6" t="str">
        <f ca="1">IFERROR(__xludf.DUMMYFUNCTION("""COMPUTED_VALUE"""),"The Green Mile")</f>
        <v>The Green Mile</v>
      </c>
      <c r="G36" s="6" t="str">
        <f ca="1">IFERROR(__xludf.DUMMYFUNCTION("""COMPUTED_VALUE"""),"R")</f>
        <v>R</v>
      </c>
      <c r="H36" s="6">
        <f ca="1">IFERROR(__xludf.DUMMYFUNCTION("""COMPUTED_VALUE"""),189)</f>
        <v>189</v>
      </c>
      <c r="I36" s="6">
        <f ca="1">IFERROR(__xludf.DUMMYFUNCTION("""COMPUTED_VALUE"""),8.6)</f>
        <v>8.6</v>
      </c>
      <c r="J36" s="6"/>
      <c r="K36" s="6" t="str">
        <f ca="1">IFERROR(__xludf.DUMMYFUNCTION("""COMPUTED_VALUE"""),"Star Wars: Episode IV - A New Hope")</f>
        <v>Star Wars: Episode IV - A New Hope</v>
      </c>
      <c r="L36" s="6" t="str">
        <f ca="1">IFERROR(__xludf.DUMMYFUNCTION("""COMPUTED_VALUE"""),"PG")</f>
        <v>PG</v>
      </c>
      <c r="M36" s="6">
        <f ca="1">IFERROR(__xludf.DUMMYFUNCTION("""COMPUTED_VALUE"""),121)</f>
        <v>121</v>
      </c>
      <c r="N36" s="6">
        <f ca="1">IFERROR(__xludf.DUMMYFUNCTION("""COMPUTED_VALUE"""),8.6)</f>
        <v>8.6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6.8" x14ac:dyDescent="0.45">
      <c r="A37" s="6" t="str">
        <f ca="1">IFERROR(__xludf.DUMMYFUNCTION("""COMPUTED_VALUE"""),"Coco")</f>
        <v>Coco</v>
      </c>
      <c r="B37" s="6" t="str">
        <f ca="1">IFERROR(__xludf.DUMMYFUNCTION("""COMPUTED_VALUE"""),"PG")</f>
        <v>PG</v>
      </c>
      <c r="C37" s="6">
        <f ca="1">IFERROR(__xludf.DUMMYFUNCTION("""COMPUTED_VALUE"""),105)</f>
        <v>105</v>
      </c>
      <c r="D37" s="6">
        <f ca="1">IFERROR(__xludf.DUMMYFUNCTION("""COMPUTED_VALUE"""),8.4)</f>
        <v>8.4</v>
      </c>
      <c r="E37" s="6"/>
      <c r="F37" s="6" t="str">
        <f ca="1">IFERROR(__xludf.DUMMYFUNCTION("""COMPUTED_VALUE"""),"Life Is Beautiful")</f>
        <v>Life Is Beautiful</v>
      </c>
      <c r="G37" s="6" t="str">
        <f ca="1">IFERROR(__xludf.DUMMYFUNCTION("""COMPUTED_VALUE"""),"PG-13")</f>
        <v>PG-13</v>
      </c>
      <c r="H37" s="6">
        <f ca="1">IFERROR(__xludf.DUMMYFUNCTION("""COMPUTED_VALUE"""),116)</f>
        <v>116</v>
      </c>
      <c r="I37" s="6">
        <f ca="1">IFERROR(__xludf.DUMMYFUNCTION("""COMPUTED_VALUE"""),8.6)</f>
        <v>8.6</v>
      </c>
      <c r="J37" s="6"/>
      <c r="K37" s="6" t="str">
        <f ca="1">IFERROR(__xludf.DUMMYFUNCTION("""COMPUTED_VALUE"""),"Spider-Man: Into the Spider-Verse")</f>
        <v>Spider-Man: Into the Spider-Verse</v>
      </c>
      <c r="L37" s="6" t="str">
        <f ca="1">IFERROR(__xludf.DUMMYFUNCTION("""COMPUTED_VALUE"""),"PG")</f>
        <v>PG</v>
      </c>
      <c r="M37" s="6">
        <f ca="1">IFERROR(__xludf.DUMMYFUNCTION("""COMPUTED_VALUE"""),117)</f>
        <v>117</v>
      </c>
      <c r="N37" s="6">
        <f ca="1">IFERROR(__xludf.DUMMYFUNCTION("""COMPUTED_VALUE"""),8.4)</f>
        <v>8.4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6.8" x14ac:dyDescent="0.45">
      <c r="A38" s="6" t="str">
        <f ca="1">IFERROR(__xludf.DUMMYFUNCTION("""COMPUTED_VALUE"""),"Django Unchained")</f>
        <v>Django Unchained</v>
      </c>
      <c r="B38" s="6" t="str">
        <f ca="1">IFERROR(__xludf.DUMMYFUNCTION("""COMPUTED_VALUE"""),"R")</f>
        <v>R</v>
      </c>
      <c r="C38" s="6">
        <f ca="1">IFERROR(__xludf.DUMMYFUNCTION("""COMPUTED_VALUE"""),165)</f>
        <v>165</v>
      </c>
      <c r="D38" s="6">
        <f ca="1">IFERROR(__xludf.DUMMYFUNCTION("""COMPUTED_VALUE"""),8.4)</f>
        <v>8.4</v>
      </c>
      <c r="E38" s="6"/>
      <c r="F38" s="6" t="str">
        <f ca="1">IFERROR(__xludf.DUMMYFUNCTION("""COMPUTED_VALUE"""),"Se7en")</f>
        <v>Se7en</v>
      </c>
      <c r="G38" s="6" t="str">
        <f ca="1">IFERROR(__xludf.DUMMYFUNCTION("""COMPUTED_VALUE"""),"R")</f>
        <v>R</v>
      </c>
      <c r="H38" s="6">
        <f ca="1">IFERROR(__xludf.DUMMYFUNCTION("""COMPUTED_VALUE"""),127)</f>
        <v>127</v>
      </c>
      <c r="I38" s="6">
        <f ca="1">IFERROR(__xludf.DUMMYFUNCTION("""COMPUTED_VALUE"""),8.6)</f>
        <v>8.6</v>
      </c>
      <c r="J38" s="6"/>
      <c r="K38" s="6" t="str">
        <f ca="1">IFERROR(__xludf.DUMMYFUNCTION("""COMPUTED_VALUE"""),"Back to the Future")</f>
        <v>Back to the Future</v>
      </c>
      <c r="L38" s="6" t="str">
        <f ca="1">IFERROR(__xludf.DUMMYFUNCTION("""COMPUTED_VALUE"""),"PG")</f>
        <v>PG</v>
      </c>
      <c r="M38" s="6">
        <f ca="1">IFERROR(__xludf.DUMMYFUNCTION("""COMPUTED_VALUE"""),116)</f>
        <v>116</v>
      </c>
      <c r="N38" s="6">
        <f ca="1">IFERROR(__xludf.DUMMYFUNCTION("""COMPUTED_VALUE"""),8.5)</f>
        <v>8.5</v>
      </c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6.8" x14ac:dyDescent="0.45">
      <c r="A39" s="6" t="str">
        <f ca="1">IFERROR(__xludf.DUMMYFUNCTION("""COMPUTED_VALUE"""),"The Dark Knight Rises")</f>
        <v>The Dark Knight Rises</v>
      </c>
      <c r="B39" s="6" t="str">
        <f ca="1">IFERROR(__xludf.DUMMYFUNCTION("""COMPUTED_VALUE"""),"PG-13")</f>
        <v>PG-13</v>
      </c>
      <c r="C39" s="6">
        <f ca="1">IFERROR(__xludf.DUMMYFUNCTION("""COMPUTED_VALUE"""),164)</f>
        <v>164</v>
      </c>
      <c r="D39" s="6">
        <f ca="1">IFERROR(__xludf.DUMMYFUNCTION("""COMPUTED_VALUE"""),8.4)</f>
        <v>8.4</v>
      </c>
      <c r="E39" s="6"/>
      <c r="F39" s="6" t="str">
        <f ca="1">IFERROR(__xludf.DUMMYFUNCTION("""COMPUTED_VALUE"""),"The Silence of the Lambs")</f>
        <v>The Silence of the Lambs</v>
      </c>
      <c r="G39" s="6" t="str">
        <f ca="1">IFERROR(__xludf.DUMMYFUNCTION("""COMPUTED_VALUE"""),"R")</f>
        <v>R</v>
      </c>
      <c r="H39" s="6">
        <f ca="1">IFERROR(__xludf.DUMMYFUNCTION("""COMPUTED_VALUE"""),118)</f>
        <v>118</v>
      </c>
      <c r="I39" s="6">
        <f ca="1">IFERROR(__xludf.DUMMYFUNCTION("""COMPUTED_VALUE"""),8.6)</f>
        <v>8.6</v>
      </c>
      <c r="J39" s="6"/>
      <c r="K39" s="6" t="str">
        <f ca="1">IFERROR(__xludf.DUMMYFUNCTION("""COMPUTED_VALUE"""),"Raiders of the Lost Ark")</f>
        <v>Raiders of the Lost Ark</v>
      </c>
      <c r="L39" s="6" t="str">
        <f ca="1">IFERROR(__xludf.DUMMYFUNCTION("""COMPUTED_VALUE"""),"PG")</f>
        <v>PG</v>
      </c>
      <c r="M39" s="6">
        <f ca="1">IFERROR(__xludf.DUMMYFUNCTION("""COMPUTED_VALUE"""),115)</f>
        <v>115</v>
      </c>
      <c r="N39" s="6">
        <f ca="1">IFERROR(__xludf.DUMMYFUNCTION("""COMPUTED_VALUE"""),8.4)</f>
        <v>8.4</v>
      </c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6.8" x14ac:dyDescent="0.45">
      <c r="A40" s="6" t="str">
        <f ca="1">IFERROR(__xludf.DUMMYFUNCTION("""COMPUTED_VALUE"""),"3 Idiots")</f>
        <v>3 Idiots</v>
      </c>
      <c r="B40" s="6" t="str">
        <f ca="1">IFERROR(__xludf.DUMMYFUNCTION("""COMPUTED_VALUE"""),"PG-13")</f>
        <v>PG-13</v>
      </c>
      <c r="C40" s="6">
        <f ca="1">IFERROR(__xludf.DUMMYFUNCTION("""COMPUTED_VALUE"""),170)</f>
        <v>170</v>
      </c>
      <c r="D40" s="6">
        <f ca="1">IFERROR(__xludf.DUMMYFUNCTION("""COMPUTED_VALUE"""),8.4)</f>
        <v>8.4</v>
      </c>
      <c r="E40" s="6"/>
      <c r="F40" s="6" t="str">
        <f ca="1">IFERROR(__xludf.DUMMYFUNCTION("""COMPUTED_VALUE"""),"Star Wars: Episode IV - A New Hope")</f>
        <v>Star Wars: Episode IV - A New Hope</v>
      </c>
      <c r="G40" s="6" t="str">
        <f ca="1">IFERROR(__xludf.DUMMYFUNCTION("""COMPUTED_VALUE"""),"PG")</f>
        <v>PG</v>
      </c>
      <c r="H40" s="6">
        <f ca="1">IFERROR(__xludf.DUMMYFUNCTION("""COMPUTED_VALUE"""),121)</f>
        <v>121</v>
      </c>
      <c r="I40" s="6">
        <f ca="1">IFERROR(__xludf.DUMMYFUNCTION("""COMPUTED_VALUE"""),8.6)</f>
        <v>8.6</v>
      </c>
      <c r="J40" s="6"/>
      <c r="K40" s="6" t="str">
        <f ca="1">IFERROR(__xludf.DUMMYFUNCTION("""COMPUTED_VALUE"""),"Rear Window")</f>
        <v>Rear Window</v>
      </c>
      <c r="L40" s="6" t="str">
        <f ca="1">IFERROR(__xludf.DUMMYFUNCTION("""COMPUTED_VALUE"""),"PG")</f>
        <v>PG</v>
      </c>
      <c r="M40" s="6">
        <f ca="1">IFERROR(__xludf.DUMMYFUNCTION("""COMPUTED_VALUE"""),112)</f>
        <v>112</v>
      </c>
      <c r="N40" s="6">
        <f ca="1">IFERROR(__xludf.DUMMYFUNCTION("""COMPUTED_VALUE"""),8.4)</f>
        <v>8.4</v>
      </c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6.8" x14ac:dyDescent="0.45">
      <c r="A41" s="6" t="str">
        <f ca="1">IFERROR(__xludf.DUMMYFUNCTION("""COMPUTED_VALUE"""),"Taare Zameen Par")</f>
        <v>Taare Zameen Par</v>
      </c>
      <c r="B41" s="6" t="str">
        <f ca="1">IFERROR(__xludf.DUMMYFUNCTION("""COMPUTED_VALUE"""),"PG")</f>
        <v>PG</v>
      </c>
      <c r="C41" s="6">
        <f ca="1">IFERROR(__xludf.DUMMYFUNCTION("""COMPUTED_VALUE"""),165)</f>
        <v>165</v>
      </c>
      <c r="D41" s="6">
        <f ca="1">IFERROR(__xludf.DUMMYFUNCTION("""COMPUTED_VALUE"""),8.4)</f>
        <v>8.4</v>
      </c>
      <c r="E41" s="6"/>
      <c r="F41" s="6" t="str">
        <f ca="1">IFERROR(__xludf.DUMMYFUNCTION("""COMPUTED_VALUE"""),"Harakiri")</f>
        <v>Harakiri</v>
      </c>
      <c r="G41" s="6" t="str">
        <f ca="1">IFERROR(__xludf.DUMMYFUNCTION("""COMPUTED_VALUE"""),"Not Rated")</f>
        <v>Not Rated</v>
      </c>
      <c r="H41" s="6">
        <f ca="1">IFERROR(__xludf.DUMMYFUNCTION("""COMPUTED_VALUE"""),133)</f>
        <v>133</v>
      </c>
      <c r="I41" s="6">
        <f ca="1">IFERROR(__xludf.DUMMYFUNCTION("""COMPUTED_VALUE"""),8.6)</f>
        <v>8.6</v>
      </c>
      <c r="J41" s="6"/>
      <c r="K41" s="6" t="str">
        <f ca="1">IFERROR(__xludf.DUMMYFUNCTION("""COMPUTED_VALUE"""),"Your Name.")</f>
        <v>Your Name.</v>
      </c>
      <c r="L41" s="6" t="str">
        <f ca="1">IFERROR(__xludf.DUMMYFUNCTION("""COMPUTED_VALUE"""),"PG")</f>
        <v>PG</v>
      </c>
      <c r="M41" s="6">
        <f ca="1">IFERROR(__xludf.DUMMYFUNCTION("""COMPUTED_VALUE"""),106)</f>
        <v>106</v>
      </c>
      <c r="N41" s="6">
        <f ca="1">IFERROR(__xludf.DUMMYFUNCTION("""COMPUTED_VALUE"""),8.4)</f>
        <v>8.4</v>
      </c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6.8" x14ac:dyDescent="0.45">
      <c r="A42" s="6" t="str">
        <f ca="1">IFERROR(__xludf.DUMMYFUNCTION("""COMPUTED_VALUE"""),"WALL·E")</f>
        <v>WALL·E</v>
      </c>
      <c r="B42" s="6" t="str">
        <f ca="1">IFERROR(__xludf.DUMMYFUNCTION("""COMPUTED_VALUE"""),"G")</f>
        <v>G</v>
      </c>
      <c r="C42" s="6">
        <f ca="1">IFERROR(__xludf.DUMMYFUNCTION("""COMPUTED_VALUE"""),98)</f>
        <v>98</v>
      </c>
      <c r="D42" s="6">
        <f ca="1">IFERROR(__xludf.DUMMYFUNCTION("""COMPUTED_VALUE"""),8.4)</f>
        <v>8.4</v>
      </c>
      <c r="E42" s="6"/>
      <c r="F42" s="6" t="str">
        <f ca="1">IFERROR(__xludf.DUMMYFUNCTION("""COMPUTED_VALUE"""),"Seven Samurai")</f>
        <v>Seven Samurai</v>
      </c>
      <c r="G42" s="6" t="str">
        <f ca="1">IFERROR(__xludf.DUMMYFUNCTION("""COMPUTED_VALUE"""),"Not Rated")</f>
        <v>Not Rated</v>
      </c>
      <c r="H42" s="6">
        <f ca="1">IFERROR(__xludf.DUMMYFUNCTION("""COMPUTED_VALUE"""),207)</f>
        <v>207</v>
      </c>
      <c r="I42" s="6">
        <f ca="1">IFERROR(__xludf.DUMMYFUNCTION("""COMPUTED_VALUE"""),8.6)</f>
        <v>8.6</v>
      </c>
      <c r="J42" s="6"/>
      <c r="K42" s="6" t="str">
        <f ca="1">IFERROR(__xludf.DUMMYFUNCTION("""COMPUTED_VALUE"""),"Coco")</f>
        <v>Coco</v>
      </c>
      <c r="L42" s="6" t="str">
        <f ca="1">IFERROR(__xludf.DUMMYFUNCTION("""COMPUTED_VALUE"""),"PG")</f>
        <v>PG</v>
      </c>
      <c r="M42" s="6">
        <f ca="1">IFERROR(__xludf.DUMMYFUNCTION("""COMPUTED_VALUE"""),105)</f>
        <v>105</v>
      </c>
      <c r="N42" s="6">
        <f ca="1">IFERROR(__xludf.DUMMYFUNCTION("""COMPUTED_VALUE"""),8.4)</f>
        <v>8.4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6.8" x14ac:dyDescent="0.45">
      <c r="A43" s="6" t="str">
        <f ca="1">IFERROR(__xludf.DUMMYFUNCTION("""COMPUTED_VALUE"""),"The Lives of Others")</f>
        <v>The Lives of Others</v>
      </c>
      <c r="B43" s="6" t="str">
        <f ca="1">IFERROR(__xludf.DUMMYFUNCTION("""COMPUTED_VALUE"""),"R")</f>
        <v>R</v>
      </c>
      <c r="C43" s="6">
        <f ca="1">IFERROR(__xludf.DUMMYFUNCTION("""COMPUTED_VALUE"""),137)</f>
        <v>137</v>
      </c>
      <c r="D43" s="6">
        <f ca="1">IFERROR(__xludf.DUMMYFUNCTION("""COMPUTED_VALUE"""),8.4)</f>
        <v>8.4</v>
      </c>
      <c r="E43" s="6"/>
      <c r="F43" s="6" t="str">
        <f ca="1">IFERROR(__xludf.DUMMYFUNCTION("""COMPUTED_VALUE"""),"It's a Wonderful Life")</f>
        <v>It's a Wonderful Life</v>
      </c>
      <c r="G43" s="6" t="str">
        <f ca="1">IFERROR(__xludf.DUMMYFUNCTION("""COMPUTED_VALUE"""),"PG")</f>
        <v>PG</v>
      </c>
      <c r="H43" s="6">
        <f ca="1">IFERROR(__xludf.DUMMYFUNCTION("""COMPUTED_VALUE"""),130)</f>
        <v>130</v>
      </c>
      <c r="I43" s="6">
        <f ca="1">IFERROR(__xludf.DUMMYFUNCTION("""COMPUTED_VALUE"""),8.6)</f>
        <v>8.6</v>
      </c>
      <c r="J43" s="6"/>
      <c r="K43" s="6" t="str">
        <f ca="1">IFERROR(__xludf.DUMMYFUNCTION("""COMPUTED_VALUE"""),"Casablanca")</f>
        <v>Casablanca</v>
      </c>
      <c r="L43" s="6" t="str">
        <f ca="1">IFERROR(__xludf.DUMMYFUNCTION("""COMPUTED_VALUE"""),"PG")</f>
        <v>PG</v>
      </c>
      <c r="M43" s="6">
        <f ca="1">IFERROR(__xludf.DUMMYFUNCTION("""COMPUTED_VALUE"""),102)</f>
        <v>102</v>
      </c>
      <c r="N43" s="6">
        <f ca="1">IFERROR(__xludf.DUMMYFUNCTION("""COMPUTED_VALUE"""),8.5)</f>
        <v>8.5</v>
      </c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6.8" x14ac:dyDescent="0.45">
      <c r="A44" s="6" t="str">
        <f ca="1">IFERROR(__xludf.DUMMYFUNCTION("""COMPUTED_VALUE"""),"Oldboy")</f>
        <v>Oldboy</v>
      </c>
      <c r="B44" s="6" t="str">
        <f ca="1">IFERROR(__xludf.DUMMYFUNCTION("""COMPUTED_VALUE"""),"R")</f>
        <v>R</v>
      </c>
      <c r="C44" s="6">
        <f ca="1">IFERROR(__xludf.DUMMYFUNCTION("""COMPUTED_VALUE"""),120)</f>
        <v>120</v>
      </c>
      <c r="D44" s="6">
        <f ca="1">IFERROR(__xludf.DUMMYFUNCTION("""COMPUTED_VALUE"""),8.4)</f>
        <v>8.4</v>
      </c>
      <c r="E44" s="6"/>
      <c r="F44" s="6" t="str">
        <f ca="1">IFERROR(__xludf.DUMMYFUNCTION("""COMPUTED_VALUE"""),"Joker")</f>
        <v>Joker</v>
      </c>
      <c r="G44" s="6" t="str">
        <f ca="1">IFERROR(__xludf.DUMMYFUNCTION("""COMPUTED_VALUE"""),"R")</f>
        <v>R</v>
      </c>
      <c r="H44" s="6">
        <f ca="1">IFERROR(__xludf.DUMMYFUNCTION("""COMPUTED_VALUE"""),122)</f>
        <v>122</v>
      </c>
      <c r="I44" s="6">
        <f ca="1">IFERROR(__xludf.DUMMYFUNCTION("""COMPUTED_VALUE"""),8.5)</f>
        <v>8.5</v>
      </c>
      <c r="J44" s="6"/>
      <c r="K44" s="6" t="str">
        <f ca="1">IFERROR(__xludf.DUMMYFUNCTION("""COMPUTED_VALUE"""),"Dr. Strangelove or: How I Learned to Stop Worrying and Love the Bomb")</f>
        <v>Dr. Strangelove or: How I Learned to Stop Worrying and Love the Bomb</v>
      </c>
      <c r="L44" s="6" t="str">
        <f ca="1">IFERROR(__xludf.DUMMYFUNCTION("""COMPUTED_VALUE"""),"PG")</f>
        <v>PG</v>
      </c>
      <c r="M44" s="6">
        <f ca="1">IFERROR(__xludf.DUMMYFUNCTION("""COMPUTED_VALUE"""),95)</f>
        <v>95</v>
      </c>
      <c r="N44" s="6">
        <f ca="1">IFERROR(__xludf.DUMMYFUNCTION("""COMPUTED_VALUE"""),8.4)</f>
        <v>8.4</v>
      </c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6.8" x14ac:dyDescent="0.45">
      <c r="A45" s="6" t="str">
        <f ca="1">IFERROR(__xludf.DUMMYFUNCTION("""COMPUTED_VALUE"""),"Memento")</f>
        <v>Memento</v>
      </c>
      <c r="B45" s="6" t="str">
        <f ca="1">IFERROR(__xludf.DUMMYFUNCTION("""COMPUTED_VALUE"""),"R")</f>
        <v>R</v>
      </c>
      <c r="C45" s="6">
        <f ca="1">IFERROR(__xludf.DUMMYFUNCTION("""COMPUTED_VALUE"""),113)</f>
        <v>113</v>
      </c>
      <c r="D45" s="6">
        <f ca="1">IFERROR(__xludf.DUMMYFUNCTION("""COMPUTED_VALUE"""),8.4)</f>
        <v>8.4</v>
      </c>
      <c r="E45" s="6"/>
      <c r="F45" s="6" t="str">
        <f ca="1">IFERROR(__xludf.DUMMYFUNCTION("""COMPUTED_VALUE"""),"Whiplash")</f>
        <v>Whiplash</v>
      </c>
      <c r="G45" s="6" t="str">
        <f ca="1">IFERROR(__xludf.DUMMYFUNCTION("""COMPUTED_VALUE"""),"R")</f>
        <v>R</v>
      </c>
      <c r="H45" s="6">
        <f ca="1">IFERROR(__xludf.DUMMYFUNCTION("""COMPUTED_VALUE"""),106)</f>
        <v>106</v>
      </c>
      <c r="I45" s="6">
        <f ca="1">IFERROR(__xludf.DUMMYFUNCTION("""COMPUTED_VALUE"""),8.5)</f>
        <v>8.5</v>
      </c>
      <c r="J45" s="6"/>
      <c r="K45" s="6" t="str">
        <f ca="1">IFERROR(__xludf.DUMMYFUNCTION("""COMPUTED_VALUE"""),"The Lord of the Rings: The Return of the King")</f>
        <v>The Lord of the Rings: The Return of the King</v>
      </c>
      <c r="L45" s="6" t="str">
        <f ca="1">IFERROR(__xludf.DUMMYFUNCTION("""COMPUTED_VALUE"""),"PG-13")</f>
        <v>PG-13</v>
      </c>
      <c r="M45" s="6">
        <f ca="1">IFERROR(__xludf.DUMMYFUNCTION("""COMPUTED_VALUE"""),201)</f>
        <v>201</v>
      </c>
      <c r="N45" s="6">
        <f ca="1">IFERROR(__xludf.DUMMYFUNCTION("""COMPUTED_VALUE"""),8.9)</f>
        <v>8.9</v>
      </c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6.8" x14ac:dyDescent="0.45">
      <c r="A46" s="6" t="str">
        <f ca="1">IFERROR(__xludf.DUMMYFUNCTION("""COMPUTED_VALUE"""),"Princess Mononoke")</f>
        <v>Princess Mononoke</v>
      </c>
      <c r="B46" s="6" t="str">
        <f ca="1">IFERROR(__xludf.DUMMYFUNCTION("""COMPUTED_VALUE"""),"PG-13")</f>
        <v>PG-13</v>
      </c>
      <c r="C46" s="6">
        <f ca="1">IFERROR(__xludf.DUMMYFUNCTION("""COMPUTED_VALUE"""),134)</f>
        <v>134</v>
      </c>
      <c r="D46" s="6">
        <f ca="1">IFERROR(__xludf.DUMMYFUNCTION("""COMPUTED_VALUE"""),8.4)</f>
        <v>8.4</v>
      </c>
      <c r="E46" s="6"/>
      <c r="F46" s="6" t="str">
        <f ca="1">IFERROR(__xludf.DUMMYFUNCTION("""COMPUTED_VALUE"""),"The Intouchables")</f>
        <v>The Intouchables</v>
      </c>
      <c r="G46" s="6" t="str">
        <f ca="1">IFERROR(__xludf.DUMMYFUNCTION("""COMPUTED_VALUE"""),"R")</f>
        <v>R</v>
      </c>
      <c r="H46" s="6">
        <f ca="1">IFERROR(__xludf.DUMMYFUNCTION("""COMPUTED_VALUE"""),112)</f>
        <v>112</v>
      </c>
      <c r="I46" s="6">
        <f ca="1">IFERROR(__xludf.DUMMYFUNCTION("""COMPUTED_VALUE"""),8.5)</f>
        <v>8.5</v>
      </c>
      <c r="J46" s="6"/>
      <c r="K46" s="6" t="str">
        <f ca="1">IFERROR(__xludf.DUMMYFUNCTION("""COMPUTED_VALUE"""),"Avengers: Endgame")</f>
        <v>Avengers: Endgame</v>
      </c>
      <c r="L46" s="6" t="str">
        <f ca="1">IFERROR(__xludf.DUMMYFUNCTION("""COMPUTED_VALUE"""),"PG-13")</f>
        <v>PG-13</v>
      </c>
      <c r="M46" s="6">
        <f ca="1">IFERROR(__xludf.DUMMYFUNCTION("""COMPUTED_VALUE"""),181)</f>
        <v>181</v>
      </c>
      <c r="N46" s="6">
        <f ca="1">IFERROR(__xludf.DUMMYFUNCTION("""COMPUTED_VALUE"""),8.4)</f>
        <v>8.4</v>
      </c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6.8" x14ac:dyDescent="0.45">
      <c r="A47" s="6" t="str">
        <f ca="1">IFERROR(__xludf.DUMMYFUNCTION("""COMPUTED_VALUE"""),"Once Upon a Time in America")</f>
        <v>Once Upon a Time in America</v>
      </c>
      <c r="B47" s="6" t="str">
        <f ca="1">IFERROR(__xludf.DUMMYFUNCTION("""COMPUTED_VALUE"""),"R")</f>
        <v>R</v>
      </c>
      <c r="C47" s="6">
        <f ca="1">IFERROR(__xludf.DUMMYFUNCTION("""COMPUTED_VALUE"""),229)</f>
        <v>229</v>
      </c>
      <c r="D47" s="6">
        <f ca="1">IFERROR(__xludf.DUMMYFUNCTION("""COMPUTED_VALUE"""),8.4)</f>
        <v>8.4</v>
      </c>
      <c r="E47" s="6"/>
      <c r="F47" s="6" t="str">
        <f ca="1">IFERROR(__xludf.DUMMYFUNCTION("""COMPUTED_VALUE"""),"The Prestige")</f>
        <v>The Prestige</v>
      </c>
      <c r="G47" s="6" t="str">
        <f ca="1">IFERROR(__xludf.DUMMYFUNCTION("""COMPUTED_VALUE"""),"PG-13")</f>
        <v>PG-13</v>
      </c>
      <c r="H47" s="6">
        <f ca="1">IFERROR(__xludf.DUMMYFUNCTION("""COMPUTED_VALUE"""),130)</f>
        <v>130</v>
      </c>
      <c r="I47" s="6">
        <f ca="1">IFERROR(__xludf.DUMMYFUNCTION("""COMPUTED_VALUE"""),8.5)</f>
        <v>8.5</v>
      </c>
      <c r="J47" s="6"/>
      <c r="K47" s="6" t="str">
        <f ca="1">IFERROR(__xludf.DUMMYFUNCTION("""COMPUTED_VALUE"""),"The Lord of the Rings: The Two Towers")</f>
        <v>The Lord of the Rings: The Two Towers</v>
      </c>
      <c r="L47" s="6" t="str">
        <f ca="1">IFERROR(__xludf.DUMMYFUNCTION("""COMPUTED_VALUE"""),"PG-13")</f>
        <v>PG-13</v>
      </c>
      <c r="M47" s="6">
        <f ca="1">IFERROR(__xludf.DUMMYFUNCTION("""COMPUTED_VALUE"""),179)</f>
        <v>179</v>
      </c>
      <c r="N47" s="6">
        <f ca="1">IFERROR(__xludf.DUMMYFUNCTION("""COMPUTED_VALUE"""),8.7)</f>
        <v>8.6999999999999993</v>
      </c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6.8" x14ac:dyDescent="0.45">
      <c r="A48" s="6" t="str">
        <f ca="1">IFERROR(__xludf.DUMMYFUNCTION("""COMPUTED_VALUE"""),"Raiders of the Lost Ark")</f>
        <v>Raiders of the Lost Ark</v>
      </c>
      <c r="B48" s="6" t="str">
        <f ca="1">IFERROR(__xludf.DUMMYFUNCTION("""COMPUTED_VALUE"""),"PG")</f>
        <v>PG</v>
      </c>
      <c r="C48" s="6">
        <f ca="1">IFERROR(__xludf.DUMMYFUNCTION("""COMPUTED_VALUE"""),115)</f>
        <v>115</v>
      </c>
      <c r="D48" s="6">
        <f ca="1">IFERROR(__xludf.DUMMYFUNCTION("""COMPUTED_VALUE"""),8.4)</f>
        <v>8.4</v>
      </c>
      <c r="E48" s="6"/>
      <c r="F48" s="6" t="str">
        <f ca="1">IFERROR(__xludf.DUMMYFUNCTION("""COMPUTED_VALUE"""),"The Departed")</f>
        <v>The Departed</v>
      </c>
      <c r="G48" s="6" t="str">
        <f ca="1">IFERROR(__xludf.DUMMYFUNCTION("""COMPUTED_VALUE"""),"R")</f>
        <v>R</v>
      </c>
      <c r="H48" s="6">
        <f ca="1">IFERROR(__xludf.DUMMYFUNCTION("""COMPUTED_VALUE"""),151)</f>
        <v>151</v>
      </c>
      <c r="I48" s="6">
        <f ca="1">IFERROR(__xludf.DUMMYFUNCTION("""COMPUTED_VALUE"""),8.5)</f>
        <v>8.5</v>
      </c>
      <c r="J48" s="6"/>
      <c r="K48" s="6" t="str">
        <f ca="1">IFERROR(__xludf.DUMMYFUNCTION("""COMPUTED_VALUE"""),"The Lord of the Rings: The Fellowship of the Ring")</f>
        <v>The Lord of the Rings: The Fellowship of the Ring</v>
      </c>
      <c r="L48" s="6" t="str">
        <f ca="1">IFERROR(__xludf.DUMMYFUNCTION("""COMPUTED_VALUE"""),"PG-13")</f>
        <v>PG-13</v>
      </c>
      <c r="M48" s="6">
        <f ca="1">IFERROR(__xludf.DUMMYFUNCTION("""COMPUTED_VALUE"""),178)</f>
        <v>178</v>
      </c>
      <c r="N48" s="6">
        <f ca="1">IFERROR(__xludf.DUMMYFUNCTION("""COMPUTED_VALUE"""),8.8)</f>
        <v>8.8000000000000007</v>
      </c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6.8" x14ac:dyDescent="0.45">
      <c r="A49" s="6" t="str">
        <f ca="1">IFERROR(__xludf.DUMMYFUNCTION("""COMPUTED_VALUE"""),"The Shining")</f>
        <v>The Shining</v>
      </c>
      <c r="B49" s="6" t="str">
        <f ca="1">IFERROR(__xludf.DUMMYFUNCTION("""COMPUTED_VALUE"""),"R")</f>
        <v>R</v>
      </c>
      <c r="C49" s="6">
        <f ca="1">IFERROR(__xludf.DUMMYFUNCTION("""COMPUTED_VALUE"""),146)</f>
        <v>146</v>
      </c>
      <c r="D49" s="6">
        <f ca="1">IFERROR(__xludf.DUMMYFUNCTION("""COMPUTED_VALUE"""),8.4)</f>
        <v>8.4</v>
      </c>
      <c r="E49" s="6"/>
      <c r="F49" s="6" t="str">
        <f ca="1">IFERROR(__xludf.DUMMYFUNCTION("""COMPUTED_VALUE"""),"The Pianist")</f>
        <v>The Pianist</v>
      </c>
      <c r="G49" s="6" t="str">
        <f ca="1">IFERROR(__xludf.DUMMYFUNCTION("""COMPUTED_VALUE"""),"R")</f>
        <v>R</v>
      </c>
      <c r="H49" s="6">
        <f ca="1">IFERROR(__xludf.DUMMYFUNCTION("""COMPUTED_VALUE"""),150)</f>
        <v>150</v>
      </c>
      <c r="I49" s="6">
        <f ca="1">IFERROR(__xludf.DUMMYFUNCTION("""COMPUTED_VALUE"""),8.5)</f>
        <v>8.5</v>
      </c>
      <c r="J49" s="6"/>
      <c r="K49" s="6" t="str">
        <f ca="1">IFERROR(__xludf.DUMMYFUNCTION("""COMPUTED_VALUE"""),"3 Idiots")</f>
        <v>3 Idiots</v>
      </c>
      <c r="L49" s="6" t="str">
        <f ca="1">IFERROR(__xludf.DUMMYFUNCTION("""COMPUTED_VALUE"""),"PG-13")</f>
        <v>PG-13</v>
      </c>
      <c r="M49" s="6">
        <f ca="1">IFERROR(__xludf.DUMMYFUNCTION("""COMPUTED_VALUE"""),170)</f>
        <v>170</v>
      </c>
      <c r="N49" s="6">
        <f ca="1">IFERROR(__xludf.DUMMYFUNCTION("""COMPUTED_VALUE"""),8.4)</f>
        <v>8.4</v>
      </c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6.8" x14ac:dyDescent="0.45">
      <c r="A50" s="6" t="str">
        <f ca="1">IFERROR(__xludf.DUMMYFUNCTION("""COMPUTED_VALUE"""),"Apocalypse Now")</f>
        <v>Apocalypse Now</v>
      </c>
      <c r="B50" s="6" t="str">
        <f ca="1">IFERROR(__xludf.DUMMYFUNCTION("""COMPUTED_VALUE"""),"R")</f>
        <v>R</v>
      </c>
      <c r="C50" s="6">
        <f ca="1">IFERROR(__xludf.DUMMYFUNCTION("""COMPUTED_VALUE"""),147)</f>
        <v>147</v>
      </c>
      <c r="D50" s="6">
        <f ca="1">IFERROR(__xludf.DUMMYFUNCTION("""COMPUTED_VALUE"""),8.4)</f>
        <v>8.4</v>
      </c>
      <c r="E50" s="6"/>
      <c r="F50" s="6" t="str">
        <f ca="1">IFERROR(__xludf.DUMMYFUNCTION("""COMPUTED_VALUE"""),"Gladiator")</f>
        <v>Gladiator</v>
      </c>
      <c r="G50" s="6" t="str">
        <f ca="1">IFERROR(__xludf.DUMMYFUNCTION("""COMPUTED_VALUE"""),"R")</f>
        <v>R</v>
      </c>
      <c r="H50" s="6">
        <f ca="1">IFERROR(__xludf.DUMMYFUNCTION("""COMPUTED_VALUE"""),155)</f>
        <v>155</v>
      </c>
      <c r="I50" s="6">
        <f ca="1">IFERROR(__xludf.DUMMYFUNCTION("""COMPUTED_VALUE"""),8.5)</f>
        <v>8.5</v>
      </c>
      <c r="J50" s="6"/>
      <c r="K50" s="6" t="str">
        <f ca="1">IFERROR(__xludf.DUMMYFUNCTION("""COMPUTED_VALUE"""),"Interstellar")</f>
        <v>Interstellar</v>
      </c>
      <c r="L50" s="6" t="str">
        <f ca="1">IFERROR(__xludf.DUMMYFUNCTION("""COMPUTED_VALUE"""),"PG-13")</f>
        <v>PG-13</v>
      </c>
      <c r="M50" s="6">
        <f ca="1">IFERROR(__xludf.DUMMYFUNCTION("""COMPUTED_VALUE"""),169)</f>
        <v>169</v>
      </c>
      <c r="N50" s="6">
        <f ca="1">IFERROR(__xludf.DUMMYFUNCTION("""COMPUTED_VALUE"""),8.6)</f>
        <v>8.6</v>
      </c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6.8" x14ac:dyDescent="0.45">
      <c r="A51" s="6" t="str">
        <f ca="1">IFERROR(__xludf.DUMMYFUNCTION("""COMPUTED_VALUE"""),"Alien")</f>
        <v>Alien</v>
      </c>
      <c r="B51" s="6" t="str">
        <f ca="1">IFERROR(__xludf.DUMMYFUNCTION("""COMPUTED_VALUE"""),"R")</f>
        <v>R</v>
      </c>
      <c r="C51" s="6">
        <f ca="1">IFERROR(__xludf.DUMMYFUNCTION("""COMPUTED_VALUE"""),117)</f>
        <v>117</v>
      </c>
      <c r="D51" s="6">
        <f ca="1">IFERROR(__xludf.DUMMYFUNCTION("""COMPUTED_VALUE"""),8.4)</f>
        <v>8.4</v>
      </c>
      <c r="E51" s="6"/>
      <c r="F51" s="6" t="str">
        <f ca="1">IFERROR(__xludf.DUMMYFUNCTION("""COMPUTED_VALUE"""),"American History X")</f>
        <v>American History X</v>
      </c>
      <c r="G51" s="6" t="str">
        <f ca="1">IFERROR(__xludf.DUMMYFUNCTION("""COMPUTED_VALUE"""),"R")</f>
        <v>R</v>
      </c>
      <c r="H51" s="6">
        <f ca="1">IFERROR(__xludf.DUMMYFUNCTION("""COMPUTED_VALUE"""),119)</f>
        <v>119</v>
      </c>
      <c r="I51" s="6">
        <f ca="1">IFERROR(__xludf.DUMMYFUNCTION("""COMPUTED_VALUE"""),8.5)</f>
        <v>8.5</v>
      </c>
      <c r="J51" s="6"/>
      <c r="K51" s="6" t="str">
        <f ca="1">IFERROR(__xludf.DUMMYFUNCTION("""COMPUTED_VALUE"""),"Once Upon a Time in the West")</f>
        <v>Once Upon a Time in the West</v>
      </c>
      <c r="L51" s="6" t="str">
        <f ca="1">IFERROR(__xludf.DUMMYFUNCTION("""COMPUTED_VALUE"""),"PG-13")</f>
        <v>PG-13</v>
      </c>
      <c r="M51" s="6">
        <f ca="1">IFERROR(__xludf.DUMMYFUNCTION("""COMPUTED_VALUE"""),165)</f>
        <v>165</v>
      </c>
      <c r="N51" s="6">
        <f ca="1">IFERROR(__xludf.DUMMYFUNCTION("""COMPUTED_VALUE"""),8.5)</f>
        <v>8.5</v>
      </c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6.8" x14ac:dyDescent="0.45">
      <c r="A52" s="6" t="str">
        <f ca="1">IFERROR(__xludf.DUMMYFUNCTION("""COMPUTED_VALUE"""),"High and Low")</f>
        <v>High and Low</v>
      </c>
      <c r="B52" s="6" t="str">
        <f ca="1">IFERROR(__xludf.DUMMYFUNCTION("""COMPUTED_VALUE"""),"Not Rated")</f>
        <v>Not Rated</v>
      </c>
      <c r="C52" s="6">
        <f ca="1">IFERROR(__xludf.DUMMYFUNCTION("""COMPUTED_VALUE"""),143)</f>
        <v>143</v>
      </c>
      <c r="D52" s="6">
        <f ca="1">IFERROR(__xludf.DUMMYFUNCTION("""COMPUTED_VALUE"""),8.4)</f>
        <v>8.4</v>
      </c>
      <c r="E52" s="6"/>
      <c r="F52" s="6" t="str">
        <f ca="1">IFERROR(__xludf.DUMMYFUNCTION("""COMPUTED_VALUE"""),"The Usual Suspects")</f>
        <v>The Usual Suspects</v>
      </c>
      <c r="G52" s="6" t="str">
        <f ca="1">IFERROR(__xludf.DUMMYFUNCTION("""COMPUTED_VALUE"""),"R")</f>
        <v>R</v>
      </c>
      <c r="H52" s="6">
        <f ca="1">IFERROR(__xludf.DUMMYFUNCTION("""COMPUTED_VALUE"""),106)</f>
        <v>106</v>
      </c>
      <c r="I52" s="6">
        <f ca="1">IFERROR(__xludf.DUMMYFUNCTION("""COMPUTED_VALUE"""),8.5)</f>
        <v>8.5</v>
      </c>
      <c r="J52" s="6"/>
      <c r="K52" s="6" t="str">
        <f ca="1">IFERROR(__xludf.DUMMYFUNCTION("""COMPUTED_VALUE"""),"The Dark Knight Rises")</f>
        <v>The Dark Knight Rises</v>
      </c>
      <c r="L52" s="6" t="str">
        <f ca="1">IFERROR(__xludf.DUMMYFUNCTION("""COMPUTED_VALUE"""),"PG-13")</f>
        <v>PG-13</v>
      </c>
      <c r="M52" s="6">
        <f ca="1">IFERROR(__xludf.DUMMYFUNCTION("""COMPUTED_VALUE"""),164)</f>
        <v>164</v>
      </c>
      <c r="N52" s="6">
        <f ca="1">IFERROR(__xludf.DUMMYFUNCTION("""COMPUTED_VALUE"""),8.4)</f>
        <v>8.4</v>
      </c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6.8" x14ac:dyDescent="0.45">
      <c r="A53" s="6" t="str">
        <f ca="1">IFERROR(__xludf.DUMMYFUNCTION("""COMPUTED_VALUE"""),"Dr. Strangelove or: How I Learned to Stop Worrying and Love the Bomb")</f>
        <v>Dr. Strangelove or: How I Learned to Stop Worrying and Love the Bomb</v>
      </c>
      <c r="B53" s="6" t="str">
        <f ca="1">IFERROR(__xludf.DUMMYFUNCTION("""COMPUTED_VALUE"""),"PG")</f>
        <v>PG</v>
      </c>
      <c r="C53" s="6">
        <f ca="1">IFERROR(__xludf.DUMMYFUNCTION("""COMPUTED_VALUE"""),95)</f>
        <v>95</v>
      </c>
      <c r="D53" s="6">
        <f ca="1">IFERROR(__xludf.DUMMYFUNCTION("""COMPUTED_VALUE"""),8.4)</f>
        <v>8.4</v>
      </c>
      <c r="E53" s="6"/>
      <c r="F53" s="6" t="str">
        <f ca="1">IFERROR(__xludf.DUMMYFUNCTION("""COMPUTED_VALUE"""),"Léon: The Professional")</f>
        <v>Léon: The Professional</v>
      </c>
      <c r="G53" s="6" t="str">
        <f ca="1">IFERROR(__xludf.DUMMYFUNCTION("""COMPUTED_VALUE"""),"R")</f>
        <v>R</v>
      </c>
      <c r="H53" s="6">
        <f ca="1">IFERROR(__xludf.DUMMYFUNCTION("""COMPUTED_VALUE"""),110)</f>
        <v>110</v>
      </c>
      <c r="I53" s="6">
        <f ca="1">IFERROR(__xludf.DUMMYFUNCTION("""COMPUTED_VALUE"""),8.5)</f>
        <v>8.5</v>
      </c>
      <c r="J53" s="6"/>
      <c r="K53" s="6" t="str">
        <f ca="1">IFERROR(__xludf.DUMMYFUNCTION("""COMPUTED_VALUE"""),"Hamilton")</f>
        <v>Hamilton</v>
      </c>
      <c r="L53" s="6" t="str">
        <f ca="1">IFERROR(__xludf.DUMMYFUNCTION("""COMPUTED_VALUE"""),"PG-13")</f>
        <v>PG-13</v>
      </c>
      <c r="M53" s="6">
        <f ca="1">IFERROR(__xludf.DUMMYFUNCTION("""COMPUTED_VALUE"""),160)</f>
        <v>160</v>
      </c>
      <c r="N53" s="6">
        <f ca="1">IFERROR(__xludf.DUMMYFUNCTION("""COMPUTED_VALUE"""),8.7)</f>
        <v>8.6999999999999993</v>
      </c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6.8" x14ac:dyDescent="0.45">
      <c r="A54" s="6" t="str">
        <f ca="1">IFERROR(__xludf.DUMMYFUNCTION("""COMPUTED_VALUE"""),"Witness for the Prosecution")</f>
        <v>Witness for the Prosecution</v>
      </c>
      <c r="B54" s="6" t="str">
        <f ca="1">IFERROR(__xludf.DUMMYFUNCTION("""COMPUTED_VALUE"""),"Approved")</f>
        <v>Approved</v>
      </c>
      <c r="C54" s="6">
        <f ca="1">IFERROR(__xludf.DUMMYFUNCTION("""COMPUTED_VALUE"""),116)</f>
        <v>116</v>
      </c>
      <c r="D54" s="6">
        <f ca="1">IFERROR(__xludf.DUMMYFUNCTION("""COMPUTED_VALUE"""),8.4)</f>
        <v>8.4</v>
      </c>
      <c r="E54" s="6"/>
      <c r="F54" s="6" t="str">
        <f ca="1">IFERROR(__xludf.DUMMYFUNCTION("""COMPUTED_VALUE"""),"The Lion King")</f>
        <v>The Lion King</v>
      </c>
      <c r="G54" s="6" t="str">
        <f ca="1">IFERROR(__xludf.DUMMYFUNCTION("""COMPUTED_VALUE"""),"G")</f>
        <v>G</v>
      </c>
      <c r="H54" s="6">
        <f ca="1">IFERROR(__xludf.DUMMYFUNCTION("""COMPUTED_VALUE"""),88)</f>
        <v>88</v>
      </c>
      <c r="I54" s="6">
        <f ca="1">IFERROR(__xludf.DUMMYFUNCTION("""COMPUTED_VALUE"""),8.5)</f>
        <v>8.5</v>
      </c>
      <c r="J54" s="6"/>
      <c r="K54" s="6" t="str">
        <f ca="1">IFERROR(__xludf.DUMMYFUNCTION("""COMPUTED_VALUE"""),"The Dark Knight")</f>
        <v>The Dark Knight</v>
      </c>
      <c r="L54" s="6" t="str">
        <f ca="1">IFERROR(__xludf.DUMMYFUNCTION("""COMPUTED_VALUE"""),"PG-13")</f>
        <v>PG-13</v>
      </c>
      <c r="M54" s="6">
        <f ca="1">IFERROR(__xludf.DUMMYFUNCTION("""COMPUTED_VALUE"""),152)</f>
        <v>152</v>
      </c>
      <c r="N54" s="6">
        <f ca="1">IFERROR(__xludf.DUMMYFUNCTION("""COMPUTED_VALUE"""),9)</f>
        <v>9</v>
      </c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6.8" x14ac:dyDescent="0.45">
      <c r="A55" s="6" t="str">
        <f ca="1">IFERROR(__xludf.DUMMYFUNCTION("""COMPUTED_VALUE"""),"Paths of Glory")</f>
        <v>Paths of Glory</v>
      </c>
      <c r="B55" s="6" t="str">
        <f ca="1">IFERROR(__xludf.DUMMYFUNCTION("""COMPUTED_VALUE"""),"Approved")</f>
        <v>Approved</v>
      </c>
      <c r="C55" s="6">
        <f ca="1">IFERROR(__xludf.DUMMYFUNCTION("""COMPUTED_VALUE"""),88)</f>
        <v>88</v>
      </c>
      <c r="D55" s="6">
        <f ca="1">IFERROR(__xludf.DUMMYFUNCTION("""COMPUTED_VALUE"""),8.4)</f>
        <v>8.4</v>
      </c>
      <c r="E55" s="6"/>
      <c r="F55" s="6" t="str">
        <f ca="1">IFERROR(__xludf.DUMMYFUNCTION("""COMPUTED_VALUE"""),"Terminator 2: Judgment Day")</f>
        <v>Terminator 2: Judgment Day</v>
      </c>
      <c r="G55" s="6" t="str">
        <f ca="1">IFERROR(__xludf.DUMMYFUNCTION("""COMPUTED_VALUE"""),"R")</f>
        <v>R</v>
      </c>
      <c r="H55" s="6">
        <f ca="1">IFERROR(__xludf.DUMMYFUNCTION("""COMPUTED_VALUE"""),137)</f>
        <v>137</v>
      </c>
      <c r="I55" s="6">
        <f ca="1">IFERROR(__xludf.DUMMYFUNCTION("""COMPUTED_VALUE"""),8.5)</f>
        <v>8.5</v>
      </c>
      <c r="J55" s="6"/>
      <c r="K55" s="6" t="str">
        <f ca="1">IFERROR(__xludf.DUMMYFUNCTION("""COMPUTED_VALUE"""),"Avengers: Infinity War")</f>
        <v>Avengers: Infinity War</v>
      </c>
      <c r="L55" s="6" t="str">
        <f ca="1">IFERROR(__xludf.DUMMYFUNCTION("""COMPUTED_VALUE"""),"PG-13")</f>
        <v>PG-13</v>
      </c>
      <c r="M55" s="6">
        <f ca="1">IFERROR(__xludf.DUMMYFUNCTION("""COMPUTED_VALUE"""),149)</f>
        <v>149</v>
      </c>
      <c r="N55" s="6">
        <f ca="1">IFERROR(__xludf.DUMMYFUNCTION("""COMPUTED_VALUE"""),8.4)</f>
        <v>8.4</v>
      </c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6.8" x14ac:dyDescent="0.45">
      <c r="A56" s="6" t="str">
        <f ca="1">IFERROR(__xludf.DUMMYFUNCTION("""COMPUTED_VALUE"""),"Rear Window")</f>
        <v>Rear Window</v>
      </c>
      <c r="B56" s="6" t="str">
        <f ca="1">IFERROR(__xludf.DUMMYFUNCTION("""COMPUTED_VALUE"""),"PG")</f>
        <v>PG</v>
      </c>
      <c r="C56" s="6">
        <f ca="1">IFERROR(__xludf.DUMMYFUNCTION("""COMPUTED_VALUE"""),112)</f>
        <v>112</v>
      </c>
      <c r="D56" s="6">
        <f ca="1">IFERROR(__xludf.DUMMYFUNCTION("""COMPUTED_VALUE"""),8.4)</f>
        <v>8.4</v>
      </c>
      <c r="E56" s="6"/>
      <c r="F56" s="6" t="str">
        <f ca="1">IFERROR(__xludf.DUMMYFUNCTION("""COMPUTED_VALUE"""),"Cinema Paradiso")</f>
        <v>Cinema Paradiso</v>
      </c>
      <c r="G56" s="6" t="str">
        <f ca="1">IFERROR(__xludf.DUMMYFUNCTION("""COMPUTED_VALUE"""),"R")</f>
        <v>R</v>
      </c>
      <c r="H56" s="6">
        <f ca="1">IFERROR(__xludf.DUMMYFUNCTION("""COMPUTED_VALUE"""),155)</f>
        <v>155</v>
      </c>
      <c r="I56" s="6">
        <f ca="1">IFERROR(__xludf.DUMMYFUNCTION("""COMPUTED_VALUE"""),8.5)</f>
        <v>8.5</v>
      </c>
      <c r="J56" s="6"/>
      <c r="K56" s="6" t="str">
        <f ca="1">IFERROR(__xludf.DUMMYFUNCTION("""COMPUTED_VALUE"""),"Inception")</f>
        <v>Inception</v>
      </c>
      <c r="L56" s="6" t="str">
        <f ca="1">IFERROR(__xludf.DUMMYFUNCTION("""COMPUTED_VALUE"""),"PG-13")</f>
        <v>PG-13</v>
      </c>
      <c r="M56" s="6">
        <f ca="1">IFERROR(__xludf.DUMMYFUNCTION("""COMPUTED_VALUE"""),148)</f>
        <v>148</v>
      </c>
      <c r="N56" s="6">
        <f ca="1">IFERROR(__xludf.DUMMYFUNCTION("""COMPUTED_VALUE"""),8.8)</f>
        <v>8.8000000000000007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6.8" x14ac:dyDescent="0.45">
      <c r="A57" s="6" t="str">
        <f ca="1">IFERROR(__xludf.DUMMYFUNCTION("""COMPUTED_VALUE"""),"Sunset Blvd.")</f>
        <v>Sunset Blvd.</v>
      </c>
      <c r="B57" s="6" t="str">
        <f ca="1">IFERROR(__xludf.DUMMYFUNCTION("""COMPUTED_VALUE"""),"Passed")</f>
        <v>Passed</v>
      </c>
      <c r="C57" s="6">
        <f ca="1">IFERROR(__xludf.DUMMYFUNCTION("""COMPUTED_VALUE"""),110)</f>
        <v>110</v>
      </c>
      <c r="D57" s="6">
        <f ca="1">IFERROR(__xludf.DUMMYFUNCTION("""COMPUTED_VALUE"""),8.4)</f>
        <v>8.4</v>
      </c>
      <c r="E57" s="6"/>
      <c r="F57" s="6" t="str">
        <f ca="1">IFERROR(__xludf.DUMMYFUNCTION("""COMPUTED_VALUE"""),"Grave of the Fireflies")</f>
        <v>Grave of the Fireflies</v>
      </c>
      <c r="G57" s="6" t="str">
        <f ca="1">IFERROR(__xludf.DUMMYFUNCTION("""COMPUTED_VALUE"""),"Not Rated")</f>
        <v>Not Rated</v>
      </c>
      <c r="H57" s="6">
        <f ca="1">IFERROR(__xludf.DUMMYFUNCTION("""COMPUTED_VALUE"""),89)</f>
        <v>89</v>
      </c>
      <c r="I57" s="6">
        <f ca="1">IFERROR(__xludf.DUMMYFUNCTION("""COMPUTED_VALUE"""),8.5)</f>
        <v>8.5</v>
      </c>
      <c r="J57" s="6"/>
      <c r="K57" s="6" t="str">
        <f ca="1">IFERROR(__xludf.DUMMYFUNCTION("""COMPUTED_VALUE"""),"Forrest Gump")</f>
        <v>Forrest Gump</v>
      </c>
      <c r="L57" s="6" t="str">
        <f ca="1">IFERROR(__xludf.DUMMYFUNCTION("""COMPUTED_VALUE"""),"PG-13")</f>
        <v>PG-13</v>
      </c>
      <c r="M57" s="6">
        <f ca="1">IFERROR(__xludf.DUMMYFUNCTION("""COMPUTED_VALUE"""),142)</f>
        <v>142</v>
      </c>
      <c r="N57" s="6">
        <f ca="1">IFERROR(__xludf.DUMMYFUNCTION("""COMPUTED_VALUE"""),8.8)</f>
        <v>8.8000000000000007</v>
      </c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6.8" x14ac:dyDescent="0.45">
      <c r="A58" s="6" t="str">
        <f ca="1">IFERROR(__xludf.DUMMYFUNCTION("""COMPUTED_VALUE"""),"The Great Dictator")</f>
        <v>The Great Dictator</v>
      </c>
      <c r="B58" s="6" t="str">
        <f ca="1">IFERROR(__xludf.DUMMYFUNCTION("""COMPUTED_VALUE"""),"Passed")</f>
        <v>Passed</v>
      </c>
      <c r="C58" s="6">
        <f ca="1">IFERROR(__xludf.DUMMYFUNCTION("""COMPUTED_VALUE"""),125)</f>
        <v>125</v>
      </c>
      <c r="D58" s="6">
        <f ca="1">IFERROR(__xludf.DUMMYFUNCTION("""COMPUTED_VALUE"""),8.4)</f>
        <v>8.4</v>
      </c>
      <c r="E58" s="6"/>
      <c r="F58" s="6" t="str">
        <f ca="1">IFERROR(__xludf.DUMMYFUNCTION("""COMPUTED_VALUE"""),"Back to the Future")</f>
        <v>Back to the Future</v>
      </c>
      <c r="G58" s="6" t="str">
        <f ca="1">IFERROR(__xludf.DUMMYFUNCTION("""COMPUTED_VALUE"""),"PG")</f>
        <v>PG</v>
      </c>
      <c r="H58" s="6">
        <f ca="1">IFERROR(__xludf.DUMMYFUNCTION("""COMPUTED_VALUE"""),116)</f>
        <v>116</v>
      </c>
      <c r="I58" s="6">
        <f ca="1">IFERROR(__xludf.DUMMYFUNCTION("""COMPUTED_VALUE"""),8.5)</f>
        <v>8.5</v>
      </c>
      <c r="J58" s="6"/>
      <c r="K58" s="6" t="str">
        <f ca="1">IFERROR(__xludf.DUMMYFUNCTION("""COMPUTED_VALUE"""),"Princess Mononoke")</f>
        <v>Princess Mononoke</v>
      </c>
      <c r="L58" s="6" t="str">
        <f ca="1">IFERROR(__xludf.DUMMYFUNCTION("""COMPUTED_VALUE"""),"PG-13")</f>
        <v>PG-13</v>
      </c>
      <c r="M58" s="6">
        <f ca="1">IFERROR(__xludf.DUMMYFUNCTION("""COMPUTED_VALUE"""),134)</f>
        <v>134</v>
      </c>
      <c r="N58" s="6">
        <f ca="1">IFERROR(__xludf.DUMMYFUNCTION("""COMPUTED_VALUE"""),8.4)</f>
        <v>8.4</v>
      </c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6.8" x14ac:dyDescent="0.45">
      <c r="A59" s="6" t="str">
        <f ca="1">IFERROR(__xludf.DUMMYFUNCTION("""COMPUTED_VALUE"""),"Joker")</f>
        <v>Joker</v>
      </c>
      <c r="B59" s="6" t="str">
        <f ca="1">IFERROR(__xludf.DUMMYFUNCTION("""COMPUTED_VALUE"""),"R")</f>
        <v>R</v>
      </c>
      <c r="C59" s="6">
        <f ca="1">IFERROR(__xludf.DUMMYFUNCTION("""COMPUTED_VALUE"""),122)</f>
        <v>122</v>
      </c>
      <c r="D59" s="6">
        <f ca="1">IFERROR(__xludf.DUMMYFUNCTION("""COMPUTED_VALUE"""),8.5)</f>
        <v>8.5</v>
      </c>
      <c r="E59" s="6"/>
      <c r="F59" s="6" t="str">
        <f ca="1">IFERROR(__xludf.DUMMYFUNCTION("""COMPUTED_VALUE"""),"Anand")</f>
        <v>Anand</v>
      </c>
      <c r="G59" s="6" t="str">
        <f ca="1">IFERROR(__xludf.DUMMYFUNCTION("""COMPUTED_VALUE"""),"Not Rated")</f>
        <v>Not Rated</v>
      </c>
      <c r="H59" s="6">
        <f ca="1">IFERROR(__xludf.DUMMYFUNCTION("""COMPUTED_VALUE"""),122)</f>
        <v>122</v>
      </c>
      <c r="I59" s="6">
        <f ca="1">IFERROR(__xludf.DUMMYFUNCTION("""COMPUTED_VALUE"""),8.5)</f>
        <v>8.5</v>
      </c>
      <c r="J59" s="6"/>
      <c r="K59" s="6" t="str">
        <f ca="1">IFERROR(__xludf.DUMMYFUNCTION("""COMPUTED_VALUE"""),"The Prestige")</f>
        <v>The Prestige</v>
      </c>
      <c r="L59" s="6" t="str">
        <f ca="1">IFERROR(__xludf.DUMMYFUNCTION("""COMPUTED_VALUE"""),"PG-13")</f>
        <v>PG-13</v>
      </c>
      <c r="M59" s="6">
        <f ca="1">IFERROR(__xludf.DUMMYFUNCTION("""COMPUTED_VALUE"""),130)</f>
        <v>130</v>
      </c>
      <c r="N59" s="6">
        <f ca="1">IFERROR(__xludf.DUMMYFUNCTION("""COMPUTED_VALUE"""),8.5)</f>
        <v>8.5</v>
      </c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6.8" x14ac:dyDescent="0.45">
      <c r="A60" s="6" t="str">
        <f ca="1">IFERROR(__xludf.DUMMYFUNCTION("""COMPUTED_VALUE"""),"Whiplash")</f>
        <v>Whiplash</v>
      </c>
      <c r="B60" s="6" t="str">
        <f ca="1">IFERROR(__xludf.DUMMYFUNCTION("""COMPUTED_VALUE"""),"R")</f>
        <v>R</v>
      </c>
      <c r="C60" s="6">
        <f ca="1">IFERROR(__xludf.DUMMYFUNCTION("""COMPUTED_VALUE"""),106)</f>
        <v>106</v>
      </c>
      <c r="D60" s="6">
        <f ca="1">IFERROR(__xludf.DUMMYFUNCTION("""COMPUTED_VALUE"""),8.5)</f>
        <v>8.5</v>
      </c>
      <c r="E60" s="6"/>
      <c r="F60" s="6" t="str">
        <f ca="1">IFERROR(__xludf.DUMMYFUNCTION("""COMPUTED_VALUE"""),"Once Upon a Time in the West")</f>
        <v>Once Upon a Time in the West</v>
      </c>
      <c r="G60" s="6" t="str">
        <f ca="1">IFERROR(__xludf.DUMMYFUNCTION("""COMPUTED_VALUE"""),"PG-13")</f>
        <v>PG-13</v>
      </c>
      <c r="H60" s="6">
        <f ca="1">IFERROR(__xludf.DUMMYFUNCTION("""COMPUTED_VALUE"""),165)</f>
        <v>165</v>
      </c>
      <c r="I60" s="6">
        <f ca="1">IFERROR(__xludf.DUMMYFUNCTION("""COMPUTED_VALUE"""),8.5)</f>
        <v>8.5</v>
      </c>
      <c r="J60" s="6"/>
      <c r="K60" s="6" t="str">
        <f ca="1">IFERROR(__xludf.DUMMYFUNCTION("""COMPUTED_VALUE"""),"A Separation")</f>
        <v>A Separation</v>
      </c>
      <c r="L60" s="6" t="str">
        <f ca="1">IFERROR(__xludf.DUMMYFUNCTION("""COMPUTED_VALUE"""),"PG-13")</f>
        <v>PG-13</v>
      </c>
      <c r="M60" s="6">
        <f ca="1">IFERROR(__xludf.DUMMYFUNCTION("""COMPUTED_VALUE"""),123)</f>
        <v>123</v>
      </c>
      <c r="N60" s="6">
        <f ca="1">IFERROR(__xludf.DUMMYFUNCTION("""COMPUTED_VALUE"""),8.3)</f>
        <v>8.3000000000000007</v>
      </c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6.8" x14ac:dyDescent="0.45">
      <c r="A61" s="6" t="str">
        <f ca="1">IFERROR(__xludf.DUMMYFUNCTION("""COMPUTED_VALUE"""),"The Intouchables")</f>
        <v>The Intouchables</v>
      </c>
      <c r="B61" s="6" t="str">
        <f ca="1">IFERROR(__xludf.DUMMYFUNCTION("""COMPUTED_VALUE"""),"R")</f>
        <v>R</v>
      </c>
      <c r="C61" s="6">
        <f ca="1">IFERROR(__xludf.DUMMYFUNCTION("""COMPUTED_VALUE"""),112)</f>
        <v>112</v>
      </c>
      <c r="D61" s="6">
        <f ca="1">IFERROR(__xludf.DUMMYFUNCTION("""COMPUTED_VALUE"""),8.5)</f>
        <v>8.5</v>
      </c>
      <c r="E61" s="6"/>
      <c r="F61" s="6" t="str">
        <f ca="1">IFERROR(__xludf.DUMMYFUNCTION("""COMPUTED_VALUE"""),"Psycho")</f>
        <v>Psycho</v>
      </c>
      <c r="G61" s="6" t="str">
        <f ca="1">IFERROR(__xludf.DUMMYFUNCTION("""COMPUTED_VALUE"""),"R")</f>
        <v>R</v>
      </c>
      <c r="H61" s="6">
        <f ca="1">IFERROR(__xludf.DUMMYFUNCTION("""COMPUTED_VALUE"""),109)</f>
        <v>109</v>
      </c>
      <c r="I61" s="6">
        <f ca="1">IFERROR(__xludf.DUMMYFUNCTION("""COMPUTED_VALUE"""),8.5)</f>
        <v>8.5</v>
      </c>
      <c r="J61" s="6"/>
      <c r="K61" s="6" t="str">
        <f ca="1">IFERROR(__xludf.DUMMYFUNCTION("""COMPUTED_VALUE"""),"Life Is Beautiful")</f>
        <v>Life Is Beautiful</v>
      </c>
      <c r="L61" s="6" t="str">
        <f ca="1">IFERROR(__xludf.DUMMYFUNCTION("""COMPUTED_VALUE"""),"PG-13")</f>
        <v>PG-13</v>
      </c>
      <c r="M61" s="6">
        <f ca="1">IFERROR(__xludf.DUMMYFUNCTION("""COMPUTED_VALUE"""),116)</f>
        <v>116</v>
      </c>
      <c r="N61" s="6">
        <f ca="1">IFERROR(__xludf.DUMMYFUNCTION("""COMPUTED_VALUE"""),8.6)</f>
        <v>8.6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6.8" x14ac:dyDescent="0.45">
      <c r="A62" s="6" t="str">
        <f ca="1">IFERROR(__xludf.DUMMYFUNCTION("""COMPUTED_VALUE"""),"The Prestige")</f>
        <v>The Prestige</v>
      </c>
      <c r="B62" s="6" t="str">
        <f ca="1">IFERROR(__xludf.DUMMYFUNCTION("""COMPUTED_VALUE"""),"PG-13")</f>
        <v>PG-13</v>
      </c>
      <c r="C62" s="6">
        <f ca="1">IFERROR(__xludf.DUMMYFUNCTION("""COMPUTED_VALUE"""),130)</f>
        <v>130</v>
      </c>
      <c r="D62" s="6">
        <f ca="1">IFERROR(__xludf.DUMMYFUNCTION("""COMPUTED_VALUE"""),8.5)</f>
        <v>8.5</v>
      </c>
      <c r="E62" s="6"/>
      <c r="F62" s="6" t="str">
        <f ca="1">IFERROR(__xludf.DUMMYFUNCTION("""COMPUTED_VALUE"""),"Casablanca")</f>
        <v>Casablanca</v>
      </c>
      <c r="G62" s="6" t="str">
        <f ca="1">IFERROR(__xludf.DUMMYFUNCTION("""COMPUTED_VALUE"""),"PG")</f>
        <v>PG</v>
      </c>
      <c r="H62" s="6">
        <f ca="1">IFERROR(__xludf.DUMMYFUNCTION("""COMPUTED_VALUE"""),102)</f>
        <v>102</v>
      </c>
      <c r="I62" s="6">
        <f ca="1">IFERROR(__xludf.DUMMYFUNCTION("""COMPUTED_VALUE"""),8.5)</f>
        <v>8.5</v>
      </c>
      <c r="J62" s="6"/>
      <c r="K62" s="6" t="str">
        <f ca="1">IFERROR(__xludf.DUMMYFUNCTION("""COMPUTED_VALUE"""),"Once Upon a Time in America")</f>
        <v>Once Upon a Time in America</v>
      </c>
      <c r="L62" s="6" t="str">
        <f ca="1">IFERROR(__xludf.DUMMYFUNCTION("""COMPUTED_VALUE"""),"R")</f>
        <v>R</v>
      </c>
      <c r="M62" s="6">
        <f ca="1">IFERROR(__xludf.DUMMYFUNCTION("""COMPUTED_VALUE"""),229)</f>
        <v>229</v>
      </c>
      <c r="N62" s="6">
        <f ca="1">IFERROR(__xludf.DUMMYFUNCTION("""COMPUTED_VALUE"""),8.4)</f>
        <v>8.4</v>
      </c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6.8" x14ac:dyDescent="0.45">
      <c r="A63" s="6" t="str">
        <f ca="1">IFERROR(__xludf.DUMMYFUNCTION("""COMPUTED_VALUE"""),"The Departed")</f>
        <v>The Departed</v>
      </c>
      <c r="B63" s="6" t="str">
        <f ca="1">IFERROR(__xludf.DUMMYFUNCTION("""COMPUTED_VALUE"""),"R")</f>
        <v>R</v>
      </c>
      <c r="C63" s="6">
        <f ca="1">IFERROR(__xludf.DUMMYFUNCTION("""COMPUTED_VALUE"""),151)</f>
        <v>151</v>
      </c>
      <c r="D63" s="6">
        <f ca="1">IFERROR(__xludf.DUMMYFUNCTION("""COMPUTED_VALUE"""),8.5)</f>
        <v>8.5</v>
      </c>
      <c r="E63" s="6"/>
      <c r="F63" s="6" t="str">
        <f ca="1">IFERROR(__xludf.DUMMYFUNCTION("""COMPUTED_VALUE"""),"Modern Times")</f>
        <v>Modern Times</v>
      </c>
      <c r="G63" s="6" t="str">
        <f ca="1">IFERROR(__xludf.DUMMYFUNCTION("""COMPUTED_VALUE"""),"G")</f>
        <v>G</v>
      </c>
      <c r="H63" s="6">
        <f ca="1">IFERROR(__xludf.DUMMYFUNCTION("""COMPUTED_VALUE"""),87)</f>
        <v>87</v>
      </c>
      <c r="I63" s="6">
        <f ca="1">IFERROR(__xludf.DUMMYFUNCTION("""COMPUTED_VALUE"""),8.5)</f>
        <v>8.5</v>
      </c>
      <c r="J63" s="6"/>
      <c r="K63" s="6" t="str">
        <f ca="1">IFERROR(__xludf.DUMMYFUNCTION("""COMPUTED_VALUE"""),"The Godfather: Part II")</f>
        <v>The Godfather: Part II</v>
      </c>
      <c r="L63" s="6" t="str">
        <f ca="1">IFERROR(__xludf.DUMMYFUNCTION("""COMPUTED_VALUE"""),"R")</f>
        <v>R</v>
      </c>
      <c r="M63" s="6">
        <f ca="1">IFERROR(__xludf.DUMMYFUNCTION("""COMPUTED_VALUE"""),202)</f>
        <v>202</v>
      </c>
      <c r="N63" s="6">
        <f ca="1">IFERROR(__xludf.DUMMYFUNCTION("""COMPUTED_VALUE"""),9)</f>
        <v>9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6.8" x14ac:dyDescent="0.45">
      <c r="A64" s="6" t="str">
        <f ca="1">IFERROR(__xludf.DUMMYFUNCTION("""COMPUTED_VALUE"""),"The Pianist")</f>
        <v>The Pianist</v>
      </c>
      <c r="B64" s="6" t="str">
        <f ca="1">IFERROR(__xludf.DUMMYFUNCTION("""COMPUTED_VALUE"""),"R")</f>
        <v>R</v>
      </c>
      <c r="C64" s="6">
        <f ca="1">IFERROR(__xludf.DUMMYFUNCTION("""COMPUTED_VALUE"""),150)</f>
        <v>150</v>
      </c>
      <c r="D64" s="6">
        <f ca="1">IFERROR(__xludf.DUMMYFUNCTION("""COMPUTED_VALUE"""),8.5)</f>
        <v>8.5</v>
      </c>
      <c r="E64" s="6"/>
      <c r="F64" s="6" t="str">
        <f ca="1">IFERROR(__xludf.DUMMYFUNCTION("""COMPUTED_VALUE"""),"City Lights")</f>
        <v>City Lights</v>
      </c>
      <c r="G64" s="6" t="str">
        <f ca="1">IFERROR(__xludf.DUMMYFUNCTION("""COMPUTED_VALUE"""),"G")</f>
        <v>G</v>
      </c>
      <c r="H64" s="6">
        <f ca="1">IFERROR(__xludf.DUMMYFUNCTION("""COMPUTED_VALUE"""),87)</f>
        <v>87</v>
      </c>
      <c r="I64" s="6">
        <f ca="1">IFERROR(__xludf.DUMMYFUNCTION("""COMPUTED_VALUE"""),8.5)</f>
        <v>8.5</v>
      </c>
      <c r="J64" s="6"/>
      <c r="K64" s="6" t="str">
        <f ca="1">IFERROR(__xludf.DUMMYFUNCTION("""COMPUTED_VALUE"""),"Schindler's List")</f>
        <v>Schindler's List</v>
      </c>
      <c r="L64" s="6" t="str">
        <f ca="1">IFERROR(__xludf.DUMMYFUNCTION("""COMPUTED_VALUE"""),"R")</f>
        <v>R</v>
      </c>
      <c r="M64" s="6">
        <f ca="1">IFERROR(__xludf.DUMMYFUNCTION("""COMPUTED_VALUE"""),195)</f>
        <v>195</v>
      </c>
      <c r="N64" s="6">
        <f ca="1">IFERROR(__xludf.DUMMYFUNCTION("""COMPUTED_VALUE"""),8.9)</f>
        <v>8.9</v>
      </c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6.8" x14ac:dyDescent="0.45">
      <c r="A65" s="6" t="str">
        <f ca="1">IFERROR(__xludf.DUMMYFUNCTION("""COMPUTED_VALUE"""),"Gladiator")</f>
        <v>Gladiator</v>
      </c>
      <c r="B65" s="6" t="str">
        <f ca="1">IFERROR(__xludf.DUMMYFUNCTION("""COMPUTED_VALUE"""),"R")</f>
        <v>R</v>
      </c>
      <c r="C65" s="6">
        <f ca="1">IFERROR(__xludf.DUMMYFUNCTION("""COMPUTED_VALUE"""),155)</f>
        <v>155</v>
      </c>
      <c r="D65" s="6">
        <f ca="1">IFERROR(__xludf.DUMMYFUNCTION("""COMPUTED_VALUE"""),8.5)</f>
        <v>8.5</v>
      </c>
      <c r="E65" s="6"/>
      <c r="F65" s="6" t="str">
        <f ca="1">IFERROR(__xludf.DUMMYFUNCTION("""COMPUTED_VALUE"""),"Capharnaüm")</f>
        <v>Capharnaüm</v>
      </c>
      <c r="G65" s="6" t="str">
        <f ca="1">IFERROR(__xludf.DUMMYFUNCTION("""COMPUTED_VALUE"""),"R")</f>
        <v>R</v>
      </c>
      <c r="H65" s="6">
        <f ca="1">IFERROR(__xludf.DUMMYFUNCTION("""COMPUTED_VALUE"""),126)</f>
        <v>126</v>
      </c>
      <c r="I65" s="6">
        <f ca="1">IFERROR(__xludf.DUMMYFUNCTION("""COMPUTED_VALUE"""),8.4)</f>
        <v>8.4</v>
      </c>
      <c r="J65" s="6"/>
      <c r="K65" s="6" t="str">
        <f ca="1">IFERROR(__xludf.DUMMYFUNCTION("""COMPUTED_VALUE"""),"The Green Mile")</f>
        <v>The Green Mile</v>
      </c>
      <c r="L65" s="6" t="str">
        <f ca="1">IFERROR(__xludf.DUMMYFUNCTION("""COMPUTED_VALUE"""),"R")</f>
        <v>R</v>
      </c>
      <c r="M65" s="6">
        <f ca="1">IFERROR(__xludf.DUMMYFUNCTION("""COMPUTED_VALUE"""),189)</f>
        <v>189</v>
      </c>
      <c r="N65" s="6">
        <f ca="1">IFERROR(__xludf.DUMMYFUNCTION("""COMPUTED_VALUE"""),8.6)</f>
        <v>8.6</v>
      </c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6.8" x14ac:dyDescent="0.45">
      <c r="A66" s="6" t="str">
        <f ca="1">IFERROR(__xludf.DUMMYFUNCTION("""COMPUTED_VALUE"""),"American History X")</f>
        <v>American History X</v>
      </c>
      <c r="B66" s="6" t="str">
        <f ca="1">IFERROR(__xludf.DUMMYFUNCTION("""COMPUTED_VALUE"""),"R")</f>
        <v>R</v>
      </c>
      <c r="C66" s="6">
        <f ca="1">IFERROR(__xludf.DUMMYFUNCTION("""COMPUTED_VALUE"""),119)</f>
        <v>119</v>
      </c>
      <c r="D66" s="6">
        <f ca="1">IFERROR(__xludf.DUMMYFUNCTION("""COMPUTED_VALUE"""),8.5)</f>
        <v>8.5</v>
      </c>
      <c r="E66" s="6"/>
      <c r="F66" s="6" t="str">
        <f ca="1">IFERROR(__xludf.DUMMYFUNCTION("""COMPUTED_VALUE"""),"Ayla: The Daughter of War")</f>
        <v>Ayla: The Daughter of War</v>
      </c>
      <c r="G66" s="6"/>
      <c r="H66" s="6">
        <f ca="1">IFERROR(__xludf.DUMMYFUNCTION("""COMPUTED_VALUE"""),125)</f>
        <v>125</v>
      </c>
      <c r="I66" s="6">
        <f ca="1">IFERROR(__xludf.DUMMYFUNCTION("""COMPUTED_VALUE"""),8.4)</f>
        <v>8.4</v>
      </c>
      <c r="J66" s="6"/>
      <c r="K66" s="6" t="str">
        <f ca="1">IFERROR(__xludf.DUMMYFUNCTION("""COMPUTED_VALUE"""),"The Good, the Bad and the Ugly")</f>
        <v>The Good, the Bad and the Ugly</v>
      </c>
      <c r="L66" s="6" t="str">
        <f ca="1">IFERROR(__xludf.DUMMYFUNCTION("""COMPUTED_VALUE"""),"R")</f>
        <v>R</v>
      </c>
      <c r="M66" s="6">
        <f ca="1">IFERROR(__xludf.DUMMYFUNCTION("""COMPUTED_VALUE"""),178)</f>
        <v>178</v>
      </c>
      <c r="N66" s="6">
        <f ca="1">IFERROR(__xludf.DUMMYFUNCTION("""COMPUTED_VALUE"""),8.8)</f>
        <v>8.8000000000000007</v>
      </c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6.8" x14ac:dyDescent="0.45">
      <c r="A67" s="6" t="str">
        <f ca="1">IFERROR(__xludf.DUMMYFUNCTION("""COMPUTED_VALUE"""),"The Usual Suspects")</f>
        <v>The Usual Suspects</v>
      </c>
      <c r="B67" s="6" t="str">
        <f ca="1">IFERROR(__xludf.DUMMYFUNCTION("""COMPUTED_VALUE"""),"R")</f>
        <v>R</v>
      </c>
      <c r="C67" s="6">
        <f ca="1">IFERROR(__xludf.DUMMYFUNCTION("""COMPUTED_VALUE"""),106)</f>
        <v>106</v>
      </c>
      <c r="D67" s="6">
        <f ca="1">IFERROR(__xludf.DUMMYFUNCTION("""COMPUTED_VALUE"""),8.5)</f>
        <v>8.5</v>
      </c>
      <c r="E67" s="6"/>
      <c r="F67" s="6" t="str">
        <f ca="1">IFERROR(__xludf.DUMMYFUNCTION("""COMPUTED_VALUE"""),"Your Name.")</f>
        <v>Your Name.</v>
      </c>
      <c r="G67" s="6" t="str">
        <f ca="1">IFERROR(__xludf.DUMMYFUNCTION("""COMPUTED_VALUE"""),"PG")</f>
        <v>PG</v>
      </c>
      <c r="H67" s="6">
        <f ca="1">IFERROR(__xludf.DUMMYFUNCTION("""COMPUTED_VALUE"""),106)</f>
        <v>106</v>
      </c>
      <c r="I67" s="6">
        <f ca="1">IFERROR(__xludf.DUMMYFUNCTION("""COMPUTED_VALUE"""),8.4)</f>
        <v>8.4</v>
      </c>
      <c r="J67" s="6"/>
      <c r="K67" s="6" t="str">
        <f ca="1">IFERROR(__xludf.DUMMYFUNCTION("""COMPUTED_VALUE"""),"The Godfather")</f>
        <v>The Godfather</v>
      </c>
      <c r="L67" s="6" t="str">
        <f ca="1">IFERROR(__xludf.DUMMYFUNCTION("""COMPUTED_VALUE"""),"R")</f>
        <v>R</v>
      </c>
      <c r="M67" s="6">
        <f ca="1">IFERROR(__xludf.DUMMYFUNCTION("""COMPUTED_VALUE"""),175)</f>
        <v>175</v>
      </c>
      <c r="N67" s="6">
        <f ca="1">IFERROR(__xludf.DUMMYFUNCTION("""COMPUTED_VALUE"""),9.2)</f>
        <v>9.1999999999999993</v>
      </c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6.8" x14ac:dyDescent="0.45">
      <c r="A68" s="6" t="str">
        <f ca="1">IFERROR(__xludf.DUMMYFUNCTION("""COMPUTED_VALUE"""),"Léon: The Professional")</f>
        <v>Léon: The Professional</v>
      </c>
      <c r="B68" s="6" t="str">
        <f ca="1">IFERROR(__xludf.DUMMYFUNCTION("""COMPUTED_VALUE"""),"R")</f>
        <v>R</v>
      </c>
      <c r="C68" s="6">
        <f ca="1">IFERROR(__xludf.DUMMYFUNCTION("""COMPUTED_VALUE"""),110)</f>
        <v>110</v>
      </c>
      <c r="D68" s="6">
        <f ca="1">IFERROR(__xludf.DUMMYFUNCTION("""COMPUTED_VALUE"""),8.5)</f>
        <v>8.5</v>
      </c>
      <c r="E68" s="6"/>
      <c r="F68" s="6" t="str">
        <f ca="1">IFERROR(__xludf.DUMMYFUNCTION("""COMPUTED_VALUE"""),"Dangal")</f>
        <v>Dangal</v>
      </c>
      <c r="G68" s="6" t="str">
        <f ca="1">IFERROR(__xludf.DUMMYFUNCTION("""COMPUTED_VALUE"""),"Not Rated")</f>
        <v>Not Rated</v>
      </c>
      <c r="H68" s="6">
        <f ca="1">IFERROR(__xludf.DUMMYFUNCTION("""COMPUTED_VALUE"""),161)</f>
        <v>161</v>
      </c>
      <c r="I68" s="6">
        <f ca="1">IFERROR(__xludf.DUMMYFUNCTION("""COMPUTED_VALUE"""),8.4)</f>
        <v>8.4</v>
      </c>
      <c r="J68" s="6"/>
      <c r="K68" s="6" t="str">
        <f ca="1">IFERROR(__xludf.DUMMYFUNCTION("""COMPUTED_VALUE"""),"Saving Private Ryan")</f>
        <v>Saving Private Ryan</v>
      </c>
      <c r="L68" s="6" t="str">
        <f ca="1">IFERROR(__xludf.DUMMYFUNCTION("""COMPUTED_VALUE"""),"R")</f>
        <v>R</v>
      </c>
      <c r="M68" s="6">
        <f ca="1">IFERROR(__xludf.DUMMYFUNCTION("""COMPUTED_VALUE"""),169)</f>
        <v>169</v>
      </c>
      <c r="N68" s="6">
        <f ca="1">IFERROR(__xludf.DUMMYFUNCTION("""COMPUTED_VALUE"""),8.6)</f>
        <v>8.6</v>
      </c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6.8" x14ac:dyDescent="0.45">
      <c r="A69" s="6" t="str">
        <f ca="1">IFERROR(__xludf.DUMMYFUNCTION("""COMPUTED_VALUE"""),"The Lion King")</f>
        <v>The Lion King</v>
      </c>
      <c r="B69" s="6" t="str">
        <f ca="1">IFERROR(__xludf.DUMMYFUNCTION("""COMPUTED_VALUE"""),"G")</f>
        <v>G</v>
      </c>
      <c r="C69" s="6">
        <f ca="1">IFERROR(__xludf.DUMMYFUNCTION("""COMPUTED_VALUE"""),88)</f>
        <v>88</v>
      </c>
      <c r="D69" s="6">
        <f ca="1">IFERROR(__xludf.DUMMYFUNCTION("""COMPUTED_VALUE"""),8.5)</f>
        <v>8.5</v>
      </c>
      <c r="E69" s="6"/>
      <c r="F69" s="6" t="str">
        <f ca="1">IFERROR(__xludf.DUMMYFUNCTION("""COMPUTED_VALUE"""),"Spider-Man: Into the Spider-Verse")</f>
        <v>Spider-Man: Into the Spider-Verse</v>
      </c>
      <c r="G69" s="6" t="str">
        <f ca="1">IFERROR(__xludf.DUMMYFUNCTION("""COMPUTED_VALUE"""),"PG")</f>
        <v>PG</v>
      </c>
      <c r="H69" s="6">
        <f ca="1">IFERROR(__xludf.DUMMYFUNCTION("""COMPUTED_VALUE"""),117)</f>
        <v>117</v>
      </c>
      <c r="I69" s="6">
        <f ca="1">IFERROR(__xludf.DUMMYFUNCTION("""COMPUTED_VALUE"""),8.4)</f>
        <v>8.4</v>
      </c>
      <c r="J69" s="6"/>
      <c r="K69" s="6" t="str">
        <f ca="1">IFERROR(__xludf.DUMMYFUNCTION("""COMPUTED_VALUE"""),"Django Unchained")</f>
        <v>Django Unchained</v>
      </c>
      <c r="L69" s="6" t="str">
        <f ca="1">IFERROR(__xludf.DUMMYFUNCTION("""COMPUTED_VALUE"""),"R")</f>
        <v>R</v>
      </c>
      <c r="M69" s="6">
        <f ca="1">IFERROR(__xludf.DUMMYFUNCTION("""COMPUTED_VALUE"""),165)</f>
        <v>165</v>
      </c>
      <c r="N69" s="6">
        <f ca="1">IFERROR(__xludf.DUMMYFUNCTION("""COMPUTED_VALUE"""),8.4)</f>
        <v>8.4</v>
      </c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6.8" x14ac:dyDescent="0.45">
      <c r="A70" s="6" t="str">
        <f ca="1">IFERROR(__xludf.DUMMYFUNCTION("""COMPUTED_VALUE"""),"Terminator 2: Judgment Day")</f>
        <v>Terminator 2: Judgment Day</v>
      </c>
      <c r="B70" s="6" t="str">
        <f ca="1">IFERROR(__xludf.DUMMYFUNCTION("""COMPUTED_VALUE"""),"R")</f>
        <v>R</v>
      </c>
      <c r="C70" s="6">
        <f ca="1">IFERROR(__xludf.DUMMYFUNCTION("""COMPUTED_VALUE"""),137)</f>
        <v>137</v>
      </c>
      <c r="D70" s="6">
        <f ca="1">IFERROR(__xludf.DUMMYFUNCTION("""COMPUTED_VALUE"""),8.5)</f>
        <v>8.5</v>
      </c>
      <c r="E70" s="6"/>
      <c r="F70" s="6" t="str">
        <f ca="1">IFERROR(__xludf.DUMMYFUNCTION("""COMPUTED_VALUE"""),"Avengers: Endgame")</f>
        <v>Avengers: Endgame</v>
      </c>
      <c r="G70" s="6" t="str">
        <f ca="1">IFERROR(__xludf.DUMMYFUNCTION("""COMPUTED_VALUE"""),"PG-13")</f>
        <v>PG-13</v>
      </c>
      <c r="H70" s="6">
        <f ca="1">IFERROR(__xludf.DUMMYFUNCTION("""COMPUTED_VALUE"""),181)</f>
        <v>181</v>
      </c>
      <c r="I70" s="6">
        <f ca="1">IFERROR(__xludf.DUMMYFUNCTION("""COMPUTED_VALUE"""),8.4)</f>
        <v>8.4</v>
      </c>
      <c r="J70" s="6"/>
      <c r="K70" s="6" t="str">
        <f ca="1">IFERROR(__xludf.DUMMYFUNCTION("""COMPUTED_VALUE"""),"Gladiator")</f>
        <v>Gladiator</v>
      </c>
      <c r="L70" s="6" t="str">
        <f ca="1">IFERROR(__xludf.DUMMYFUNCTION("""COMPUTED_VALUE"""),"R")</f>
        <v>R</v>
      </c>
      <c r="M70" s="6">
        <f ca="1">IFERROR(__xludf.DUMMYFUNCTION("""COMPUTED_VALUE"""),155)</f>
        <v>155</v>
      </c>
      <c r="N70" s="6">
        <f ca="1">IFERROR(__xludf.DUMMYFUNCTION("""COMPUTED_VALUE"""),8.5)</f>
        <v>8.5</v>
      </c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6.8" x14ac:dyDescent="0.45">
      <c r="A71" s="6" t="str">
        <f ca="1">IFERROR(__xludf.DUMMYFUNCTION("""COMPUTED_VALUE"""),"Cinema Paradiso")</f>
        <v>Cinema Paradiso</v>
      </c>
      <c r="B71" s="6" t="str">
        <f ca="1">IFERROR(__xludf.DUMMYFUNCTION("""COMPUTED_VALUE"""),"R")</f>
        <v>R</v>
      </c>
      <c r="C71" s="6">
        <f ca="1">IFERROR(__xludf.DUMMYFUNCTION("""COMPUTED_VALUE"""),155)</f>
        <v>155</v>
      </c>
      <c r="D71" s="6">
        <f ca="1">IFERROR(__xludf.DUMMYFUNCTION("""COMPUTED_VALUE"""),8.5)</f>
        <v>8.5</v>
      </c>
      <c r="E71" s="6"/>
      <c r="F71" s="6" t="str">
        <f ca="1">IFERROR(__xludf.DUMMYFUNCTION("""COMPUTED_VALUE"""),"Avengers: Infinity War")</f>
        <v>Avengers: Infinity War</v>
      </c>
      <c r="G71" s="6" t="str">
        <f ca="1">IFERROR(__xludf.DUMMYFUNCTION("""COMPUTED_VALUE"""),"PG-13")</f>
        <v>PG-13</v>
      </c>
      <c r="H71" s="6">
        <f ca="1">IFERROR(__xludf.DUMMYFUNCTION("""COMPUTED_VALUE"""),149)</f>
        <v>149</v>
      </c>
      <c r="I71" s="6">
        <f ca="1">IFERROR(__xludf.DUMMYFUNCTION("""COMPUTED_VALUE"""),8.4)</f>
        <v>8.4</v>
      </c>
      <c r="J71" s="6"/>
      <c r="K71" s="6" t="str">
        <f ca="1">IFERROR(__xludf.DUMMYFUNCTION("""COMPUTED_VALUE"""),"Cinema Paradiso")</f>
        <v>Cinema Paradiso</v>
      </c>
      <c r="L71" s="6" t="str">
        <f ca="1">IFERROR(__xludf.DUMMYFUNCTION("""COMPUTED_VALUE"""),"R")</f>
        <v>R</v>
      </c>
      <c r="M71" s="6">
        <f ca="1">IFERROR(__xludf.DUMMYFUNCTION("""COMPUTED_VALUE"""),155)</f>
        <v>155</v>
      </c>
      <c r="N71" s="6">
        <f ca="1">IFERROR(__xludf.DUMMYFUNCTION("""COMPUTED_VALUE"""),8.5)</f>
        <v>8.5</v>
      </c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6.8" x14ac:dyDescent="0.45">
      <c r="A72" s="6" t="str">
        <f ca="1">IFERROR(__xludf.DUMMYFUNCTION("""COMPUTED_VALUE"""),"Grave of the Fireflies")</f>
        <v>Grave of the Fireflies</v>
      </c>
      <c r="B72" s="6" t="str">
        <f ca="1">IFERROR(__xludf.DUMMYFUNCTION("""COMPUTED_VALUE"""),"Not Rated")</f>
        <v>Not Rated</v>
      </c>
      <c r="C72" s="6">
        <f ca="1">IFERROR(__xludf.DUMMYFUNCTION("""COMPUTED_VALUE"""),89)</f>
        <v>89</v>
      </c>
      <c r="D72" s="6">
        <f ca="1">IFERROR(__xludf.DUMMYFUNCTION("""COMPUTED_VALUE"""),8.5)</f>
        <v>8.5</v>
      </c>
      <c r="E72" s="6"/>
      <c r="F72" s="6" t="str">
        <f ca="1">IFERROR(__xludf.DUMMYFUNCTION("""COMPUTED_VALUE"""),"Coco")</f>
        <v>Coco</v>
      </c>
      <c r="G72" s="6" t="str">
        <f ca="1">IFERROR(__xludf.DUMMYFUNCTION("""COMPUTED_VALUE"""),"PG")</f>
        <v>PG</v>
      </c>
      <c r="H72" s="6">
        <f ca="1">IFERROR(__xludf.DUMMYFUNCTION("""COMPUTED_VALUE"""),105)</f>
        <v>105</v>
      </c>
      <c r="I72" s="6">
        <f ca="1">IFERROR(__xludf.DUMMYFUNCTION("""COMPUTED_VALUE"""),8.4)</f>
        <v>8.4</v>
      </c>
      <c r="J72" s="6"/>
      <c r="K72" s="6" t="str">
        <f ca="1">IFERROR(__xludf.DUMMYFUNCTION("""COMPUTED_VALUE"""),"Pulp Fiction")</f>
        <v>Pulp Fiction</v>
      </c>
      <c r="L72" s="6" t="str">
        <f ca="1">IFERROR(__xludf.DUMMYFUNCTION("""COMPUTED_VALUE"""),"R")</f>
        <v>R</v>
      </c>
      <c r="M72" s="6">
        <f ca="1">IFERROR(__xludf.DUMMYFUNCTION("""COMPUTED_VALUE"""),154)</f>
        <v>154</v>
      </c>
      <c r="N72" s="6">
        <f ca="1">IFERROR(__xludf.DUMMYFUNCTION("""COMPUTED_VALUE"""),8.9)</f>
        <v>8.9</v>
      </c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6.8" x14ac:dyDescent="0.45">
      <c r="A73" s="6" t="str">
        <f ca="1">IFERROR(__xludf.DUMMYFUNCTION("""COMPUTED_VALUE"""),"Back to the Future")</f>
        <v>Back to the Future</v>
      </c>
      <c r="B73" s="6" t="str">
        <f ca="1">IFERROR(__xludf.DUMMYFUNCTION("""COMPUTED_VALUE"""),"PG")</f>
        <v>PG</v>
      </c>
      <c r="C73" s="6">
        <f ca="1">IFERROR(__xludf.DUMMYFUNCTION("""COMPUTED_VALUE"""),116)</f>
        <v>116</v>
      </c>
      <c r="D73" s="6">
        <f ca="1">IFERROR(__xludf.DUMMYFUNCTION("""COMPUTED_VALUE"""),8.5)</f>
        <v>8.5</v>
      </c>
      <c r="E73" s="6"/>
      <c r="F73" s="6" t="str">
        <f ca="1">IFERROR(__xludf.DUMMYFUNCTION("""COMPUTED_VALUE"""),"Django Unchained")</f>
        <v>Django Unchained</v>
      </c>
      <c r="G73" s="6" t="str">
        <f ca="1">IFERROR(__xludf.DUMMYFUNCTION("""COMPUTED_VALUE"""),"R")</f>
        <v>R</v>
      </c>
      <c r="H73" s="6">
        <f ca="1">IFERROR(__xludf.DUMMYFUNCTION("""COMPUTED_VALUE"""),165)</f>
        <v>165</v>
      </c>
      <c r="I73" s="6">
        <f ca="1">IFERROR(__xludf.DUMMYFUNCTION("""COMPUTED_VALUE"""),8.4)</f>
        <v>8.4</v>
      </c>
      <c r="J73" s="6"/>
      <c r="K73" s="6" t="str">
        <f ca="1">IFERROR(__xludf.DUMMYFUNCTION("""COMPUTED_VALUE"""),"Inglourious Basterds")</f>
        <v>Inglourious Basterds</v>
      </c>
      <c r="L73" s="6" t="str">
        <f ca="1">IFERROR(__xludf.DUMMYFUNCTION("""COMPUTED_VALUE"""),"R")</f>
        <v>R</v>
      </c>
      <c r="M73" s="6">
        <f ca="1">IFERROR(__xludf.DUMMYFUNCTION("""COMPUTED_VALUE"""),153)</f>
        <v>153</v>
      </c>
      <c r="N73" s="6">
        <f ca="1">IFERROR(__xludf.DUMMYFUNCTION("""COMPUTED_VALUE"""),8.3)</f>
        <v>8.3000000000000007</v>
      </c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6.8" x14ac:dyDescent="0.45">
      <c r="A74" s="6" t="str">
        <f ca="1">IFERROR(__xludf.DUMMYFUNCTION("""COMPUTED_VALUE"""),"Anand")</f>
        <v>Anand</v>
      </c>
      <c r="B74" s="6" t="str">
        <f ca="1">IFERROR(__xludf.DUMMYFUNCTION("""COMPUTED_VALUE"""),"Not Rated")</f>
        <v>Not Rated</v>
      </c>
      <c r="C74" s="6">
        <f ca="1">IFERROR(__xludf.DUMMYFUNCTION("""COMPUTED_VALUE"""),122)</f>
        <v>122</v>
      </c>
      <c r="D74" s="6">
        <f ca="1">IFERROR(__xludf.DUMMYFUNCTION("""COMPUTED_VALUE"""),8.5)</f>
        <v>8.5</v>
      </c>
      <c r="E74" s="6"/>
      <c r="F74" s="6" t="str">
        <f ca="1">IFERROR(__xludf.DUMMYFUNCTION("""COMPUTED_VALUE"""),"The Dark Knight Rises")</f>
        <v>The Dark Knight Rises</v>
      </c>
      <c r="G74" s="6" t="str">
        <f ca="1">IFERROR(__xludf.DUMMYFUNCTION("""COMPUTED_VALUE"""),"PG-13")</f>
        <v>PG-13</v>
      </c>
      <c r="H74" s="6">
        <f ca="1">IFERROR(__xludf.DUMMYFUNCTION("""COMPUTED_VALUE"""),164)</f>
        <v>164</v>
      </c>
      <c r="I74" s="6">
        <f ca="1">IFERROR(__xludf.DUMMYFUNCTION("""COMPUTED_VALUE"""),8.4)</f>
        <v>8.4</v>
      </c>
      <c r="J74" s="6"/>
      <c r="K74" s="6" t="str">
        <f ca="1">IFERROR(__xludf.DUMMYFUNCTION("""COMPUTED_VALUE"""),"The Departed")</f>
        <v>The Departed</v>
      </c>
      <c r="L74" s="6" t="str">
        <f ca="1">IFERROR(__xludf.DUMMYFUNCTION("""COMPUTED_VALUE"""),"R")</f>
        <v>R</v>
      </c>
      <c r="M74" s="6">
        <f ca="1">IFERROR(__xludf.DUMMYFUNCTION("""COMPUTED_VALUE"""),151)</f>
        <v>151</v>
      </c>
      <c r="N74" s="6">
        <f ca="1">IFERROR(__xludf.DUMMYFUNCTION("""COMPUTED_VALUE"""),8.5)</f>
        <v>8.5</v>
      </c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6.8" x14ac:dyDescent="0.45">
      <c r="A75" s="6" t="str">
        <f ca="1">IFERROR(__xludf.DUMMYFUNCTION("""COMPUTED_VALUE"""),"Once Upon a Time in the West")</f>
        <v>Once Upon a Time in the West</v>
      </c>
      <c r="B75" s="6" t="str">
        <f ca="1">IFERROR(__xludf.DUMMYFUNCTION("""COMPUTED_VALUE"""),"PG-13")</f>
        <v>PG-13</v>
      </c>
      <c r="C75" s="6">
        <f ca="1">IFERROR(__xludf.DUMMYFUNCTION("""COMPUTED_VALUE"""),165)</f>
        <v>165</v>
      </c>
      <c r="D75" s="6">
        <f ca="1">IFERROR(__xludf.DUMMYFUNCTION("""COMPUTED_VALUE"""),8.5)</f>
        <v>8.5</v>
      </c>
      <c r="E75" s="6"/>
      <c r="F75" s="6" t="str">
        <f ca="1">IFERROR(__xludf.DUMMYFUNCTION("""COMPUTED_VALUE"""),"3 Idiots")</f>
        <v>3 Idiots</v>
      </c>
      <c r="G75" s="6" t="str">
        <f ca="1">IFERROR(__xludf.DUMMYFUNCTION("""COMPUTED_VALUE"""),"PG-13")</f>
        <v>PG-13</v>
      </c>
      <c r="H75" s="6">
        <f ca="1">IFERROR(__xludf.DUMMYFUNCTION("""COMPUTED_VALUE"""),170)</f>
        <v>170</v>
      </c>
      <c r="I75" s="6">
        <f ca="1">IFERROR(__xludf.DUMMYFUNCTION("""COMPUTED_VALUE"""),8.4)</f>
        <v>8.4</v>
      </c>
      <c r="J75" s="6"/>
      <c r="K75" s="6" t="str">
        <f ca="1">IFERROR(__xludf.DUMMYFUNCTION("""COMPUTED_VALUE"""),"The Pianist")</f>
        <v>The Pianist</v>
      </c>
      <c r="L75" s="6" t="str">
        <f ca="1">IFERROR(__xludf.DUMMYFUNCTION("""COMPUTED_VALUE"""),"R")</f>
        <v>R</v>
      </c>
      <c r="M75" s="6">
        <f ca="1">IFERROR(__xludf.DUMMYFUNCTION("""COMPUTED_VALUE"""),150)</f>
        <v>150</v>
      </c>
      <c r="N75" s="6">
        <f ca="1">IFERROR(__xludf.DUMMYFUNCTION("""COMPUTED_VALUE"""),8.5)</f>
        <v>8.5</v>
      </c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6.8" x14ac:dyDescent="0.45">
      <c r="A76" s="6" t="str">
        <f ca="1">IFERROR(__xludf.DUMMYFUNCTION("""COMPUTED_VALUE"""),"Psycho")</f>
        <v>Psycho</v>
      </c>
      <c r="B76" s="6" t="str">
        <f ca="1">IFERROR(__xludf.DUMMYFUNCTION("""COMPUTED_VALUE"""),"R")</f>
        <v>R</v>
      </c>
      <c r="C76" s="6">
        <f ca="1">IFERROR(__xludf.DUMMYFUNCTION("""COMPUTED_VALUE"""),109)</f>
        <v>109</v>
      </c>
      <c r="D76" s="6">
        <f ca="1">IFERROR(__xludf.DUMMYFUNCTION("""COMPUTED_VALUE"""),8.5)</f>
        <v>8.5</v>
      </c>
      <c r="E76" s="6"/>
      <c r="F76" s="6" t="str">
        <f ca="1">IFERROR(__xludf.DUMMYFUNCTION("""COMPUTED_VALUE"""),"Taare Zameen Par")</f>
        <v>Taare Zameen Par</v>
      </c>
      <c r="G76" s="6" t="str">
        <f ca="1">IFERROR(__xludf.DUMMYFUNCTION("""COMPUTED_VALUE"""),"PG")</f>
        <v>PG</v>
      </c>
      <c r="H76" s="6">
        <f ca="1">IFERROR(__xludf.DUMMYFUNCTION("""COMPUTED_VALUE"""),165)</f>
        <v>165</v>
      </c>
      <c r="I76" s="6">
        <f ca="1">IFERROR(__xludf.DUMMYFUNCTION("""COMPUTED_VALUE"""),8.4)</f>
        <v>8.4</v>
      </c>
      <c r="J76" s="6"/>
      <c r="K76" s="6" t="str">
        <f ca="1">IFERROR(__xludf.DUMMYFUNCTION("""COMPUTED_VALUE"""),"Apocalypse Now")</f>
        <v>Apocalypse Now</v>
      </c>
      <c r="L76" s="6" t="str">
        <f ca="1">IFERROR(__xludf.DUMMYFUNCTION("""COMPUTED_VALUE"""),"R")</f>
        <v>R</v>
      </c>
      <c r="M76" s="6">
        <f ca="1">IFERROR(__xludf.DUMMYFUNCTION("""COMPUTED_VALUE"""),147)</f>
        <v>147</v>
      </c>
      <c r="N76" s="6">
        <f ca="1">IFERROR(__xludf.DUMMYFUNCTION("""COMPUTED_VALUE"""),8.4)</f>
        <v>8.4</v>
      </c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6.8" x14ac:dyDescent="0.45">
      <c r="A77" s="6" t="str">
        <f ca="1">IFERROR(__xludf.DUMMYFUNCTION("""COMPUTED_VALUE"""),"Casablanca")</f>
        <v>Casablanca</v>
      </c>
      <c r="B77" s="6" t="str">
        <f ca="1">IFERROR(__xludf.DUMMYFUNCTION("""COMPUTED_VALUE"""),"PG")</f>
        <v>PG</v>
      </c>
      <c r="C77" s="6">
        <f ca="1">IFERROR(__xludf.DUMMYFUNCTION("""COMPUTED_VALUE"""),102)</f>
        <v>102</v>
      </c>
      <c r="D77" s="6">
        <f ca="1">IFERROR(__xludf.DUMMYFUNCTION("""COMPUTED_VALUE"""),8.5)</f>
        <v>8.5</v>
      </c>
      <c r="E77" s="6"/>
      <c r="F77" s="6" t="str">
        <f ca="1">IFERROR(__xludf.DUMMYFUNCTION("""COMPUTED_VALUE"""),"WALL·E")</f>
        <v>WALL·E</v>
      </c>
      <c r="G77" s="6" t="str">
        <f ca="1">IFERROR(__xludf.DUMMYFUNCTION("""COMPUTED_VALUE"""),"G")</f>
        <v>G</v>
      </c>
      <c r="H77" s="6">
        <f ca="1">IFERROR(__xludf.DUMMYFUNCTION("""COMPUTED_VALUE"""),98)</f>
        <v>98</v>
      </c>
      <c r="I77" s="6">
        <f ca="1">IFERROR(__xludf.DUMMYFUNCTION("""COMPUTED_VALUE"""),8.4)</f>
        <v>8.4</v>
      </c>
      <c r="J77" s="6"/>
      <c r="K77" s="6" t="str">
        <f ca="1">IFERROR(__xludf.DUMMYFUNCTION("""COMPUTED_VALUE"""),"Goodfellas")</f>
        <v>Goodfellas</v>
      </c>
      <c r="L77" s="6" t="str">
        <f ca="1">IFERROR(__xludf.DUMMYFUNCTION("""COMPUTED_VALUE"""),"R")</f>
        <v>R</v>
      </c>
      <c r="M77" s="6">
        <f ca="1">IFERROR(__xludf.DUMMYFUNCTION("""COMPUTED_VALUE"""),146)</f>
        <v>146</v>
      </c>
      <c r="N77" s="6">
        <f ca="1">IFERROR(__xludf.DUMMYFUNCTION("""COMPUTED_VALUE"""),8.7)</f>
        <v>8.6999999999999993</v>
      </c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6.8" x14ac:dyDescent="0.45">
      <c r="A78" s="6" t="str">
        <f ca="1">IFERROR(__xludf.DUMMYFUNCTION("""COMPUTED_VALUE"""),"Modern Times")</f>
        <v>Modern Times</v>
      </c>
      <c r="B78" s="6" t="str">
        <f ca="1">IFERROR(__xludf.DUMMYFUNCTION("""COMPUTED_VALUE"""),"G")</f>
        <v>G</v>
      </c>
      <c r="C78" s="6">
        <f ca="1">IFERROR(__xludf.DUMMYFUNCTION("""COMPUTED_VALUE"""),87)</f>
        <v>87</v>
      </c>
      <c r="D78" s="6">
        <f ca="1">IFERROR(__xludf.DUMMYFUNCTION("""COMPUTED_VALUE"""),8.5)</f>
        <v>8.5</v>
      </c>
      <c r="E78" s="6"/>
      <c r="F78" s="6" t="str">
        <f ca="1">IFERROR(__xludf.DUMMYFUNCTION("""COMPUTED_VALUE"""),"The Lives of Others")</f>
        <v>The Lives of Others</v>
      </c>
      <c r="G78" s="6" t="str">
        <f ca="1">IFERROR(__xludf.DUMMYFUNCTION("""COMPUTED_VALUE"""),"R")</f>
        <v>R</v>
      </c>
      <c r="H78" s="6">
        <f ca="1">IFERROR(__xludf.DUMMYFUNCTION("""COMPUTED_VALUE"""),137)</f>
        <v>137</v>
      </c>
      <c r="I78" s="6">
        <f ca="1">IFERROR(__xludf.DUMMYFUNCTION("""COMPUTED_VALUE"""),8.4)</f>
        <v>8.4</v>
      </c>
      <c r="J78" s="6"/>
      <c r="K78" s="6" t="str">
        <f ca="1">IFERROR(__xludf.DUMMYFUNCTION("""COMPUTED_VALUE"""),"The Shining")</f>
        <v>The Shining</v>
      </c>
      <c r="L78" s="6" t="str">
        <f ca="1">IFERROR(__xludf.DUMMYFUNCTION("""COMPUTED_VALUE"""),"R")</f>
        <v>R</v>
      </c>
      <c r="M78" s="6">
        <f ca="1">IFERROR(__xludf.DUMMYFUNCTION("""COMPUTED_VALUE"""),146)</f>
        <v>146</v>
      </c>
      <c r="N78" s="6">
        <f ca="1">IFERROR(__xludf.DUMMYFUNCTION("""COMPUTED_VALUE"""),8.4)</f>
        <v>8.4</v>
      </c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6.8" x14ac:dyDescent="0.45">
      <c r="A79" s="6" t="str">
        <f ca="1">IFERROR(__xludf.DUMMYFUNCTION("""COMPUTED_VALUE"""),"City Lights")</f>
        <v>City Lights</v>
      </c>
      <c r="B79" s="6" t="str">
        <f ca="1">IFERROR(__xludf.DUMMYFUNCTION("""COMPUTED_VALUE"""),"G")</f>
        <v>G</v>
      </c>
      <c r="C79" s="6">
        <f ca="1">IFERROR(__xludf.DUMMYFUNCTION("""COMPUTED_VALUE"""),87)</f>
        <v>87</v>
      </c>
      <c r="D79" s="6">
        <f ca="1">IFERROR(__xludf.DUMMYFUNCTION("""COMPUTED_VALUE"""),8.5)</f>
        <v>8.5</v>
      </c>
      <c r="E79" s="6"/>
      <c r="F79" s="6" t="str">
        <f ca="1">IFERROR(__xludf.DUMMYFUNCTION("""COMPUTED_VALUE"""),"Oldboy")</f>
        <v>Oldboy</v>
      </c>
      <c r="G79" s="6" t="str">
        <f ca="1">IFERROR(__xludf.DUMMYFUNCTION("""COMPUTED_VALUE"""),"R")</f>
        <v>R</v>
      </c>
      <c r="H79" s="6">
        <f ca="1">IFERROR(__xludf.DUMMYFUNCTION("""COMPUTED_VALUE"""),120)</f>
        <v>120</v>
      </c>
      <c r="I79" s="6">
        <f ca="1">IFERROR(__xludf.DUMMYFUNCTION("""COMPUTED_VALUE"""),8.4)</f>
        <v>8.4</v>
      </c>
      <c r="J79" s="6"/>
      <c r="K79" s="6" t="str">
        <f ca="1">IFERROR(__xludf.DUMMYFUNCTION("""COMPUTED_VALUE"""),"The Shawshank Redemption")</f>
        <v>The Shawshank Redemption</v>
      </c>
      <c r="L79" s="6" t="str">
        <f ca="1">IFERROR(__xludf.DUMMYFUNCTION("""COMPUTED_VALUE"""),"R")</f>
        <v>R</v>
      </c>
      <c r="M79" s="6">
        <f ca="1">IFERROR(__xludf.DUMMYFUNCTION("""COMPUTED_VALUE"""),142)</f>
        <v>142</v>
      </c>
      <c r="N79" s="6">
        <f ca="1">IFERROR(__xludf.DUMMYFUNCTION("""COMPUTED_VALUE"""),9.3)</f>
        <v>9.3000000000000007</v>
      </c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6.8" x14ac:dyDescent="0.45">
      <c r="A80" s="6" t="str">
        <f ca="1">IFERROR(__xludf.DUMMYFUNCTION("""COMPUTED_VALUE"""),"Parasite")</f>
        <v>Parasite</v>
      </c>
      <c r="B80" s="6" t="str">
        <f ca="1">IFERROR(__xludf.DUMMYFUNCTION("""COMPUTED_VALUE"""),"R")</f>
        <v>R</v>
      </c>
      <c r="C80" s="6">
        <f ca="1">IFERROR(__xludf.DUMMYFUNCTION("""COMPUTED_VALUE"""),132)</f>
        <v>132</v>
      </c>
      <c r="D80" s="6">
        <f ca="1">IFERROR(__xludf.DUMMYFUNCTION("""COMPUTED_VALUE"""),8.6)</f>
        <v>8.6</v>
      </c>
      <c r="E80" s="6"/>
      <c r="F80" s="6" t="str">
        <f ca="1">IFERROR(__xludf.DUMMYFUNCTION("""COMPUTED_VALUE"""),"Memento")</f>
        <v>Memento</v>
      </c>
      <c r="G80" s="6" t="str">
        <f ca="1">IFERROR(__xludf.DUMMYFUNCTION("""COMPUTED_VALUE"""),"R")</f>
        <v>R</v>
      </c>
      <c r="H80" s="6">
        <f ca="1">IFERROR(__xludf.DUMMYFUNCTION("""COMPUTED_VALUE"""),113)</f>
        <v>113</v>
      </c>
      <c r="I80" s="6">
        <f ca="1">IFERROR(__xludf.DUMMYFUNCTION("""COMPUTED_VALUE"""),8.4)</f>
        <v>8.4</v>
      </c>
      <c r="J80" s="6"/>
      <c r="K80" s="6" t="str">
        <f ca="1">IFERROR(__xludf.DUMMYFUNCTION("""COMPUTED_VALUE"""),"Fight Club")</f>
        <v>Fight Club</v>
      </c>
      <c r="L80" s="6" t="str">
        <f ca="1">IFERROR(__xludf.DUMMYFUNCTION("""COMPUTED_VALUE"""),"R")</f>
        <v>R</v>
      </c>
      <c r="M80" s="6">
        <f ca="1">IFERROR(__xludf.DUMMYFUNCTION("""COMPUTED_VALUE"""),139)</f>
        <v>139</v>
      </c>
      <c r="N80" s="6">
        <f ca="1">IFERROR(__xludf.DUMMYFUNCTION("""COMPUTED_VALUE"""),8.8)</f>
        <v>8.8000000000000007</v>
      </c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6.8" x14ac:dyDescent="0.45">
      <c r="A81" s="6" t="str">
        <f ca="1">IFERROR(__xludf.DUMMYFUNCTION("""COMPUTED_VALUE"""),"Interstellar")</f>
        <v>Interstellar</v>
      </c>
      <c r="B81" s="6" t="str">
        <f ca="1">IFERROR(__xludf.DUMMYFUNCTION("""COMPUTED_VALUE"""),"PG-13")</f>
        <v>PG-13</v>
      </c>
      <c r="C81" s="6">
        <f ca="1">IFERROR(__xludf.DUMMYFUNCTION("""COMPUTED_VALUE"""),169)</f>
        <v>169</v>
      </c>
      <c r="D81" s="6">
        <f ca="1">IFERROR(__xludf.DUMMYFUNCTION("""COMPUTED_VALUE"""),8.6)</f>
        <v>8.6</v>
      </c>
      <c r="E81" s="6"/>
      <c r="F81" s="6" t="str">
        <f ca="1">IFERROR(__xludf.DUMMYFUNCTION("""COMPUTED_VALUE"""),"Princess Mononoke")</f>
        <v>Princess Mononoke</v>
      </c>
      <c r="G81" s="6" t="str">
        <f ca="1">IFERROR(__xludf.DUMMYFUNCTION("""COMPUTED_VALUE"""),"PG-13")</f>
        <v>PG-13</v>
      </c>
      <c r="H81" s="6">
        <f ca="1">IFERROR(__xludf.DUMMYFUNCTION("""COMPUTED_VALUE"""),134)</f>
        <v>134</v>
      </c>
      <c r="I81" s="6">
        <f ca="1">IFERROR(__xludf.DUMMYFUNCTION("""COMPUTED_VALUE"""),8.4)</f>
        <v>8.4</v>
      </c>
      <c r="J81" s="6"/>
      <c r="K81" s="6" t="str">
        <f ca="1">IFERROR(__xludf.DUMMYFUNCTION("""COMPUTED_VALUE"""),"Terminator 2: Judgment Day")</f>
        <v>Terminator 2: Judgment Day</v>
      </c>
      <c r="L81" s="6" t="str">
        <f ca="1">IFERROR(__xludf.DUMMYFUNCTION("""COMPUTED_VALUE"""),"R")</f>
        <v>R</v>
      </c>
      <c r="M81" s="6">
        <f ca="1">IFERROR(__xludf.DUMMYFUNCTION("""COMPUTED_VALUE"""),137)</f>
        <v>137</v>
      </c>
      <c r="N81" s="6">
        <f ca="1">IFERROR(__xludf.DUMMYFUNCTION("""COMPUTED_VALUE"""),8.5)</f>
        <v>8.5</v>
      </c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6.8" x14ac:dyDescent="0.45">
      <c r="A82" s="6" t="str">
        <f ca="1">IFERROR(__xludf.DUMMYFUNCTION("""COMPUTED_VALUE"""),"City of God")</f>
        <v>City of God</v>
      </c>
      <c r="B82" s="6" t="str">
        <f ca="1">IFERROR(__xludf.DUMMYFUNCTION("""COMPUTED_VALUE"""),"R")</f>
        <v>R</v>
      </c>
      <c r="C82" s="6">
        <f ca="1">IFERROR(__xludf.DUMMYFUNCTION("""COMPUTED_VALUE"""),130)</f>
        <v>130</v>
      </c>
      <c r="D82" s="6">
        <f ca="1">IFERROR(__xludf.DUMMYFUNCTION("""COMPUTED_VALUE"""),8.6)</f>
        <v>8.6</v>
      </c>
      <c r="E82" s="6"/>
      <c r="F82" s="6" t="str">
        <f ca="1">IFERROR(__xludf.DUMMYFUNCTION("""COMPUTED_VALUE"""),"Once Upon a Time in America")</f>
        <v>Once Upon a Time in America</v>
      </c>
      <c r="G82" s="6" t="str">
        <f ca="1">IFERROR(__xludf.DUMMYFUNCTION("""COMPUTED_VALUE"""),"R")</f>
        <v>R</v>
      </c>
      <c r="H82" s="6">
        <f ca="1">IFERROR(__xludf.DUMMYFUNCTION("""COMPUTED_VALUE"""),229)</f>
        <v>229</v>
      </c>
      <c r="I82" s="6">
        <f ca="1">IFERROR(__xludf.DUMMYFUNCTION("""COMPUTED_VALUE"""),8.4)</f>
        <v>8.4</v>
      </c>
      <c r="J82" s="6"/>
      <c r="K82" s="6" t="str">
        <f ca="1">IFERROR(__xludf.DUMMYFUNCTION("""COMPUTED_VALUE"""),"The Lives of Others")</f>
        <v>The Lives of Others</v>
      </c>
      <c r="L82" s="6" t="str">
        <f ca="1">IFERROR(__xludf.DUMMYFUNCTION("""COMPUTED_VALUE"""),"R")</f>
        <v>R</v>
      </c>
      <c r="M82" s="6">
        <f ca="1">IFERROR(__xludf.DUMMYFUNCTION("""COMPUTED_VALUE"""),137)</f>
        <v>137</v>
      </c>
      <c r="N82" s="6">
        <f ca="1">IFERROR(__xludf.DUMMYFUNCTION("""COMPUTED_VALUE"""),8.4)</f>
        <v>8.4</v>
      </c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6.8" x14ac:dyDescent="0.45">
      <c r="A83" s="6" t="str">
        <f ca="1">IFERROR(__xludf.DUMMYFUNCTION("""COMPUTED_VALUE"""),"Spirited Away")</f>
        <v>Spirited Away</v>
      </c>
      <c r="B83" s="6" t="str">
        <f ca="1">IFERROR(__xludf.DUMMYFUNCTION("""COMPUTED_VALUE"""),"PG")</f>
        <v>PG</v>
      </c>
      <c r="C83" s="6">
        <f ca="1">IFERROR(__xludf.DUMMYFUNCTION("""COMPUTED_VALUE"""),125)</f>
        <v>125</v>
      </c>
      <c r="D83" s="6">
        <f ca="1">IFERROR(__xludf.DUMMYFUNCTION("""COMPUTED_VALUE"""),8.6)</f>
        <v>8.6</v>
      </c>
      <c r="E83" s="6"/>
      <c r="F83" s="6" t="str">
        <f ca="1">IFERROR(__xludf.DUMMYFUNCTION("""COMPUTED_VALUE"""),"Raiders of the Lost Ark")</f>
        <v>Raiders of the Lost Ark</v>
      </c>
      <c r="G83" s="6" t="str">
        <f ca="1">IFERROR(__xludf.DUMMYFUNCTION("""COMPUTED_VALUE"""),"PG")</f>
        <v>PG</v>
      </c>
      <c r="H83" s="6">
        <f ca="1">IFERROR(__xludf.DUMMYFUNCTION("""COMPUTED_VALUE"""),115)</f>
        <v>115</v>
      </c>
      <c r="I83" s="6">
        <f ca="1">IFERROR(__xludf.DUMMYFUNCTION("""COMPUTED_VALUE"""),8.4)</f>
        <v>8.4</v>
      </c>
      <c r="J83" s="6"/>
      <c r="K83" s="6" t="str">
        <f ca="1">IFERROR(__xludf.DUMMYFUNCTION("""COMPUTED_VALUE"""),"The Matrix")</f>
        <v>The Matrix</v>
      </c>
      <c r="L83" s="6" t="str">
        <f ca="1">IFERROR(__xludf.DUMMYFUNCTION("""COMPUTED_VALUE"""),"R")</f>
        <v>R</v>
      </c>
      <c r="M83" s="6">
        <f ca="1">IFERROR(__xludf.DUMMYFUNCTION("""COMPUTED_VALUE"""),136)</f>
        <v>136</v>
      </c>
      <c r="N83" s="6">
        <f ca="1">IFERROR(__xludf.DUMMYFUNCTION("""COMPUTED_VALUE"""),8.7)</f>
        <v>8.6999999999999993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6.8" x14ac:dyDescent="0.45">
      <c r="A84" s="6" t="str">
        <f ca="1">IFERROR(__xludf.DUMMYFUNCTION("""COMPUTED_VALUE"""),"Saving Private Ryan")</f>
        <v>Saving Private Ryan</v>
      </c>
      <c r="B84" s="6" t="str">
        <f ca="1">IFERROR(__xludf.DUMMYFUNCTION("""COMPUTED_VALUE"""),"R")</f>
        <v>R</v>
      </c>
      <c r="C84" s="6">
        <f ca="1">IFERROR(__xludf.DUMMYFUNCTION("""COMPUTED_VALUE"""),169)</f>
        <v>169</v>
      </c>
      <c r="D84" s="6">
        <f ca="1">IFERROR(__xludf.DUMMYFUNCTION("""COMPUTED_VALUE"""),8.6)</f>
        <v>8.6</v>
      </c>
      <c r="E84" s="6"/>
      <c r="F84" s="6" t="str">
        <f ca="1">IFERROR(__xludf.DUMMYFUNCTION("""COMPUTED_VALUE"""),"The Shining")</f>
        <v>The Shining</v>
      </c>
      <c r="G84" s="6" t="str">
        <f ca="1">IFERROR(__xludf.DUMMYFUNCTION("""COMPUTED_VALUE"""),"R")</f>
        <v>R</v>
      </c>
      <c r="H84" s="6">
        <f ca="1">IFERROR(__xludf.DUMMYFUNCTION("""COMPUTED_VALUE"""),146)</f>
        <v>146</v>
      </c>
      <c r="I84" s="6">
        <f ca="1">IFERROR(__xludf.DUMMYFUNCTION("""COMPUTED_VALUE"""),8.4)</f>
        <v>8.4</v>
      </c>
      <c r="J84" s="6"/>
      <c r="K84" s="6" t="str">
        <f ca="1">IFERROR(__xludf.DUMMYFUNCTION("""COMPUTED_VALUE"""),"One Flew Over the Cuckoo's Nest")</f>
        <v>One Flew Over the Cuckoo's Nest</v>
      </c>
      <c r="L84" s="6" t="str">
        <f ca="1">IFERROR(__xludf.DUMMYFUNCTION("""COMPUTED_VALUE"""),"R")</f>
        <v>R</v>
      </c>
      <c r="M84" s="6">
        <f ca="1">IFERROR(__xludf.DUMMYFUNCTION("""COMPUTED_VALUE"""),133)</f>
        <v>133</v>
      </c>
      <c r="N84" s="6">
        <f ca="1">IFERROR(__xludf.DUMMYFUNCTION("""COMPUTED_VALUE"""),8.7)</f>
        <v>8.6999999999999993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6.8" x14ac:dyDescent="0.45">
      <c r="A85" s="6" t="str">
        <f ca="1">IFERROR(__xludf.DUMMYFUNCTION("""COMPUTED_VALUE"""),"The Green Mile")</f>
        <v>The Green Mile</v>
      </c>
      <c r="B85" s="6" t="str">
        <f ca="1">IFERROR(__xludf.DUMMYFUNCTION("""COMPUTED_VALUE"""),"R")</f>
        <v>R</v>
      </c>
      <c r="C85" s="6">
        <f ca="1">IFERROR(__xludf.DUMMYFUNCTION("""COMPUTED_VALUE"""),189)</f>
        <v>189</v>
      </c>
      <c r="D85" s="6">
        <f ca="1">IFERROR(__xludf.DUMMYFUNCTION("""COMPUTED_VALUE"""),8.6)</f>
        <v>8.6</v>
      </c>
      <c r="E85" s="6"/>
      <c r="F85" s="6" t="str">
        <f ca="1">IFERROR(__xludf.DUMMYFUNCTION("""COMPUTED_VALUE"""),"Apocalypse Now")</f>
        <v>Apocalypse Now</v>
      </c>
      <c r="G85" s="6" t="str">
        <f ca="1">IFERROR(__xludf.DUMMYFUNCTION("""COMPUTED_VALUE"""),"R")</f>
        <v>R</v>
      </c>
      <c r="H85" s="6">
        <f ca="1">IFERROR(__xludf.DUMMYFUNCTION("""COMPUTED_VALUE"""),147)</f>
        <v>147</v>
      </c>
      <c r="I85" s="6">
        <f ca="1">IFERROR(__xludf.DUMMYFUNCTION("""COMPUTED_VALUE"""),8.4)</f>
        <v>8.4</v>
      </c>
      <c r="J85" s="6"/>
      <c r="K85" s="6" t="str">
        <f ca="1">IFERROR(__xludf.DUMMYFUNCTION("""COMPUTED_VALUE"""),"Parasite")</f>
        <v>Parasite</v>
      </c>
      <c r="L85" s="6" t="str">
        <f ca="1">IFERROR(__xludf.DUMMYFUNCTION("""COMPUTED_VALUE"""),"R")</f>
        <v>R</v>
      </c>
      <c r="M85" s="6">
        <f ca="1">IFERROR(__xludf.DUMMYFUNCTION("""COMPUTED_VALUE"""),132)</f>
        <v>132</v>
      </c>
      <c r="N85" s="6">
        <f ca="1">IFERROR(__xludf.DUMMYFUNCTION("""COMPUTED_VALUE"""),8.6)</f>
        <v>8.6</v>
      </c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6.8" x14ac:dyDescent="0.45">
      <c r="A86" s="6" t="str">
        <f ca="1">IFERROR(__xludf.DUMMYFUNCTION("""COMPUTED_VALUE"""),"Life Is Beautiful")</f>
        <v>Life Is Beautiful</v>
      </c>
      <c r="B86" s="6" t="str">
        <f ca="1">IFERROR(__xludf.DUMMYFUNCTION("""COMPUTED_VALUE"""),"PG-13")</f>
        <v>PG-13</v>
      </c>
      <c r="C86" s="6">
        <f ca="1">IFERROR(__xludf.DUMMYFUNCTION("""COMPUTED_VALUE"""),116)</f>
        <v>116</v>
      </c>
      <c r="D86" s="6">
        <f ca="1">IFERROR(__xludf.DUMMYFUNCTION("""COMPUTED_VALUE"""),8.6)</f>
        <v>8.6</v>
      </c>
      <c r="E86" s="6"/>
      <c r="F86" s="6" t="str">
        <f ca="1">IFERROR(__xludf.DUMMYFUNCTION("""COMPUTED_VALUE"""),"Alien")</f>
        <v>Alien</v>
      </c>
      <c r="G86" s="6" t="str">
        <f ca="1">IFERROR(__xludf.DUMMYFUNCTION("""COMPUTED_VALUE"""),"R")</f>
        <v>R</v>
      </c>
      <c r="H86" s="6">
        <f ca="1">IFERROR(__xludf.DUMMYFUNCTION("""COMPUTED_VALUE"""),117)</f>
        <v>117</v>
      </c>
      <c r="I86" s="6">
        <f ca="1">IFERROR(__xludf.DUMMYFUNCTION("""COMPUTED_VALUE"""),8.4)</f>
        <v>8.4</v>
      </c>
      <c r="J86" s="6"/>
      <c r="K86" s="6" t="str">
        <f ca="1">IFERROR(__xludf.DUMMYFUNCTION("""COMPUTED_VALUE"""),"Incendies")</f>
        <v>Incendies</v>
      </c>
      <c r="L86" s="6" t="str">
        <f ca="1">IFERROR(__xludf.DUMMYFUNCTION("""COMPUTED_VALUE"""),"R")</f>
        <v>R</v>
      </c>
      <c r="M86" s="6">
        <f ca="1">IFERROR(__xludf.DUMMYFUNCTION("""COMPUTED_VALUE"""),131)</f>
        <v>131</v>
      </c>
      <c r="N86" s="6">
        <f ca="1">IFERROR(__xludf.DUMMYFUNCTION("""COMPUTED_VALUE"""),8.3)</f>
        <v>8.3000000000000007</v>
      </c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6.8" x14ac:dyDescent="0.45">
      <c r="A87" s="6" t="str">
        <f ca="1">IFERROR(__xludf.DUMMYFUNCTION("""COMPUTED_VALUE"""),"Se7en")</f>
        <v>Se7en</v>
      </c>
      <c r="B87" s="6" t="str">
        <f ca="1">IFERROR(__xludf.DUMMYFUNCTION("""COMPUTED_VALUE"""),"R")</f>
        <v>R</v>
      </c>
      <c r="C87" s="6">
        <f ca="1">IFERROR(__xludf.DUMMYFUNCTION("""COMPUTED_VALUE"""),127)</f>
        <v>127</v>
      </c>
      <c r="D87" s="6">
        <f ca="1">IFERROR(__xludf.DUMMYFUNCTION("""COMPUTED_VALUE"""),8.6)</f>
        <v>8.6</v>
      </c>
      <c r="E87" s="6"/>
      <c r="F87" s="6" t="str">
        <f ca="1">IFERROR(__xludf.DUMMYFUNCTION("""COMPUTED_VALUE"""),"High and Low")</f>
        <v>High and Low</v>
      </c>
      <c r="G87" s="6" t="str">
        <f ca="1">IFERROR(__xludf.DUMMYFUNCTION("""COMPUTED_VALUE"""),"Not Rated")</f>
        <v>Not Rated</v>
      </c>
      <c r="H87" s="6">
        <f ca="1">IFERROR(__xludf.DUMMYFUNCTION("""COMPUTED_VALUE"""),143)</f>
        <v>143</v>
      </c>
      <c r="I87" s="6">
        <f ca="1">IFERROR(__xludf.DUMMYFUNCTION("""COMPUTED_VALUE"""),8.4)</f>
        <v>8.4</v>
      </c>
      <c r="J87" s="6"/>
      <c r="K87" s="6" t="str">
        <f ca="1">IFERROR(__xludf.DUMMYFUNCTION("""COMPUTED_VALUE"""),"City of God")</f>
        <v>City of God</v>
      </c>
      <c r="L87" s="6" t="str">
        <f ca="1">IFERROR(__xludf.DUMMYFUNCTION("""COMPUTED_VALUE"""),"R")</f>
        <v>R</v>
      </c>
      <c r="M87" s="6">
        <f ca="1">IFERROR(__xludf.DUMMYFUNCTION("""COMPUTED_VALUE"""),130)</f>
        <v>130</v>
      </c>
      <c r="N87" s="6">
        <f ca="1">IFERROR(__xludf.DUMMYFUNCTION("""COMPUTED_VALUE"""),8.6)</f>
        <v>8.6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6.8" x14ac:dyDescent="0.45">
      <c r="A88" s="6" t="str">
        <f ca="1">IFERROR(__xludf.DUMMYFUNCTION("""COMPUTED_VALUE"""),"The Silence of the Lambs")</f>
        <v>The Silence of the Lambs</v>
      </c>
      <c r="B88" s="6" t="str">
        <f ca="1">IFERROR(__xludf.DUMMYFUNCTION("""COMPUTED_VALUE"""),"R")</f>
        <v>R</v>
      </c>
      <c r="C88" s="6">
        <f ca="1">IFERROR(__xludf.DUMMYFUNCTION("""COMPUTED_VALUE"""),118)</f>
        <v>118</v>
      </c>
      <c r="D88" s="6">
        <f ca="1">IFERROR(__xludf.DUMMYFUNCTION("""COMPUTED_VALUE"""),8.6)</f>
        <v>8.6</v>
      </c>
      <c r="E88" s="6"/>
      <c r="F88" s="6" t="str">
        <f ca="1">IFERROR(__xludf.DUMMYFUNCTION("""COMPUTED_VALUE"""),"Dr. Strangelove or: How I Learned to Stop Worrying and Love the Bomb")</f>
        <v>Dr. Strangelove or: How I Learned to Stop Worrying and Love the Bomb</v>
      </c>
      <c r="G88" s="6" t="str">
        <f ca="1">IFERROR(__xludf.DUMMYFUNCTION("""COMPUTED_VALUE"""),"PG")</f>
        <v>PG</v>
      </c>
      <c r="H88" s="6">
        <f ca="1">IFERROR(__xludf.DUMMYFUNCTION("""COMPUTED_VALUE"""),95)</f>
        <v>95</v>
      </c>
      <c r="I88" s="6">
        <f ca="1">IFERROR(__xludf.DUMMYFUNCTION("""COMPUTED_VALUE"""),8.4)</f>
        <v>8.4</v>
      </c>
      <c r="J88" s="6"/>
      <c r="K88" s="6" t="str">
        <f ca="1">IFERROR(__xludf.DUMMYFUNCTION("""COMPUTED_VALUE"""),"Se7en")</f>
        <v>Se7en</v>
      </c>
      <c r="L88" s="6" t="str">
        <f ca="1">IFERROR(__xludf.DUMMYFUNCTION("""COMPUTED_VALUE"""),"R")</f>
        <v>R</v>
      </c>
      <c r="M88" s="6">
        <f ca="1">IFERROR(__xludf.DUMMYFUNCTION("""COMPUTED_VALUE"""),127)</f>
        <v>127</v>
      </c>
      <c r="N88" s="6">
        <f ca="1">IFERROR(__xludf.DUMMYFUNCTION("""COMPUTED_VALUE"""),8.6)</f>
        <v>8.6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6.8" x14ac:dyDescent="0.45">
      <c r="A89" s="6" t="str">
        <f ca="1">IFERROR(__xludf.DUMMYFUNCTION("""COMPUTED_VALUE"""),"Star Wars: Episode IV - A New Hope")</f>
        <v>Star Wars: Episode IV - A New Hope</v>
      </c>
      <c r="B89" s="6" t="str">
        <f ca="1">IFERROR(__xludf.DUMMYFUNCTION("""COMPUTED_VALUE"""),"PG")</f>
        <v>PG</v>
      </c>
      <c r="C89" s="6">
        <f ca="1">IFERROR(__xludf.DUMMYFUNCTION("""COMPUTED_VALUE"""),121)</f>
        <v>121</v>
      </c>
      <c r="D89" s="6">
        <f ca="1">IFERROR(__xludf.DUMMYFUNCTION("""COMPUTED_VALUE"""),8.6)</f>
        <v>8.6</v>
      </c>
      <c r="E89" s="6"/>
      <c r="F89" s="6" t="str">
        <f ca="1">IFERROR(__xludf.DUMMYFUNCTION("""COMPUTED_VALUE"""),"Witness for the Prosecution")</f>
        <v>Witness for the Prosecution</v>
      </c>
      <c r="G89" s="6" t="str">
        <f ca="1">IFERROR(__xludf.DUMMYFUNCTION("""COMPUTED_VALUE"""),"Approved")</f>
        <v>Approved</v>
      </c>
      <c r="H89" s="6">
        <f ca="1">IFERROR(__xludf.DUMMYFUNCTION("""COMPUTED_VALUE"""),116)</f>
        <v>116</v>
      </c>
      <c r="I89" s="6">
        <f ca="1">IFERROR(__xludf.DUMMYFUNCTION("""COMPUTED_VALUE"""),8.4)</f>
        <v>8.4</v>
      </c>
      <c r="J89" s="6"/>
      <c r="K89" s="6" t="str">
        <f ca="1">IFERROR(__xludf.DUMMYFUNCTION("""COMPUTED_VALUE"""),"Capharnaüm")</f>
        <v>Capharnaüm</v>
      </c>
      <c r="L89" s="6" t="str">
        <f ca="1">IFERROR(__xludf.DUMMYFUNCTION("""COMPUTED_VALUE"""),"R")</f>
        <v>R</v>
      </c>
      <c r="M89" s="6">
        <f ca="1">IFERROR(__xludf.DUMMYFUNCTION("""COMPUTED_VALUE"""),126)</f>
        <v>126</v>
      </c>
      <c r="N89" s="6">
        <f ca="1">IFERROR(__xludf.DUMMYFUNCTION("""COMPUTED_VALUE"""),8.4)</f>
        <v>8.4</v>
      </c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6.8" x14ac:dyDescent="0.45">
      <c r="A90" s="6" t="str">
        <f ca="1">IFERROR(__xludf.DUMMYFUNCTION("""COMPUTED_VALUE"""),"Harakiri")</f>
        <v>Harakiri</v>
      </c>
      <c r="B90" s="6" t="str">
        <f ca="1">IFERROR(__xludf.DUMMYFUNCTION("""COMPUTED_VALUE"""),"Not Rated")</f>
        <v>Not Rated</v>
      </c>
      <c r="C90" s="6">
        <f ca="1">IFERROR(__xludf.DUMMYFUNCTION("""COMPUTED_VALUE"""),133)</f>
        <v>133</v>
      </c>
      <c r="D90" s="6">
        <f ca="1">IFERROR(__xludf.DUMMYFUNCTION("""COMPUTED_VALUE"""),8.6)</f>
        <v>8.6</v>
      </c>
      <c r="E90" s="6"/>
      <c r="F90" s="6" t="str">
        <f ca="1">IFERROR(__xludf.DUMMYFUNCTION("""COMPUTED_VALUE"""),"Paths of Glory")</f>
        <v>Paths of Glory</v>
      </c>
      <c r="G90" s="6" t="str">
        <f ca="1">IFERROR(__xludf.DUMMYFUNCTION("""COMPUTED_VALUE"""),"Approved")</f>
        <v>Approved</v>
      </c>
      <c r="H90" s="6">
        <f ca="1">IFERROR(__xludf.DUMMYFUNCTION("""COMPUTED_VALUE"""),88)</f>
        <v>88</v>
      </c>
      <c r="I90" s="6">
        <f ca="1">IFERROR(__xludf.DUMMYFUNCTION("""COMPUTED_VALUE"""),8.4)</f>
        <v>8.4</v>
      </c>
      <c r="J90" s="6"/>
      <c r="K90" s="6" t="str">
        <f ca="1">IFERROR(__xludf.DUMMYFUNCTION("""COMPUTED_VALUE"""),"Good Will Hunting")</f>
        <v>Good Will Hunting</v>
      </c>
      <c r="L90" s="6" t="str">
        <f ca="1">IFERROR(__xludf.DUMMYFUNCTION("""COMPUTED_VALUE"""),"R")</f>
        <v>R</v>
      </c>
      <c r="M90" s="6">
        <f ca="1">IFERROR(__xludf.DUMMYFUNCTION("""COMPUTED_VALUE"""),126)</f>
        <v>126</v>
      </c>
      <c r="N90" s="6">
        <f ca="1">IFERROR(__xludf.DUMMYFUNCTION("""COMPUTED_VALUE"""),8.3)</f>
        <v>8.3000000000000007</v>
      </c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6.8" x14ac:dyDescent="0.45">
      <c r="A91" s="6" t="str">
        <f ca="1">IFERROR(__xludf.DUMMYFUNCTION("""COMPUTED_VALUE"""),"Seven Samurai")</f>
        <v>Seven Samurai</v>
      </c>
      <c r="B91" s="6" t="str">
        <f ca="1">IFERROR(__xludf.DUMMYFUNCTION("""COMPUTED_VALUE"""),"Not Rated")</f>
        <v>Not Rated</v>
      </c>
      <c r="C91" s="6">
        <f ca="1">IFERROR(__xludf.DUMMYFUNCTION("""COMPUTED_VALUE"""),207)</f>
        <v>207</v>
      </c>
      <c r="D91" s="6">
        <f ca="1">IFERROR(__xludf.DUMMYFUNCTION("""COMPUTED_VALUE"""),8.6)</f>
        <v>8.6</v>
      </c>
      <c r="E91" s="6"/>
      <c r="F91" s="6" t="str">
        <f ca="1">IFERROR(__xludf.DUMMYFUNCTION("""COMPUTED_VALUE"""),"Rear Window")</f>
        <v>Rear Window</v>
      </c>
      <c r="G91" s="6" t="str">
        <f ca="1">IFERROR(__xludf.DUMMYFUNCTION("""COMPUTED_VALUE"""),"PG")</f>
        <v>PG</v>
      </c>
      <c r="H91" s="6">
        <f ca="1">IFERROR(__xludf.DUMMYFUNCTION("""COMPUTED_VALUE"""),112)</f>
        <v>112</v>
      </c>
      <c r="I91" s="6">
        <f ca="1">IFERROR(__xludf.DUMMYFUNCTION("""COMPUTED_VALUE"""),8.4)</f>
        <v>8.4</v>
      </c>
      <c r="J91" s="6"/>
      <c r="K91" s="6" t="str">
        <f ca="1">IFERROR(__xludf.DUMMYFUNCTION("""COMPUTED_VALUE"""),"Joker")</f>
        <v>Joker</v>
      </c>
      <c r="L91" s="6" t="str">
        <f ca="1">IFERROR(__xludf.DUMMYFUNCTION("""COMPUTED_VALUE"""),"R")</f>
        <v>R</v>
      </c>
      <c r="M91" s="6">
        <f ca="1">IFERROR(__xludf.DUMMYFUNCTION("""COMPUTED_VALUE"""),122)</f>
        <v>122</v>
      </c>
      <c r="N91" s="6">
        <f ca="1">IFERROR(__xludf.DUMMYFUNCTION("""COMPUTED_VALUE"""),8.5)</f>
        <v>8.5</v>
      </c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6.8" x14ac:dyDescent="0.45">
      <c r="A92" s="6" t="str">
        <f ca="1">IFERROR(__xludf.DUMMYFUNCTION("""COMPUTED_VALUE"""),"It's a Wonderful Life")</f>
        <v>It's a Wonderful Life</v>
      </c>
      <c r="B92" s="6" t="str">
        <f ca="1">IFERROR(__xludf.DUMMYFUNCTION("""COMPUTED_VALUE"""),"PG")</f>
        <v>PG</v>
      </c>
      <c r="C92" s="6">
        <f ca="1">IFERROR(__xludf.DUMMYFUNCTION("""COMPUTED_VALUE"""),130)</f>
        <v>130</v>
      </c>
      <c r="D92" s="6">
        <f ca="1">IFERROR(__xludf.DUMMYFUNCTION("""COMPUTED_VALUE"""),8.6)</f>
        <v>8.6</v>
      </c>
      <c r="E92" s="6"/>
      <c r="F92" s="6" t="str">
        <f ca="1">IFERROR(__xludf.DUMMYFUNCTION("""COMPUTED_VALUE"""),"Sunset Blvd.")</f>
        <v>Sunset Blvd.</v>
      </c>
      <c r="G92" s="6" t="str">
        <f ca="1">IFERROR(__xludf.DUMMYFUNCTION("""COMPUTED_VALUE"""),"Passed")</f>
        <v>Passed</v>
      </c>
      <c r="H92" s="6">
        <f ca="1">IFERROR(__xludf.DUMMYFUNCTION("""COMPUTED_VALUE"""),110)</f>
        <v>110</v>
      </c>
      <c r="I92" s="6">
        <f ca="1">IFERROR(__xludf.DUMMYFUNCTION("""COMPUTED_VALUE"""),8.4)</f>
        <v>8.4</v>
      </c>
      <c r="J92" s="6"/>
      <c r="K92" s="6" t="str">
        <f ca="1">IFERROR(__xludf.DUMMYFUNCTION("""COMPUTED_VALUE"""),"Amélie")</f>
        <v>Amélie</v>
      </c>
      <c r="L92" s="6" t="str">
        <f ca="1">IFERROR(__xludf.DUMMYFUNCTION("""COMPUTED_VALUE"""),"R")</f>
        <v>R</v>
      </c>
      <c r="M92" s="6">
        <f ca="1">IFERROR(__xludf.DUMMYFUNCTION("""COMPUTED_VALUE"""),122)</f>
        <v>122</v>
      </c>
      <c r="N92" s="6">
        <f ca="1">IFERROR(__xludf.DUMMYFUNCTION("""COMPUTED_VALUE"""),8.3)</f>
        <v>8.3000000000000007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6.8" x14ac:dyDescent="0.45">
      <c r="A93" s="6" t="str">
        <f ca="1">IFERROR(__xludf.DUMMYFUNCTION("""COMPUTED_VALUE"""),"Hamilton")</f>
        <v>Hamilton</v>
      </c>
      <c r="B93" s="6" t="str">
        <f ca="1">IFERROR(__xludf.DUMMYFUNCTION("""COMPUTED_VALUE"""),"PG-13")</f>
        <v>PG-13</v>
      </c>
      <c r="C93" s="6">
        <f ca="1">IFERROR(__xludf.DUMMYFUNCTION("""COMPUTED_VALUE"""),160)</f>
        <v>160</v>
      </c>
      <c r="D93" s="6">
        <f ca="1">IFERROR(__xludf.DUMMYFUNCTION("""COMPUTED_VALUE"""),8.7)</f>
        <v>8.6999999999999993</v>
      </c>
      <c r="E93" s="6"/>
      <c r="F93" s="6" t="str">
        <f ca="1">IFERROR(__xludf.DUMMYFUNCTION("""COMPUTED_VALUE"""),"The Great Dictator")</f>
        <v>The Great Dictator</v>
      </c>
      <c r="G93" s="6" t="str">
        <f ca="1">IFERROR(__xludf.DUMMYFUNCTION("""COMPUTED_VALUE"""),"Passed")</f>
        <v>Passed</v>
      </c>
      <c r="H93" s="6">
        <f ca="1">IFERROR(__xludf.DUMMYFUNCTION("""COMPUTED_VALUE"""),125)</f>
        <v>125</v>
      </c>
      <c r="I93" s="6">
        <f ca="1">IFERROR(__xludf.DUMMYFUNCTION("""COMPUTED_VALUE"""),8.4)</f>
        <v>8.4</v>
      </c>
      <c r="J93" s="6"/>
      <c r="K93" s="6" t="str">
        <f ca="1">IFERROR(__xludf.DUMMYFUNCTION("""COMPUTED_VALUE"""),"American Beauty")</f>
        <v>American Beauty</v>
      </c>
      <c r="L93" s="6" t="str">
        <f ca="1">IFERROR(__xludf.DUMMYFUNCTION("""COMPUTED_VALUE"""),"R")</f>
        <v>R</v>
      </c>
      <c r="M93" s="6">
        <f ca="1">IFERROR(__xludf.DUMMYFUNCTION("""COMPUTED_VALUE"""),122)</f>
        <v>122</v>
      </c>
      <c r="N93" s="6">
        <f ca="1">IFERROR(__xludf.DUMMYFUNCTION("""COMPUTED_VALUE"""),8.3)</f>
        <v>8.3000000000000007</v>
      </c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6.8" x14ac:dyDescent="0.45">
      <c r="A94" s="6" t="str">
        <f ca="1">IFERROR(__xludf.DUMMYFUNCTION("""COMPUTED_VALUE"""),"The Lord of the Rings: The Two Towers")</f>
        <v>The Lord of the Rings: The Two Towers</v>
      </c>
      <c r="B94" s="6" t="str">
        <f ca="1">IFERROR(__xludf.DUMMYFUNCTION("""COMPUTED_VALUE"""),"PG-13")</f>
        <v>PG-13</v>
      </c>
      <c r="C94" s="6">
        <f ca="1">IFERROR(__xludf.DUMMYFUNCTION("""COMPUTED_VALUE"""),179)</f>
        <v>179</v>
      </c>
      <c r="D94" s="6">
        <f ca="1">IFERROR(__xludf.DUMMYFUNCTION("""COMPUTED_VALUE"""),8.7)</f>
        <v>8.6999999999999993</v>
      </c>
      <c r="E94" s="6"/>
      <c r="F94" s="6" t="str">
        <f ca="1">IFERROR(__xludf.DUMMYFUNCTION("""COMPUTED_VALUE"""),"1917")</f>
        <v>1917</v>
      </c>
      <c r="G94" s="6" t="str">
        <f ca="1">IFERROR(__xludf.DUMMYFUNCTION("""COMPUTED_VALUE"""),"R")</f>
        <v>R</v>
      </c>
      <c r="H94" s="6">
        <f ca="1">IFERROR(__xludf.DUMMYFUNCTION("""COMPUTED_VALUE"""),119)</f>
        <v>119</v>
      </c>
      <c r="I94" s="6">
        <f ca="1">IFERROR(__xludf.DUMMYFUNCTION("""COMPUTED_VALUE"""),8.3)</f>
        <v>8.3000000000000007</v>
      </c>
      <c r="J94" s="6"/>
      <c r="K94" s="6" t="str">
        <f ca="1">IFERROR(__xludf.DUMMYFUNCTION("""COMPUTED_VALUE"""),"Oldboy")</f>
        <v>Oldboy</v>
      </c>
      <c r="L94" s="6" t="str">
        <f ca="1">IFERROR(__xludf.DUMMYFUNCTION("""COMPUTED_VALUE"""),"R")</f>
        <v>R</v>
      </c>
      <c r="M94" s="6">
        <f ca="1">IFERROR(__xludf.DUMMYFUNCTION("""COMPUTED_VALUE"""),120)</f>
        <v>120</v>
      </c>
      <c r="N94" s="6">
        <f ca="1">IFERROR(__xludf.DUMMYFUNCTION("""COMPUTED_VALUE"""),8.4)</f>
        <v>8.4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6.8" x14ac:dyDescent="0.45">
      <c r="A95" s="6" t="str">
        <f ca="1">IFERROR(__xludf.DUMMYFUNCTION("""COMPUTED_VALUE"""),"The Matrix")</f>
        <v>The Matrix</v>
      </c>
      <c r="B95" s="6" t="str">
        <f ca="1">IFERROR(__xludf.DUMMYFUNCTION("""COMPUTED_VALUE"""),"R")</f>
        <v>R</v>
      </c>
      <c r="C95" s="6">
        <f ca="1">IFERROR(__xludf.DUMMYFUNCTION("""COMPUTED_VALUE"""),136)</f>
        <v>136</v>
      </c>
      <c r="D95" s="6">
        <f ca="1">IFERROR(__xludf.DUMMYFUNCTION("""COMPUTED_VALUE"""),8.7)</f>
        <v>8.6999999999999993</v>
      </c>
      <c r="E95" s="6"/>
      <c r="F95" s="6" t="str">
        <f ca="1">IFERROR(__xludf.DUMMYFUNCTION("""COMPUTED_VALUE"""),"Uri: The Surgical Strike")</f>
        <v>Uri: The Surgical Strike</v>
      </c>
      <c r="G95" s="6" t="str">
        <f ca="1">IFERROR(__xludf.DUMMYFUNCTION("""COMPUTED_VALUE"""),"Not Rated")</f>
        <v>Not Rated</v>
      </c>
      <c r="H95" s="6">
        <f ca="1">IFERROR(__xludf.DUMMYFUNCTION("""COMPUTED_VALUE"""),138)</f>
        <v>138</v>
      </c>
      <c r="I95" s="6">
        <f ca="1">IFERROR(__xludf.DUMMYFUNCTION("""COMPUTED_VALUE"""),8.3)</f>
        <v>8.3000000000000007</v>
      </c>
      <c r="J95" s="6"/>
      <c r="K95" s="6" t="str">
        <f ca="1">IFERROR(__xludf.DUMMYFUNCTION("""COMPUTED_VALUE"""),"American History X")</f>
        <v>American History X</v>
      </c>
      <c r="L95" s="6" t="str">
        <f ca="1">IFERROR(__xludf.DUMMYFUNCTION("""COMPUTED_VALUE"""),"R")</f>
        <v>R</v>
      </c>
      <c r="M95" s="6">
        <f ca="1">IFERROR(__xludf.DUMMYFUNCTION("""COMPUTED_VALUE"""),119)</f>
        <v>119</v>
      </c>
      <c r="N95" s="6">
        <f ca="1">IFERROR(__xludf.DUMMYFUNCTION("""COMPUTED_VALUE"""),8.5)</f>
        <v>8.5</v>
      </c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6.8" x14ac:dyDescent="0.45">
      <c r="A96" s="6" t="str">
        <f ca="1">IFERROR(__xludf.DUMMYFUNCTION("""COMPUTED_VALUE"""),"Goodfellas")</f>
        <v>Goodfellas</v>
      </c>
      <c r="B96" s="6" t="str">
        <f ca="1">IFERROR(__xludf.DUMMYFUNCTION("""COMPUTED_VALUE"""),"R")</f>
        <v>R</v>
      </c>
      <c r="C96" s="6">
        <f ca="1">IFERROR(__xludf.DUMMYFUNCTION("""COMPUTED_VALUE"""),146)</f>
        <v>146</v>
      </c>
      <c r="D96" s="6">
        <f ca="1">IFERROR(__xludf.DUMMYFUNCTION("""COMPUTED_VALUE"""),8.7)</f>
        <v>8.6999999999999993</v>
      </c>
      <c r="E96" s="6"/>
      <c r="F96" s="6" t="str">
        <f ca="1">IFERROR(__xludf.DUMMYFUNCTION("""COMPUTED_VALUE"""),"Tumbbad")</f>
        <v>Tumbbad</v>
      </c>
      <c r="G96" s="6" t="str">
        <f ca="1">IFERROR(__xludf.DUMMYFUNCTION("""COMPUTED_VALUE"""),"Not Rated")</f>
        <v>Not Rated</v>
      </c>
      <c r="H96" s="6">
        <f ca="1">IFERROR(__xludf.DUMMYFUNCTION("""COMPUTED_VALUE"""),104)</f>
        <v>104</v>
      </c>
      <c r="I96" s="6">
        <f ca="1">IFERROR(__xludf.DUMMYFUNCTION("""COMPUTED_VALUE"""),8.3)</f>
        <v>8.3000000000000007</v>
      </c>
      <c r="J96" s="6"/>
      <c r="K96" s="6" t="str">
        <f ca="1">IFERROR(__xludf.DUMMYFUNCTION("""COMPUTED_VALUE"""),"1917")</f>
        <v>1917</v>
      </c>
      <c r="L96" s="6" t="str">
        <f ca="1">IFERROR(__xludf.DUMMYFUNCTION("""COMPUTED_VALUE"""),"R")</f>
        <v>R</v>
      </c>
      <c r="M96" s="6">
        <f ca="1">IFERROR(__xludf.DUMMYFUNCTION("""COMPUTED_VALUE"""),119)</f>
        <v>119</v>
      </c>
      <c r="N96" s="6">
        <f ca="1">IFERROR(__xludf.DUMMYFUNCTION("""COMPUTED_VALUE"""),8.3)</f>
        <v>8.3000000000000007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6.8" x14ac:dyDescent="0.45">
      <c r="A97" s="6" t="str">
        <f ca="1">IFERROR(__xludf.DUMMYFUNCTION("""COMPUTED_VALUE"""),"Star Wars: Episode V - The Empire Strikes Back")</f>
        <v>Star Wars: Episode V - The Empire Strikes Back</v>
      </c>
      <c r="B97" s="6" t="str">
        <f ca="1">IFERROR(__xludf.DUMMYFUNCTION("""COMPUTED_VALUE"""),"PG")</f>
        <v>PG</v>
      </c>
      <c r="C97" s="6">
        <f ca="1">IFERROR(__xludf.DUMMYFUNCTION("""COMPUTED_VALUE"""),124)</f>
        <v>124</v>
      </c>
      <c r="D97" s="6">
        <f ca="1">IFERROR(__xludf.DUMMYFUNCTION("""COMPUTED_VALUE"""),8.7)</f>
        <v>8.6999999999999993</v>
      </c>
      <c r="E97" s="6"/>
      <c r="F97" s="6" t="str">
        <f ca="1">IFERROR(__xludf.DUMMYFUNCTION("""COMPUTED_VALUE"""),"Andhadhun")</f>
        <v>Andhadhun</v>
      </c>
      <c r="G97" s="6" t="str">
        <f ca="1">IFERROR(__xludf.DUMMYFUNCTION("""COMPUTED_VALUE"""),"Not Rated")</f>
        <v>Not Rated</v>
      </c>
      <c r="H97" s="6">
        <f ca="1">IFERROR(__xludf.DUMMYFUNCTION("""COMPUTED_VALUE"""),139)</f>
        <v>139</v>
      </c>
      <c r="I97" s="6">
        <f ca="1">IFERROR(__xludf.DUMMYFUNCTION("""COMPUTED_VALUE"""),8.3)</f>
        <v>8.3000000000000007</v>
      </c>
      <c r="J97" s="6"/>
      <c r="K97" s="6" t="str">
        <f ca="1">IFERROR(__xludf.DUMMYFUNCTION("""COMPUTED_VALUE"""),"The Silence of the Lambs")</f>
        <v>The Silence of the Lambs</v>
      </c>
      <c r="L97" s="6" t="str">
        <f ca="1">IFERROR(__xludf.DUMMYFUNCTION("""COMPUTED_VALUE"""),"R")</f>
        <v>R</v>
      </c>
      <c r="M97" s="6">
        <f ca="1">IFERROR(__xludf.DUMMYFUNCTION("""COMPUTED_VALUE"""),118)</f>
        <v>118</v>
      </c>
      <c r="N97" s="6">
        <f ca="1">IFERROR(__xludf.DUMMYFUNCTION("""COMPUTED_VALUE"""),8.6)</f>
        <v>8.6</v>
      </c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6.8" x14ac:dyDescent="0.45">
      <c r="A98" s="6" t="str">
        <f ca="1">IFERROR(__xludf.DUMMYFUNCTION("""COMPUTED_VALUE"""),"One Flew Over the Cuckoo's Nest")</f>
        <v>One Flew Over the Cuckoo's Nest</v>
      </c>
      <c r="B98" s="6" t="str">
        <f ca="1">IFERROR(__xludf.DUMMYFUNCTION("""COMPUTED_VALUE"""),"R")</f>
        <v>R</v>
      </c>
      <c r="C98" s="6">
        <f ca="1">IFERROR(__xludf.DUMMYFUNCTION("""COMPUTED_VALUE"""),133)</f>
        <v>133</v>
      </c>
      <c r="D98" s="6">
        <f ca="1">IFERROR(__xludf.DUMMYFUNCTION("""COMPUTED_VALUE"""),8.7)</f>
        <v>8.6999999999999993</v>
      </c>
      <c r="E98" s="6"/>
      <c r="F98" s="6" t="str">
        <f ca="1">IFERROR(__xludf.DUMMYFUNCTION("""COMPUTED_VALUE"""),"Drishyam")</f>
        <v>Drishyam</v>
      </c>
      <c r="G98" s="6" t="str">
        <f ca="1">IFERROR(__xludf.DUMMYFUNCTION("""COMPUTED_VALUE"""),"Not Rated")</f>
        <v>Not Rated</v>
      </c>
      <c r="H98" s="6">
        <f ca="1">IFERROR(__xludf.DUMMYFUNCTION("""COMPUTED_VALUE"""),160)</f>
        <v>160</v>
      </c>
      <c r="I98" s="6">
        <f ca="1">IFERROR(__xludf.DUMMYFUNCTION("""COMPUTED_VALUE"""),8.3)</f>
        <v>8.3000000000000007</v>
      </c>
      <c r="J98" s="6"/>
      <c r="K98" s="6" t="str">
        <f ca="1">IFERROR(__xludf.DUMMYFUNCTION("""COMPUTED_VALUE"""),"Alien")</f>
        <v>Alien</v>
      </c>
      <c r="L98" s="6" t="str">
        <f ca="1">IFERROR(__xludf.DUMMYFUNCTION("""COMPUTED_VALUE"""),"R")</f>
        <v>R</v>
      </c>
      <c r="M98" s="6">
        <f ca="1">IFERROR(__xludf.DUMMYFUNCTION("""COMPUTED_VALUE"""),117)</f>
        <v>117</v>
      </c>
      <c r="N98" s="6">
        <f ca="1">IFERROR(__xludf.DUMMYFUNCTION("""COMPUTED_VALUE"""),8.4)</f>
        <v>8.4</v>
      </c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6.8" x14ac:dyDescent="0.45">
      <c r="A99" s="6" t="str">
        <f ca="1">IFERROR(__xludf.DUMMYFUNCTION("""COMPUTED_VALUE"""),"Inception")</f>
        <v>Inception</v>
      </c>
      <c r="B99" s="6" t="str">
        <f ca="1">IFERROR(__xludf.DUMMYFUNCTION("""COMPUTED_VALUE"""),"PG-13")</f>
        <v>PG-13</v>
      </c>
      <c r="C99" s="6">
        <f ca="1">IFERROR(__xludf.DUMMYFUNCTION("""COMPUTED_VALUE"""),148)</f>
        <v>148</v>
      </c>
      <c r="D99" s="6">
        <f ca="1">IFERROR(__xludf.DUMMYFUNCTION("""COMPUTED_VALUE"""),8.8)</f>
        <v>8.8000000000000007</v>
      </c>
      <c r="E99" s="6"/>
      <c r="F99" s="6" t="str">
        <f ca="1">IFERROR(__xludf.DUMMYFUNCTION("""COMPUTED_VALUE"""),"The Hunt")</f>
        <v>The Hunt</v>
      </c>
      <c r="G99" s="6" t="str">
        <f ca="1">IFERROR(__xludf.DUMMYFUNCTION("""COMPUTED_VALUE"""),"R")</f>
        <v>R</v>
      </c>
      <c r="H99" s="6">
        <f ca="1">IFERROR(__xludf.DUMMYFUNCTION("""COMPUTED_VALUE"""),115)</f>
        <v>115</v>
      </c>
      <c r="I99" s="6">
        <f ca="1">IFERROR(__xludf.DUMMYFUNCTION("""COMPUTED_VALUE"""),8.3)</f>
        <v>8.3000000000000007</v>
      </c>
      <c r="J99" s="6"/>
      <c r="K99" s="6" t="str">
        <f ca="1">IFERROR(__xludf.DUMMYFUNCTION("""COMPUTED_VALUE"""),"The Hunt")</f>
        <v>The Hunt</v>
      </c>
      <c r="L99" s="6" t="str">
        <f ca="1">IFERROR(__xludf.DUMMYFUNCTION("""COMPUTED_VALUE"""),"R")</f>
        <v>R</v>
      </c>
      <c r="M99" s="6">
        <f ca="1">IFERROR(__xludf.DUMMYFUNCTION("""COMPUTED_VALUE"""),115)</f>
        <v>115</v>
      </c>
      <c r="N99" s="6">
        <f ca="1">IFERROR(__xludf.DUMMYFUNCTION("""COMPUTED_VALUE"""),8.3)</f>
        <v>8.3000000000000007</v>
      </c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6.8" x14ac:dyDescent="0.45">
      <c r="A100" s="6" t="str">
        <f ca="1">IFERROR(__xludf.DUMMYFUNCTION("""COMPUTED_VALUE"""),"Fight Club")</f>
        <v>Fight Club</v>
      </c>
      <c r="B100" s="6" t="str">
        <f ca="1">IFERROR(__xludf.DUMMYFUNCTION("""COMPUTED_VALUE"""),"R")</f>
        <v>R</v>
      </c>
      <c r="C100" s="6">
        <f ca="1">IFERROR(__xludf.DUMMYFUNCTION("""COMPUTED_VALUE"""),139)</f>
        <v>139</v>
      </c>
      <c r="D100" s="6">
        <f ca="1">IFERROR(__xludf.DUMMYFUNCTION("""COMPUTED_VALUE"""),8.8)</f>
        <v>8.8000000000000007</v>
      </c>
      <c r="E100" s="6"/>
      <c r="F100" s="6" t="str">
        <f ca="1">IFERROR(__xludf.DUMMYFUNCTION("""COMPUTED_VALUE"""),"A Separation")</f>
        <v>A Separation</v>
      </c>
      <c r="G100" s="6" t="str">
        <f ca="1">IFERROR(__xludf.DUMMYFUNCTION("""COMPUTED_VALUE"""),"PG-13")</f>
        <v>PG-13</v>
      </c>
      <c r="H100" s="6">
        <f ca="1">IFERROR(__xludf.DUMMYFUNCTION("""COMPUTED_VALUE"""),123)</f>
        <v>123</v>
      </c>
      <c r="I100" s="6">
        <f ca="1">IFERROR(__xludf.DUMMYFUNCTION("""COMPUTED_VALUE"""),8.3)</f>
        <v>8.3000000000000007</v>
      </c>
      <c r="J100" s="6"/>
      <c r="K100" s="6" t="str">
        <f ca="1">IFERROR(__xludf.DUMMYFUNCTION("""COMPUTED_VALUE"""),"Memento")</f>
        <v>Memento</v>
      </c>
      <c r="L100" s="6" t="str">
        <f ca="1">IFERROR(__xludf.DUMMYFUNCTION("""COMPUTED_VALUE"""),"R")</f>
        <v>R</v>
      </c>
      <c r="M100" s="6">
        <f ca="1">IFERROR(__xludf.DUMMYFUNCTION("""COMPUTED_VALUE"""),113)</f>
        <v>113</v>
      </c>
      <c r="N100" s="6">
        <f ca="1">IFERROR(__xludf.DUMMYFUNCTION("""COMPUTED_VALUE"""),8.4)</f>
        <v>8.4</v>
      </c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6.8" x14ac:dyDescent="0.45">
      <c r="A101" s="6" t="str">
        <f ca="1">IFERROR(__xludf.DUMMYFUNCTION("""COMPUTED_VALUE"""),"The Lord of the Rings: The Fellowship of the Ring")</f>
        <v>The Lord of the Rings: The Fellowship of the Ring</v>
      </c>
      <c r="B101" s="6" t="str">
        <f ca="1">IFERROR(__xludf.DUMMYFUNCTION("""COMPUTED_VALUE"""),"PG-13")</f>
        <v>PG-13</v>
      </c>
      <c r="C101" s="6">
        <f ca="1">IFERROR(__xludf.DUMMYFUNCTION("""COMPUTED_VALUE"""),178)</f>
        <v>178</v>
      </c>
      <c r="D101" s="6">
        <f ca="1">IFERROR(__xludf.DUMMYFUNCTION("""COMPUTED_VALUE"""),8.8)</f>
        <v>8.8000000000000007</v>
      </c>
      <c r="E101" s="6"/>
      <c r="F101" s="6" t="str">
        <f ca="1">IFERROR(__xludf.DUMMYFUNCTION("""COMPUTED_VALUE"""),"Incendies")</f>
        <v>Incendies</v>
      </c>
      <c r="G101" s="6" t="str">
        <f ca="1">IFERROR(__xludf.DUMMYFUNCTION("""COMPUTED_VALUE"""),"R")</f>
        <v>R</v>
      </c>
      <c r="H101" s="6">
        <f ca="1">IFERROR(__xludf.DUMMYFUNCTION("""COMPUTED_VALUE"""),131)</f>
        <v>131</v>
      </c>
      <c r="I101" s="6">
        <f ca="1">IFERROR(__xludf.DUMMYFUNCTION("""COMPUTED_VALUE"""),8.3)</f>
        <v>8.3000000000000007</v>
      </c>
      <c r="J101" s="6"/>
      <c r="K101" s="6" t="str">
        <f ca="1">IFERROR(__xludf.DUMMYFUNCTION("""COMPUTED_VALUE"""),"The Intouchables")</f>
        <v>The Intouchables</v>
      </c>
      <c r="L101" s="6" t="str">
        <f ca="1">IFERROR(__xludf.DUMMYFUNCTION("""COMPUTED_VALUE"""),"R")</f>
        <v>R</v>
      </c>
      <c r="M101" s="6">
        <f ca="1">IFERROR(__xludf.DUMMYFUNCTION("""COMPUTED_VALUE"""),112)</f>
        <v>112</v>
      </c>
      <c r="N101" s="6">
        <f ca="1">IFERROR(__xludf.DUMMYFUNCTION("""COMPUTED_VALUE"""),8.5)</f>
        <v>8.5</v>
      </c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6.8" x14ac:dyDescent="0.45">
      <c r="A102" s="6" t="str">
        <f ca="1">IFERROR(__xludf.DUMMYFUNCTION("""COMPUTED_VALUE"""),"Forrest Gump")</f>
        <v>Forrest Gump</v>
      </c>
      <c r="B102" s="6" t="str">
        <f ca="1">IFERROR(__xludf.DUMMYFUNCTION("""COMPUTED_VALUE"""),"PG-13")</f>
        <v>PG-13</v>
      </c>
      <c r="C102" s="6">
        <f ca="1">IFERROR(__xludf.DUMMYFUNCTION("""COMPUTED_VALUE"""),142)</f>
        <v>142</v>
      </c>
      <c r="D102" s="6">
        <f ca="1">IFERROR(__xludf.DUMMYFUNCTION("""COMPUTED_VALUE"""),8.8)</f>
        <v>8.8000000000000007</v>
      </c>
      <c r="E102" s="6"/>
      <c r="F102" s="6" t="str">
        <f ca="1">IFERROR(__xludf.DUMMYFUNCTION("""COMPUTED_VALUE"""),"Yedinci Kogustaki Mucize")</f>
        <v>Yedinci Kogustaki Mucize</v>
      </c>
      <c r="G102" s="6"/>
      <c r="H102" s="6">
        <f ca="1">IFERROR(__xludf.DUMMYFUNCTION("""COMPUTED_VALUE"""),132)</f>
        <v>132</v>
      </c>
      <c r="I102" s="6">
        <f ca="1">IFERROR(__xludf.DUMMYFUNCTION("""COMPUTED_VALUE"""),8.3)</f>
        <v>8.3000000000000007</v>
      </c>
      <c r="J102" s="6"/>
      <c r="K102" s="6" t="str">
        <f ca="1">IFERROR(__xludf.DUMMYFUNCTION("""COMPUTED_VALUE"""),"Léon: The Professional")</f>
        <v>Léon: The Professional</v>
      </c>
      <c r="L102" s="6" t="str">
        <f ca="1">IFERROR(__xludf.DUMMYFUNCTION("""COMPUTED_VALUE"""),"R")</f>
        <v>R</v>
      </c>
      <c r="M102" s="6">
        <f ca="1">IFERROR(__xludf.DUMMYFUNCTION("""COMPUTED_VALUE"""),110)</f>
        <v>110</v>
      </c>
      <c r="N102" s="6">
        <f ca="1">IFERROR(__xludf.DUMMYFUNCTION("""COMPUTED_VALUE"""),8.5)</f>
        <v>8.5</v>
      </c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6.8" x14ac:dyDescent="0.45">
      <c r="A103" s="6" t="str">
        <f ca="1">IFERROR(__xludf.DUMMYFUNCTION("""COMPUTED_VALUE"""),"The Good, the Bad and the Ugly")</f>
        <v>The Good, the Bad and the Ugly</v>
      </c>
      <c r="B103" s="6" t="str">
        <f ca="1">IFERROR(__xludf.DUMMYFUNCTION("""COMPUTED_VALUE"""),"R")</f>
        <v>R</v>
      </c>
      <c r="C103" s="6">
        <f ca="1">IFERROR(__xludf.DUMMYFUNCTION("""COMPUTED_VALUE"""),178)</f>
        <v>178</v>
      </c>
      <c r="D103" s="6">
        <f ca="1">IFERROR(__xludf.DUMMYFUNCTION("""COMPUTED_VALUE"""),8.8)</f>
        <v>8.8000000000000007</v>
      </c>
      <c r="E103" s="6"/>
      <c r="F103" s="6" t="str">
        <f ca="1">IFERROR(__xludf.DUMMYFUNCTION("""COMPUTED_VALUE"""),"Babam ve Oglum")</f>
        <v>Babam ve Oglum</v>
      </c>
      <c r="G103" s="6"/>
      <c r="H103" s="6">
        <f ca="1">IFERROR(__xludf.DUMMYFUNCTION("""COMPUTED_VALUE"""),112)</f>
        <v>112</v>
      </c>
      <c r="I103" s="6">
        <f ca="1">IFERROR(__xludf.DUMMYFUNCTION("""COMPUTED_VALUE"""),8.3)</f>
        <v>8.3000000000000007</v>
      </c>
      <c r="J103" s="6"/>
      <c r="K103" s="6" t="str">
        <f ca="1">IFERROR(__xludf.DUMMYFUNCTION("""COMPUTED_VALUE"""),"Psycho")</f>
        <v>Psycho</v>
      </c>
      <c r="L103" s="6" t="str">
        <f ca="1">IFERROR(__xludf.DUMMYFUNCTION("""COMPUTED_VALUE"""),"R")</f>
        <v>R</v>
      </c>
      <c r="M103" s="6">
        <f ca="1">IFERROR(__xludf.DUMMYFUNCTION("""COMPUTED_VALUE"""),109)</f>
        <v>109</v>
      </c>
      <c r="N103" s="6">
        <f ca="1">IFERROR(__xludf.DUMMYFUNCTION("""COMPUTED_VALUE"""),8.5)</f>
        <v>8.5</v>
      </c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6.8" x14ac:dyDescent="0.45">
      <c r="A104" s="6" t="str">
        <f ca="1">IFERROR(__xludf.DUMMYFUNCTION("""COMPUTED_VALUE"""),"The Lord of the Rings: The Return of the King")</f>
        <v>The Lord of the Rings: The Return of the King</v>
      </c>
      <c r="B104" s="6" t="str">
        <f ca="1">IFERROR(__xludf.DUMMYFUNCTION("""COMPUTED_VALUE"""),"PG-13")</f>
        <v>PG-13</v>
      </c>
      <c r="C104" s="6">
        <f ca="1">IFERROR(__xludf.DUMMYFUNCTION("""COMPUTED_VALUE"""),201)</f>
        <v>201</v>
      </c>
      <c r="D104" s="6">
        <f ca="1">IFERROR(__xludf.DUMMYFUNCTION("""COMPUTED_VALUE"""),8.9)</f>
        <v>8.9</v>
      </c>
      <c r="E104" s="6"/>
      <c r="F104" s="6" t="str">
        <f ca="1">IFERROR(__xludf.DUMMYFUNCTION("""COMPUTED_VALUE"""),"Toy Story 3")</f>
        <v>Toy Story 3</v>
      </c>
      <c r="G104" s="6" t="str">
        <f ca="1">IFERROR(__xludf.DUMMYFUNCTION("""COMPUTED_VALUE"""),"G")</f>
        <v>G</v>
      </c>
      <c r="H104" s="6">
        <f ca="1">IFERROR(__xludf.DUMMYFUNCTION("""COMPUTED_VALUE"""),103)</f>
        <v>103</v>
      </c>
      <c r="I104" s="6">
        <f ca="1">IFERROR(__xludf.DUMMYFUNCTION("""COMPUTED_VALUE"""),8.3)</f>
        <v>8.3000000000000007</v>
      </c>
      <c r="J104" s="6"/>
      <c r="K104" s="6" t="str">
        <f ca="1">IFERROR(__xludf.DUMMYFUNCTION("""COMPUTED_VALUE"""),"Eternal Sunshine of the Spotless Mind")</f>
        <v>Eternal Sunshine of the Spotless Mind</v>
      </c>
      <c r="L104" s="6" t="str">
        <f ca="1">IFERROR(__xludf.DUMMYFUNCTION("""COMPUTED_VALUE"""),"R")</f>
        <v>R</v>
      </c>
      <c r="M104" s="6">
        <f ca="1">IFERROR(__xludf.DUMMYFUNCTION("""COMPUTED_VALUE"""),108)</f>
        <v>108</v>
      </c>
      <c r="N104" s="6">
        <f ca="1">IFERROR(__xludf.DUMMYFUNCTION("""COMPUTED_VALUE"""),8.3)</f>
        <v>8.3000000000000007</v>
      </c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6.8" x14ac:dyDescent="0.45">
      <c r="A105" s="6" t="str">
        <f ca="1">IFERROR(__xludf.DUMMYFUNCTION("""COMPUTED_VALUE"""),"Pulp Fiction")</f>
        <v>Pulp Fiction</v>
      </c>
      <c r="B105" s="6" t="str">
        <f ca="1">IFERROR(__xludf.DUMMYFUNCTION("""COMPUTED_VALUE"""),"R")</f>
        <v>R</v>
      </c>
      <c r="C105" s="6">
        <f ca="1">IFERROR(__xludf.DUMMYFUNCTION("""COMPUTED_VALUE"""),154)</f>
        <v>154</v>
      </c>
      <c r="D105" s="6">
        <f ca="1">IFERROR(__xludf.DUMMYFUNCTION("""COMPUTED_VALUE"""),8.9)</f>
        <v>8.9</v>
      </c>
      <c r="E105" s="6"/>
      <c r="F105" s="6" t="str">
        <f ca="1">IFERROR(__xludf.DUMMYFUNCTION("""COMPUTED_VALUE"""),"Inglourious Basterds")</f>
        <v>Inglourious Basterds</v>
      </c>
      <c r="G105" s="6" t="str">
        <f ca="1">IFERROR(__xludf.DUMMYFUNCTION("""COMPUTED_VALUE"""),"R")</f>
        <v>R</v>
      </c>
      <c r="H105" s="6">
        <f ca="1">IFERROR(__xludf.DUMMYFUNCTION("""COMPUTED_VALUE"""),153)</f>
        <v>153</v>
      </c>
      <c r="I105" s="6">
        <f ca="1">IFERROR(__xludf.DUMMYFUNCTION("""COMPUTED_VALUE"""),8.3)</f>
        <v>8.3000000000000007</v>
      </c>
      <c r="J105" s="6"/>
      <c r="K105" s="6" t="str">
        <f ca="1">IFERROR(__xludf.DUMMYFUNCTION("""COMPUTED_VALUE"""),"Whiplash")</f>
        <v>Whiplash</v>
      </c>
      <c r="L105" s="6" t="str">
        <f ca="1">IFERROR(__xludf.DUMMYFUNCTION("""COMPUTED_VALUE"""),"R")</f>
        <v>R</v>
      </c>
      <c r="M105" s="6">
        <f ca="1">IFERROR(__xludf.DUMMYFUNCTION("""COMPUTED_VALUE"""),106)</f>
        <v>106</v>
      </c>
      <c r="N105" s="6">
        <f ca="1">IFERROR(__xludf.DUMMYFUNCTION("""COMPUTED_VALUE"""),8.5)</f>
        <v>8.5</v>
      </c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6.8" x14ac:dyDescent="0.45">
      <c r="A106" s="6" t="str">
        <f ca="1">IFERROR(__xludf.DUMMYFUNCTION("""COMPUTED_VALUE"""),"Schindler's List")</f>
        <v>Schindler's List</v>
      </c>
      <c r="B106" s="6" t="str">
        <f ca="1">IFERROR(__xludf.DUMMYFUNCTION("""COMPUTED_VALUE"""),"R")</f>
        <v>R</v>
      </c>
      <c r="C106" s="6">
        <f ca="1">IFERROR(__xludf.DUMMYFUNCTION("""COMPUTED_VALUE"""),195)</f>
        <v>195</v>
      </c>
      <c r="D106" s="6">
        <f ca="1">IFERROR(__xludf.DUMMYFUNCTION("""COMPUTED_VALUE"""),8.9)</f>
        <v>8.9</v>
      </c>
      <c r="E106" s="6"/>
      <c r="F106" s="6" t="str">
        <f ca="1">IFERROR(__xludf.DUMMYFUNCTION("""COMPUTED_VALUE"""),"Eternal Sunshine of the Spotless Mind")</f>
        <v>Eternal Sunshine of the Spotless Mind</v>
      </c>
      <c r="G106" s="6" t="str">
        <f ca="1">IFERROR(__xludf.DUMMYFUNCTION("""COMPUTED_VALUE"""),"R")</f>
        <v>R</v>
      </c>
      <c r="H106" s="6">
        <f ca="1">IFERROR(__xludf.DUMMYFUNCTION("""COMPUTED_VALUE"""),108)</f>
        <v>108</v>
      </c>
      <c r="I106" s="6">
        <f ca="1">IFERROR(__xludf.DUMMYFUNCTION("""COMPUTED_VALUE"""),8.3)</f>
        <v>8.3000000000000007</v>
      </c>
      <c r="J106" s="6"/>
      <c r="K106" s="6" t="str">
        <f ca="1">IFERROR(__xludf.DUMMYFUNCTION("""COMPUTED_VALUE"""),"The Usual Suspects")</f>
        <v>The Usual Suspects</v>
      </c>
      <c r="L106" s="6" t="str">
        <f ca="1">IFERROR(__xludf.DUMMYFUNCTION("""COMPUTED_VALUE"""),"R")</f>
        <v>R</v>
      </c>
      <c r="M106" s="6">
        <f ca="1">IFERROR(__xludf.DUMMYFUNCTION("""COMPUTED_VALUE"""),106)</f>
        <v>106</v>
      </c>
      <c r="N106" s="6">
        <f ca="1">IFERROR(__xludf.DUMMYFUNCTION("""COMPUTED_VALUE"""),8.5)</f>
        <v>8.5</v>
      </c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6.8" x14ac:dyDescent="0.45">
      <c r="A107" s="6" t="str">
        <f ca="1">IFERROR(__xludf.DUMMYFUNCTION("""COMPUTED_VALUE"""),"12 Angry Men")</f>
        <v>12 Angry Men</v>
      </c>
      <c r="B107" s="6" t="str">
        <f ca="1">IFERROR(__xludf.DUMMYFUNCTION("""COMPUTED_VALUE"""),"Approved")</f>
        <v>Approved</v>
      </c>
      <c r="C107" s="6">
        <f ca="1">IFERROR(__xludf.DUMMYFUNCTION("""COMPUTED_VALUE"""),96)</f>
        <v>96</v>
      </c>
      <c r="D107" s="6">
        <f ca="1">IFERROR(__xludf.DUMMYFUNCTION("""COMPUTED_VALUE"""),8.9)</f>
        <v>8.9</v>
      </c>
      <c r="E107" s="6"/>
      <c r="F107" s="6" t="str">
        <f ca="1">IFERROR(__xludf.DUMMYFUNCTION("""COMPUTED_VALUE"""),"Amélie")</f>
        <v>Amélie</v>
      </c>
      <c r="G107" s="6" t="str">
        <f ca="1">IFERROR(__xludf.DUMMYFUNCTION("""COMPUTED_VALUE"""),"R")</f>
        <v>R</v>
      </c>
      <c r="H107" s="6">
        <f ca="1">IFERROR(__xludf.DUMMYFUNCTION("""COMPUTED_VALUE"""),122)</f>
        <v>122</v>
      </c>
      <c r="I107" s="6">
        <f ca="1">IFERROR(__xludf.DUMMYFUNCTION("""COMPUTED_VALUE"""),8.3)</f>
        <v>8.3000000000000007</v>
      </c>
      <c r="J107" s="6"/>
      <c r="K107" s="6" t="str">
        <f ca="1">IFERROR(__xludf.DUMMYFUNCTION("""COMPUTED_VALUE"""),"Snatch")</f>
        <v>Snatch</v>
      </c>
      <c r="L107" s="6" t="str">
        <f ca="1">IFERROR(__xludf.DUMMYFUNCTION("""COMPUTED_VALUE"""),"R")</f>
        <v>R</v>
      </c>
      <c r="M107" s="6">
        <f ca="1">IFERROR(__xludf.DUMMYFUNCTION("""COMPUTED_VALUE"""),102)</f>
        <v>102</v>
      </c>
      <c r="N107" s="6">
        <f ca="1">IFERROR(__xludf.DUMMYFUNCTION("""COMPUTED_VALUE"""),8.3)</f>
        <v>8.3000000000000007</v>
      </c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6.8" x14ac:dyDescent="0.45">
      <c r="A108" s="6" t="str">
        <f ca="1">IFERROR(__xludf.DUMMYFUNCTION("""COMPUTED_VALUE"""),"The Dark Knight")</f>
        <v>The Dark Knight</v>
      </c>
      <c r="B108" s="6" t="str">
        <f ca="1">IFERROR(__xludf.DUMMYFUNCTION("""COMPUTED_VALUE"""),"PG-13")</f>
        <v>PG-13</v>
      </c>
      <c r="C108" s="6">
        <f ca="1">IFERROR(__xludf.DUMMYFUNCTION("""COMPUTED_VALUE"""),152)</f>
        <v>152</v>
      </c>
      <c r="D108" s="6">
        <f ca="1">IFERROR(__xludf.DUMMYFUNCTION("""COMPUTED_VALUE"""),9)</f>
        <v>9</v>
      </c>
      <c r="E108" s="6"/>
      <c r="F108" s="6" t="str">
        <f ca="1">IFERROR(__xludf.DUMMYFUNCTION("""COMPUTED_VALUE"""),"Snatch")</f>
        <v>Snatch</v>
      </c>
      <c r="G108" s="6" t="str">
        <f ca="1">IFERROR(__xludf.DUMMYFUNCTION("""COMPUTED_VALUE"""),"R")</f>
        <v>R</v>
      </c>
      <c r="H108" s="6">
        <f ca="1">IFERROR(__xludf.DUMMYFUNCTION("""COMPUTED_VALUE"""),102)</f>
        <v>102</v>
      </c>
      <c r="I108" s="6">
        <f ca="1">IFERROR(__xludf.DUMMYFUNCTION("""COMPUTED_VALUE"""),8.3)</f>
        <v>8.3000000000000007</v>
      </c>
      <c r="J108" s="6"/>
      <c r="K108" s="6" t="str">
        <f ca="1">IFERROR(__xludf.DUMMYFUNCTION("""COMPUTED_VALUE"""),"Requiem for a Dream")</f>
        <v>Requiem for a Dream</v>
      </c>
      <c r="L108" s="6" t="str">
        <f ca="1">IFERROR(__xludf.DUMMYFUNCTION("""COMPUTED_VALUE"""),"R")</f>
        <v>R</v>
      </c>
      <c r="M108" s="6">
        <f ca="1">IFERROR(__xludf.DUMMYFUNCTION("""COMPUTED_VALUE"""),102)</f>
        <v>102</v>
      </c>
      <c r="N108" s="6">
        <f ca="1">IFERROR(__xludf.DUMMYFUNCTION("""COMPUTED_VALUE"""),8.3)</f>
        <v>8.3000000000000007</v>
      </c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6.8" x14ac:dyDescent="0.45">
      <c r="A109" s="6" t="str">
        <f ca="1">IFERROR(__xludf.DUMMYFUNCTION("""COMPUTED_VALUE"""),"The Godfather: Part II")</f>
        <v>The Godfather: Part II</v>
      </c>
      <c r="B109" s="6" t="str">
        <f ca="1">IFERROR(__xludf.DUMMYFUNCTION("""COMPUTED_VALUE"""),"R")</f>
        <v>R</v>
      </c>
      <c r="C109" s="6">
        <f ca="1">IFERROR(__xludf.DUMMYFUNCTION("""COMPUTED_VALUE"""),202)</f>
        <v>202</v>
      </c>
      <c r="D109" s="6">
        <f ca="1">IFERROR(__xludf.DUMMYFUNCTION("""COMPUTED_VALUE"""),9)</f>
        <v>9</v>
      </c>
      <c r="E109" s="6"/>
      <c r="F109" s="6" t="str">
        <f ca="1">IFERROR(__xludf.DUMMYFUNCTION("""COMPUTED_VALUE"""),"Requiem for a Dream")</f>
        <v>Requiem for a Dream</v>
      </c>
      <c r="G109" s="6" t="str">
        <f ca="1">IFERROR(__xludf.DUMMYFUNCTION("""COMPUTED_VALUE"""),"R")</f>
        <v>R</v>
      </c>
      <c r="H109" s="6">
        <f ca="1">IFERROR(__xludf.DUMMYFUNCTION("""COMPUTED_VALUE"""),102)</f>
        <v>102</v>
      </c>
      <c r="I109" s="6">
        <f ca="1">IFERROR(__xludf.DUMMYFUNCTION("""COMPUTED_VALUE"""),8.3)</f>
        <v>8.3000000000000007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6.8" x14ac:dyDescent="0.45">
      <c r="A110" s="6" t="str">
        <f ca="1">IFERROR(__xludf.DUMMYFUNCTION("""COMPUTED_VALUE"""),"The Godfather")</f>
        <v>The Godfather</v>
      </c>
      <c r="B110" s="6" t="str">
        <f ca="1">IFERROR(__xludf.DUMMYFUNCTION("""COMPUTED_VALUE"""),"R")</f>
        <v>R</v>
      </c>
      <c r="C110" s="6">
        <f ca="1">IFERROR(__xludf.DUMMYFUNCTION("""COMPUTED_VALUE"""),175)</f>
        <v>175</v>
      </c>
      <c r="D110" s="6">
        <f ca="1">IFERROR(__xludf.DUMMYFUNCTION("""COMPUTED_VALUE"""),9.2)</f>
        <v>9.1999999999999993</v>
      </c>
      <c r="E110" s="6"/>
      <c r="F110" s="6" t="str">
        <f ca="1">IFERROR(__xludf.DUMMYFUNCTION("""COMPUTED_VALUE"""),"American Beauty")</f>
        <v>American Beauty</v>
      </c>
      <c r="G110" s="6" t="str">
        <f ca="1">IFERROR(__xludf.DUMMYFUNCTION("""COMPUTED_VALUE"""),"R")</f>
        <v>R</v>
      </c>
      <c r="H110" s="6">
        <f ca="1">IFERROR(__xludf.DUMMYFUNCTION("""COMPUTED_VALUE"""),122)</f>
        <v>122</v>
      </c>
      <c r="I110" s="6">
        <f ca="1">IFERROR(__xludf.DUMMYFUNCTION("""COMPUTED_VALUE"""),8.3)</f>
        <v>8.3000000000000007</v>
      </c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6.8" x14ac:dyDescent="0.45">
      <c r="A111" s="6" t="str">
        <f ca="1">IFERROR(__xludf.DUMMYFUNCTION("""COMPUTED_VALUE"""),"The Shawshank Redemption")</f>
        <v>The Shawshank Redemption</v>
      </c>
      <c r="B111" s="6" t="str">
        <f ca="1">IFERROR(__xludf.DUMMYFUNCTION("""COMPUTED_VALUE"""),"R")</f>
        <v>R</v>
      </c>
      <c r="C111" s="6">
        <f ca="1">IFERROR(__xludf.DUMMYFUNCTION("""COMPUTED_VALUE"""),142)</f>
        <v>142</v>
      </c>
      <c r="D111" s="6">
        <f ca="1">IFERROR(__xludf.DUMMYFUNCTION("""COMPUTED_VALUE"""),9.3)</f>
        <v>9.3000000000000007</v>
      </c>
      <c r="E111" s="6"/>
      <c r="F111" s="6" t="str">
        <f ca="1">IFERROR(__xludf.DUMMYFUNCTION("""COMPUTED_VALUE"""),"Good Will Hunting")</f>
        <v>Good Will Hunting</v>
      </c>
      <c r="G111" s="6" t="str">
        <f ca="1">IFERROR(__xludf.DUMMYFUNCTION("""COMPUTED_VALUE"""),"R")</f>
        <v>R</v>
      </c>
      <c r="H111" s="6">
        <f ca="1">IFERROR(__xludf.DUMMYFUNCTION("""COMPUTED_VALUE"""),126)</f>
        <v>126</v>
      </c>
      <c r="I111" s="6">
        <f ca="1">IFERROR(__xludf.DUMMYFUNCTION("""COMPUTED_VALUE"""),8.3)</f>
        <v>8.3000000000000007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6.8" x14ac:dyDescent="0.4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6.8" x14ac:dyDescent="0.4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6.8" x14ac:dyDescent="0.4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6.8" x14ac:dyDescent="0.4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6.8" x14ac:dyDescent="0.4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6.8" x14ac:dyDescent="0.4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6.8" x14ac:dyDescent="0.4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6.8" x14ac:dyDescent="0.4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6.8" x14ac:dyDescent="0.4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6.8" x14ac:dyDescent="0.4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6.8" x14ac:dyDescent="0.4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6.8" x14ac:dyDescent="0.4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6.8" x14ac:dyDescent="0.4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6.8" x14ac:dyDescent="0.4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6.8" x14ac:dyDescent="0.4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6.8" x14ac:dyDescent="0.4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6.8" x14ac:dyDescent="0.4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6.8" x14ac:dyDescent="0.4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6.8" x14ac:dyDescent="0.4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6.8" x14ac:dyDescent="0.4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6.8" x14ac:dyDescent="0.4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6.8" x14ac:dyDescent="0.4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6.8" x14ac:dyDescent="0.4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6.8" x14ac:dyDescent="0.4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6.8" x14ac:dyDescent="0.4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6.8" x14ac:dyDescent="0.4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6.8" x14ac:dyDescent="0.4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6.8" x14ac:dyDescent="0.4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6.8" x14ac:dyDescent="0.4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6.8" x14ac:dyDescent="0.4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6.8" x14ac:dyDescent="0.4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6.8" x14ac:dyDescent="0.4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6.8" x14ac:dyDescent="0.4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6.8" x14ac:dyDescent="0.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6.8" x14ac:dyDescent="0.4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6.8" x14ac:dyDescent="0.4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6.8" x14ac:dyDescent="0.4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6.8" x14ac:dyDescent="0.4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6.8" x14ac:dyDescent="0.4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6.8" x14ac:dyDescent="0.4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6.8" x14ac:dyDescent="0.4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6.8" x14ac:dyDescent="0.4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6.8" x14ac:dyDescent="0.4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6.8" x14ac:dyDescent="0.4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6.8" x14ac:dyDescent="0.4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6.8" x14ac:dyDescent="0.4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6.8" x14ac:dyDescent="0.4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6.8" x14ac:dyDescent="0.4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6.8" x14ac:dyDescent="0.4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6.8" x14ac:dyDescent="0.4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6.8" x14ac:dyDescent="0.4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6.8" x14ac:dyDescent="0.4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6.8" x14ac:dyDescent="0.4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6.8" x14ac:dyDescent="0.4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6.8" x14ac:dyDescent="0.4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6.8" x14ac:dyDescent="0.4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6.8" x14ac:dyDescent="0.4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6.8" x14ac:dyDescent="0.4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6.8" x14ac:dyDescent="0.4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6.8" x14ac:dyDescent="0.4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6.8" x14ac:dyDescent="0.4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6.8" x14ac:dyDescent="0.4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6.8" x14ac:dyDescent="0.4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6.8" x14ac:dyDescent="0.4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6.8" x14ac:dyDescent="0.4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6.8" x14ac:dyDescent="0.4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6.8" x14ac:dyDescent="0.4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6.8" x14ac:dyDescent="0.4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6.8" x14ac:dyDescent="0.4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6.8" x14ac:dyDescent="0.4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6.8" x14ac:dyDescent="0.4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6.8" x14ac:dyDescent="0.4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6.8" x14ac:dyDescent="0.4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6.8" x14ac:dyDescent="0.4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6.8" x14ac:dyDescent="0.4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6.8" x14ac:dyDescent="0.4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6.8" x14ac:dyDescent="0.4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6.8" x14ac:dyDescent="0.4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6.8" x14ac:dyDescent="0.4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6.8" x14ac:dyDescent="0.4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6.8" x14ac:dyDescent="0.4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6.8" x14ac:dyDescent="0.4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6.8" x14ac:dyDescent="0.4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6.8" x14ac:dyDescent="0.4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6.8" x14ac:dyDescent="0.4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6.8" x14ac:dyDescent="0.4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6.8" x14ac:dyDescent="0.4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6.8" x14ac:dyDescent="0.4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6.8" x14ac:dyDescent="0.4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6.8" x14ac:dyDescent="0.4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6.8" x14ac:dyDescent="0.4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6.8" x14ac:dyDescent="0.4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6.8" x14ac:dyDescent="0.4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6.8" x14ac:dyDescent="0.4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6.8" x14ac:dyDescent="0.4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6.8" x14ac:dyDescent="0.4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6.8" x14ac:dyDescent="0.4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6.8" x14ac:dyDescent="0.4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6.8" x14ac:dyDescent="0.4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6.8" x14ac:dyDescent="0.4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6.8" x14ac:dyDescent="0.4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6.8" x14ac:dyDescent="0.4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6.8" x14ac:dyDescent="0.4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6.8" x14ac:dyDescent="0.4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6.8" x14ac:dyDescent="0.4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6.8" x14ac:dyDescent="0.4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6.8" x14ac:dyDescent="0.4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6.8" x14ac:dyDescent="0.4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6.8" x14ac:dyDescent="0.4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6.8" x14ac:dyDescent="0.4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6.8" x14ac:dyDescent="0.4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6.8" x14ac:dyDescent="0.4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6.8" x14ac:dyDescent="0.4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6.8" x14ac:dyDescent="0.4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6.8" x14ac:dyDescent="0.4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6.8" x14ac:dyDescent="0.4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6.8" x14ac:dyDescent="0.4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6.8" x14ac:dyDescent="0.4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6.8" x14ac:dyDescent="0.4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6.8" x14ac:dyDescent="0.4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6.8" x14ac:dyDescent="0.4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6.8" x14ac:dyDescent="0.4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6.8" x14ac:dyDescent="0.4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6.8" x14ac:dyDescent="0.4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6.8" x14ac:dyDescent="0.4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6.8" x14ac:dyDescent="0.4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6.8" x14ac:dyDescent="0.4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6.8" x14ac:dyDescent="0.4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6.8" x14ac:dyDescent="0.4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6.8" x14ac:dyDescent="0.4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6.8" x14ac:dyDescent="0.4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6.8" x14ac:dyDescent="0.4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6.8" x14ac:dyDescent="0.4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6.8" x14ac:dyDescent="0.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6.8" x14ac:dyDescent="0.4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6.8" x14ac:dyDescent="0.4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6.8" x14ac:dyDescent="0.4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6.8" x14ac:dyDescent="0.4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6.8" x14ac:dyDescent="0.4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6.8" x14ac:dyDescent="0.4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6.8" x14ac:dyDescent="0.4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6.8" x14ac:dyDescent="0.4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6.8" x14ac:dyDescent="0.4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6.8" x14ac:dyDescent="0.4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6.8" x14ac:dyDescent="0.4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6.8" x14ac:dyDescent="0.4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6.8" x14ac:dyDescent="0.4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6.8" x14ac:dyDescent="0.4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6.8" x14ac:dyDescent="0.4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6.8" x14ac:dyDescent="0.4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6.8" x14ac:dyDescent="0.4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6.8" x14ac:dyDescent="0.4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6.8" x14ac:dyDescent="0.4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6.8" x14ac:dyDescent="0.4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6.8" x14ac:dyDescent="0.4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6.8" x14ac:dyDescent="0.4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6.8" x14ac:dyDescent="0.4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6.8" x14ac:dyDescent="0.4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6.8" x14ac:dyDescent="0.4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6.8" x14ac:dyDescent="0.4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6.8" x14ac:dyDescent="0.4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6.8" x14ac:dyDescent="0.4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6.8" x14ac:dyDescent="0.4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6.8" x14ac:dyDescent="0.4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6.8" x14ac:dyDescent="0.4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6.8" x14ac:dyDescent="0.4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6.8" x14ac:dyDescent="0.4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6.8" x14ac:dyDescent="0.4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6.8" x14ac:dyDescent="0.4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6.8" x14ac:dyDescent="0.4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6.8" x14ac:dyDescent="0.4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6.8" x14ac:dyDescent="0.4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6.8" x14ac:dyDescent="0.4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6.8" x14ac:dyDescent="0.4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6.8" x14ac:dyDescent="0.4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6.8" x14ac:dyDescent="0.4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6.8" x14ac:dyDescent="0.4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6.8" x14ac:dyDescent="0.4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6.8" x14ac:dyDescent="0.4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6.8" x14ac:dyDescent="0.4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6.8" x14ac:dyDescent="0.4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6.8" x14ac:dyDescent="0.4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6.8" x14ac:dyDescent="0.4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6.8" x14ac:dyDescent="0.4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6.8" x14ac:dyDescent="0.4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6.8" x14ac:dyDescent="0.4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6.8" x14ac:dyDescent="0.4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6.8" x14ac:dyDescent="0.4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6.8" x14ac:dyDescent="0.4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6.8" x14ac:dyDescent="0.4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6.8" x14ac:dyDescent="0.4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6.8" x14ac:dyDescent="0.4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6.8" x14ac:dyDescent="0.4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6.8" x14ac:dyDescent="0.4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6.8" x14ac:dyDescent="0.4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6.8" x14ac:dyDescent="0.4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6.8" x14ac:dyDescent="0.4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6.8" x14ac:dyDescent="0.4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6.8" x14ac:dyDescent="0.4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6.8" x14ac:dyDescent="0.4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6.8" x14ac:dyDescent="0.4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6.8" x14ac:dyDescent="0.4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6.8" x14ac:dyDescent="0.4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6.8" x14ac:dyDescent="0.4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6.8" x14ac:dyDescent="0.4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6.8" x14ac:dyDescent="0.4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6.8" x14ac:dyDescent="0.4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6.8" x14ac:dyDescent="0.4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6.8" x14ac:dyDescent="0.4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6.8" x14ac:dyDescent="0.4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6.8" x14ac:dyDescent="0.4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6.8" x14ac:dyDescent="0.4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6.8" x14ac:dyDescent="0.4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6.8" x14ac:dyDescent="0.4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6.8" x14ac:dyDescent="0.4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6.8" x14ac:dyDescent="0.4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6.8" x14ac:dyDescent="0.4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6.8" x14ac:dyDescent="0.4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6.8" x14ac:dyDescent="0.4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6.8" x14ac:dyDescent="0.4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6.8" x14ac:dyDescent="0.4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6.8" x14ac:dyDescent="0.4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6.8" x14ac:dyDescent="0.4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6.8" x14ac:dyDescent="0.4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6.8" x14ac:dyDescent="0.4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6.8" x14ac:dyDescent="0.4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6.8" x14ac:dyDescent="0.4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6.8" x14ac:dyDescent="0.4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6.8" x14ac:dyDescent="0.4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6.8" x14ac:dyDescent="0.4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6.8" x14ac:dyDescent="0.4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6.8" x14ac:dyDescent="0.4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6.8" x14ac:dyDescent="0.4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6.8" x14ac:dyDescent="0.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6.8" x14ac:dyDescent="0.4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6.8" x14ac:dyDescent="0.4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6.8" x14ac:dyDescent="0.4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6.8" x14ac:dyDescent="0.4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6.8" x14ac:dyDescent="0.4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6.8" x14ac:dyDescent="0.4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6.8" x14ac:dyDescent="0.4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6.8" x14ac:dyDescent="0.4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6.8" x14ac:dyDescent="0.4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6.8" x14ac:dyDescent="0.4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6.8" x14ac:dyDescent="0.4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6.8" x14ac:dyDescent="0.4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6.8" x14ac:dyDescent="0.4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6.8" x14ac:dyDescent="0.4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6.8" x14ac:dyDescent="0.4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6.8" x14ac:dyDescent="0.4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6.8" x14ac:dyDescent="0.4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6.8" x14ac:dyDescent="0.4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6.8" x14ac:dyDescent="0.4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6.8" x14ac:dyDescent="0.4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6.8" x14ac:dyDescent="0.4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6.8" x14ac:dyDescent="0.4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6.8" x14ac:dyDescent="0.4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6.8" x14ac:dyDescent="0.4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6.8" x14ac:dyDescent="0.4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6.8" x14ac:dyDescent="0.4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6.8" x14ac:dyDescent="0.4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6.8" x14ac:dyDescent="0.4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6.8" x14ac:dyDescent="0.4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6.8" x14ac:dyDescent="0.4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6.8" x14ac:dyDescent="0.4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6.8" x14ac:dyDescent="0.4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6.8" x14ac:dyDescent="0.4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6.8" x14ac:dyDescent="0.4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6.8" x14ac:dyDescent="0.4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6.8" x14ac:dyDescent="0.4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6.8" x14ac:dyDescent="0.4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6.8" x14ac:dyDescent="0.4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6.8" x14ac:dyDescent="0.4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6.8" x14ac:dyDescent="0.4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6.8" x14ac:dyDescent="0.4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6.8" x14ac:dyDescent="0.4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6.8" x14ac:dyDescent="0.4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6.8" x14ac:dyDescent="0.4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6.8" x14ac:dyDescent="0.4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6.8" x14ac:dyDescent="0.4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6.8" x14ac:dyDescent="0.4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6.8" x14ac:dyDescent="0.4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6.8" x14ac:dyDescent="0.4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6.8" x14ac:dyDescent="0.4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6.8" x14ac:dyDescent="0.4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6.8" x14ac:dyDescent="0.4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6.8" x14ac:dyDescent="0.4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6.8" x14ac:dyDescent="0.4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6.8" x14ac:dyDescent="0.4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6.8" x14ac:dyDescent="0.4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6.8" x14ac:dyDescent="0.4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6.8" x14ac:dyDescent="0.4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6.8" x14ac:dyDescent="0.4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6.8" x14ac:dyDescent="0.4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6.8" x14ac:dyDescent="0.4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6.8" x14ac:dyDescent="0.4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6.8" x14ac:dyDescent="0.4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6.8" x14ac:dyDescent="0.4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6.8" x14ac:dyDescent="0.4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6.8" x14ac:dyDescent="0.4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6.8" x14ac:dyDescent="0.4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6.8" x14ac:dyDescent="0.4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6.8" x14ac:dyDescent="0.4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6.8" x14ac:dyDescent="0.4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6.8" x14ac:dyDescent="0.4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6.8" x14ac:dyDescent="0.4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6.8" x14ac:dyDescent="0.4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6.8" x14ac:dyDescent="0.4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6.8" x14ac:dyDescent="0.4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6.8" x14ac:dyDescent="0.4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6.8" x14ac:dyDescent="0.4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6.8" x14ac:dyDescent="0.4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6.8" x14ac:dyDescent="0.4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6.8" x14ac:dyDescent="0.4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6.8" x14ac:dyDescent="0.4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6.8" x14ac:dyDescent="0.4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6.8" x14ac:dyDescent="0.4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6.8" x14ac:dyDescent="0.4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6.8" x14ac:dyDescent="0.4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6.8" x14ac:dyDescent="0.4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6.8" x14ac:dyDescent="0.4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6.8" x14ac:dyDescent="0.4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6.8" x14ac:dyDescent="0.4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6.8" x14ac:dyDescent="0.4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6.8" x14ac:dyDescent="0.4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6.8" x14ac:dyDescent="0.4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6.8" x14ac:dyDescent="0.4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6.8" x14ac:dyDescent="0.4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6.8" x14ac:dyDescent="0.4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6.8" x14ac:dyDescent="0.4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6.8" x14ac:dyDescent="0.4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6.8" x14ac:dyDescent="0.4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6.8" x14ac:dyDescent="0.4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6.8" x14ac:dyDescent="0.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6.8" x14ac:dyDescent="0.4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6.8" x14ac:dyDescent="0.4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6.8" x14ac:dyDescent="0.4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6.8" x14ac:dyDescent="0.4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6.8" x14ac:dyDescent="0.4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6.8" x14ac:dyDescent="0.4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6.8" x14ac:dyDescent="0.4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6.8" x14ac:dyDescent="0.4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6.8" x14ac:dyDescent="0.4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6.8" x14ac:dyDescent="0.4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6.8" x14ac:dyDescent="0.4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6.8" x14ac:dyDescent="0.4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6.8" x14ac:dyDescent="0.4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6.8" x14ac:dyDescent="0.4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6.8" x14ac:dyDescent="0.4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6.8" x14ac:dyDescent="0.4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6.8" x14ac:dyDescent="0.4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6.8" x14ac:dyDescent="0.4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6.8" x14ac:dyDescent="0.4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6.8" x14ac:dyDescent="0.4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6.8" x14ac:dyDescent="0.4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6.8" x14ac:dyDescent="0.4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6.8" x14ac:dyDescent="0.4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6.8" x14ac:dyDescent="0.4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6.8" x14ac:dyDescent="0.4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6.8" x14ac:dyDescent="0.4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6.8" x14ac:dyDescent="0.4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6.8" x14ac:dyDescent="0.4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6.8" x14ac:dyDescent="0.4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6.8" x14ac:dyDescent="0.4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6.8" x14ac:dyDescent="0.4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6.8" x14ac:dyDescent="0.4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6.8" x14ac:dyDescent="0.4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6.8" x14ac:dyDescent="0.4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6.8" x14ac:dyDescent="0.4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6.8" x14ac:dyDescent="0.4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6.8" x14ac:dyDescent="0.4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6.8" x14ac:dyDescent="0.4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6.8" x14ac:dyDescent="0.4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6.8" x14ac:dyDescent="0.4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6.8" x14ac:dyDescent="0.4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6.8" x14ac:dyDescent="0.4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6.8" x14ac:dyDescent="0.4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6.8" x14ac:dyDescent="0.4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6.8" x14ac:dyDescent="0.4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6.8" x14ac:dyDescent="0.4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6.8" x14ac:dyDescent="0.4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6.8" x14ac:dyDescent="0.4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6.8" x14ac:dyDescent="0.4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6.8" x14ac:dyDescent="0.4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6.8" x14ac:dyDescent="0.4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6.8" x14ac:dyDescent="0.4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6.8" x14ac:dyDescent="0.4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6.8" x14ac:dyDescent="0.4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6.8" x14ac:dyDescent="0.4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6.8" x14ac:dyDescent="0.4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6.8" x14ac:dyDescent="0.4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6.8" x14ac:dyDescent="0.4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6.8" x14ac:dyDescent="0.4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6.8" x14ac:dyDescent="0.4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6.8" x14ac:dyDescent="0.4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6.8" x14ac:dyDescent="0.4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6.8" x14ac:dyDescent="0.4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6.8" x14ac:dyDescent="0.4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6.8" x14ac:dyDescent="0.4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6.8" x14ac:dyDescent="0.4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6.8" x14ac:dyDescent="0.4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6.8" x14ac:dyDescent="0.4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6.8" x14ac:dyDescent="0.4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6.8" x14ac:dyDescent="0.4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6.8" x14ac:dyDescent="0.4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6.8" x14ac:dyDescent="0.4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6.8" x14ac:dyDescent="0.4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6.8" x14ac:dyDescent="0.4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6.8" x14ac:dyDescent="0.4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6.8" x14ac:dyDescent="0.4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6.8" x14ac:dyDescent="0.4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6.8" x14ac:dyDescent="0.4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6.8" x14ac:dyDescent="0.4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6.8" x14ac:dyDescent="0.4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6.8" x14ac:dyDescent="0.4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6.8" x14ac:dyDescent="0.4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6.8" x14ac:dyDescent="0.4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6.8" x14ac:dyDescent="0.4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6.8" x14ac:dyDescent="0.4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6.8" x14ac:dyDescent="0.4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6.8" x14ac:dyDescent="0.4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6.8" x14ac:dyDescent="0.4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6.8" x14ac:dyDescent="0.4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6.8" x14ac:dyDescent="0.4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6.8" x14ac:dyDescent="0.4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6.8" x14ac:dyDescent="0.4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6.8" x14ac:dyDescent="0.4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6.8" x14ac:dyDescent="0.4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6.8" x14ac:dyDescent="0.4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6.8" x14ac:dyDescent="0.4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6.8" x14ac:dyDescent="0.4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6.8" x14ac:dyDescent="0.4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6.8" x14ac:dyDescent="0.4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6.8" x14ac:dyDescent="0.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6.8" x14ac:dyDescent="0.4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6.8" x14ac:dyDescent="0.4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6.8" x14ac:dyDescent="0.4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6.8" x14ac:dyDescent="0.4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6.8" x14ac:dyDescent="0.4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6.8" x14ac:dyDescent="0.4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6.8" x14ac:dyDescent="0.4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6.8" x14ac:dyDescent="0.4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6.8" x14ac:dyDescent="0.4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6.8" x14ac:dyDescent="0.4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6.8" x14ac:dyDescent="0.4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6.8" x14ac:dyDescent="0.4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6.8" x14ac:dyDescent="0.4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6.8" x14ac:dyDescent="0.4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6.8" x14ac:dyDescent="0.4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6.8" x14ac:dyDescent="0.4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6.8" x14ac:dyDescent="0.4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6.8" x14ac:dyDescent="0.4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6.8" x14ac:dyDescent="0.4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6.8" x14ac:dyDescent="0.4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6.8" x14ac:dyDescent="0.4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6.8" x14ac:dyDescent="0.4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6.8" x14ac:dyDescent="0.4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6.8" x14ac:dyDescent="0.4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6.8" x14ac:dyDescent="0.4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6.8" x14ac:dyDescent="0.4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6.8" x14ac:dyDescent="0.4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6.8" x14ac:dyDescent="0.4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6.8" x14ac:dyDescent="0.4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6.8" x14ac:dyDescent="0.4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6.8" x14ac:dyDescent="0.4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6.8" x14ac:dyDescent="0.4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6.8" x14ac:dyDescent="0.4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6.8" x14ac:dyDescent="0.4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6.8" x14ac:dyDescent="0.4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6.8" x14ac:dyDescent="0.4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6.8" x14ac:dyDescent="0.4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6.8" x14ac:dyDescent="0.4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6.8" x14ac:dyDescent="0.4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6.8" x14ac:dyDescent="0.4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6.8" x14ac:dyDescent="0.4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6.8" x14ac:dyDescent="0.4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6.8" x14ac:dyDescent="0.4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6.8" x14ac:dyDescent="0.4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6.8" x14ac:dyDescent="0.4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6.8" x14ac:dyDescent="0.4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6.8" x14ac:dyDescent="0.4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6.8" x14ac:dyDescent="0.4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6.8" x14ac:dyDescent="0.4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6.8" x14ac:dyDescent="0.4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6.8" x14ac:dyDescent="0.4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6.8" x14ac:dyDescent="0.4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6.8" x14ac:dyDescent="0.4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6.8" x14ac:dyDescent="0.4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6.8" x14ac:dyDescent="0.4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6.8" x14ac:dyDescent="0.4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6.8" x14ac:dyDescent="0.4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6.8" x14ac:dyDescent="0.4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6.8" x14ac:dyDescent="0.4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6.8" x14ac:dyDescent="0.4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6.8" x14ac:dyDescent="0.4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6.8" x14ac:dyDescent="0.4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6.8" x14ac:dyDescent="0.4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6.8" x14ac:dyDescent="0.4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6.8" x14ac:dyDescent="0.4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6.8" x14ac:dyDescent="0.4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6.8" x14ac:dyDescent="0.4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6.8" x14ac:dyDescent="0.4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6.8" x14ac:dyDescent="0.4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6.8" x14ac:dyDescent="0.4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6.8" x14ac:dyDescent="0.4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6.8" x14ac:dyDescent="0.4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6.8" x14ac:dyDescent="0.4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6.8" x14ac:dyDescent="0.4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6.8" x14ac:dyDescent="0.4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6.8" x14ac:dyDescent="0.4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6.8" x14ac:dyDescent="0.4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6.8" x14ac:dyDescent="0.4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6.8" x14ac:dyDescent="0.4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6.8" x14ac:dyDescent="0.4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6.8" x14ac:dyDescent="0.4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6.8" x14ac:dyDescent="0.4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6.8" x14ac:dyDescent="0.4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6.8" x14ac:dyDescent="0.4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6.8" x14ac:dyDescent="0.4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6.8" x14ac:dyDescent="0.4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6.8" x14ac:dyDescent="0.4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6.8" x14ac:dyDescent="0.4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6.8" x14ac:dyDescent="0.4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6.8" x14ac:dyDescent="0.4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6.8" x14ac:dyDescent="0.4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6.8" x14ac:dyDescent="0.4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6.8" x14ac:dyDescent="0.4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6.8" x14ac:dyDescent="0.4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6.8" x14ac:dyDescent="0.4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6.8" x14ac:dyDescent="0.4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6.8" x14ac:dyDescent="0.4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6.8" x14ac:dyDescent="0.4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6.8" x14ac:dyDescent="0.4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6.8" x14ac:dyDescent="0.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6.8" x14ac:dyDescent="0.4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6.8" x14ac:dyDescent="0.4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6.8" x14ac:dyDescent="0.4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6.8" x14ac:dyDescent="0.4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6.8" x14ac:dyDescent="0.4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6.8" x14ac:dyDescent="0.4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6.8" x14ac:dyDescent="0.4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6.8" x14ac:dyDescent="0.4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6.8" x14ac:dyDescent="0.4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6.8" x14ac:dyDescent="0.4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6.8" x14ac:dyDescent="0.4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6.8" x14ac:dyDescent="0.4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6.8" x14ac:dyDescent="0.4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6.8" x14ac:dyDescent="0.4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6.8" x14ac:dyDescent="0.4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6.8" x14ac:dyDescent="0.4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6.8" x14ac:dyDescent="0.4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6.8" x14ac:dyDescent="0.4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6.8" x14ac:dyDescent="0.4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6.8" x14ac:dyDescent="0.4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6.8" x14ac:dyDescent="0.4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6.8" x14ac:dyDescent="0.4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6.8" x14ac:dyDescent="0.4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6.8" x14ac:dyDescent="0.4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6.8" x14ac:dyDescent="0.4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6.8" x14ac:dyDescent="0.4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6.8" x14ac:dyDescent="0.4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6.8" x14ac:dyDescent="0.4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6.8" x14ac:dyDescent="0.4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6.8" x14ac:dyDescent="0.4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6.8" x14ac:dyDescent="0.4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6.8" x14ac:dyDescent="0.4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6.8" x14ac:dyDescent="0.4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6.8" x14ac:dyDescent="0.4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6.8" x14ac:dyDescent="0.4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6.8" x14ac:dyDescent="0.4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6.8" x14ac:dyDescent="0.4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6.8" x14ac:dyDescent="0.4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6.8" x14ac:dyDescent="0.4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6.8" x14ac:dyDescent="0.4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6.8" x14ac:dyDescent="0.4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6.8" x14ac:dyDescent="0.4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6.8" x14ac:dyDescent="0.4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6.8" x14ac:dyDescent="0.4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6.8" x14ac:dyDescent="0.4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6.8" x14ac:dyDescent="0.4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6.8" x14ac:dyDescent="0.4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6.8" x14ac:dyDescent="0.4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6.8" x14ac:dyDescent="0.4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6.8" x14ac:dyDescent="0.4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6.8" x14ac:dyDescent="0.4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6.8" x14ac:dyDescent="0.4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6.8" x14ac:dyDescent="0.4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6.8" x14ac:dyDescent="0.4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6.8" x14ac:dyDescent="0.4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6.8" x14ac:dyDescent="0.4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6.8" x14ac:dyDescent="0.4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6.8" x14ac:dyDescent="0.4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6.8" x14ac:dyDescent="0.4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6.8" x14ac:dyDescent="0.4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6.8" x14ac:dyDescent="0.4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6.8" x14ac:dyDescent="0.4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6.8" x14ac:dyDescent="0.4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6.8" x14ac:dyDescent="0.4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6.8" x14ac:dyDescent="0.4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6.8" x14ac:dyDescent="0.4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6.8" x14ac:dyDescent="0.4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6.8" x14ac:dyDescent="0.4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6.8" x14ac:dyDescent="0.4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6.8" x14ac:dyDescent="0.4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6.8" x14ac:dyDescent="0.4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6.8" x14ac:dyDescent="0.4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6.8" x14ac:dyDescent="0.4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6.8" x14ac:dyDescent="0.4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6.8" x14ac:dyDescent="0.4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6.8" x14ac:dyDescent="0.4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6.8" x14ac:dyDescent="0.4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6.8" x14ac:dyDescent="0.4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6.8" x14ac:dyDescent="0.4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6.8" x14ac:dyDescent="0.4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6.8" x14ac:dyDescent="0.4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6.8" x14ac:dyDescent="0.4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6.8" x14ac:dyDescent="0.4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6.8" x14ac:dyDescent="0.4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6.8" x14ac:dyDescent="0.4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6.8" x14ac:dyDescent="0.4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6.8" x14ac:dyDescent="0.4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6.8" x14ac:dyDescent="0.4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6.8" x14ac:dyDescent="0.4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6.8" x14ac:dyDescent="0.4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6.8" x14ac:dyDescent="0.4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6.8" x14ac:dyDescent="0.4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6.8" x14ac:dyDescent="0.4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6.8" x14ac:dyDescent="0.4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6.8" x14ac:dyDescent="0.4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6.8" x14ac:dyDescent="0.4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6.8" x14ac:dyDescent="0.4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6.8" x14ac:dyDescent="0.4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6.8" x14ac:dyDescent="0.4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6.8" x14ac:dyDescent="0.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6.8" x14ac:dyDescent="0.4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6.8" x14ac:dyDescent="0.4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6.8" x14ac:dyDescent="0.4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6.8" x14ac:dyDescent="0.4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6.8" x14ac:dyDescent="0.4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6.8" x14ac:dyDescent="0.4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6.8" x14ac:dyDescent="0.4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6.8" x14ac:dyDescent="0.4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6.8" x14ac:dyDescent="0.4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6.8" x14ac:dyDescent="0.4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6.8" x14ac:dyDescent="0.4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6.8" x14ac:dyDescent="0.4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6.8" x14ac:dyDescent="0.4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6.8" x14ac:dyDescent="0.4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6.8" x14ac:dyDescent="0.4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6.8" x14ac:dyDescent="0.4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6.8" x14ac:dyDescent="0.4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6.8" x14ac:dyDescent="0.4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6.8" x14ac:dyDescent="0.4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6.8" x14ac:dyDescent="0.4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6.8" x14ac:dyDescent="0.4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6.8" x14ac:dyDescent="0.4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6.8" x14ac:dyDescent="0.4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6.8" x14ac:dyDescent="0.4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6.8" x14ac:dyDescent="0.4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6.8" x14ac:dyDescent="0.4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6.8" x14ac:dyDescent="0.4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6.8" x14ac:dyDescent="0.4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6.8" x14ac:dyDescent="0.4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6.8" x14ac:dyDescent="0.4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6.8" x14ac:dyDescent="0.4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6.8" x14ac:dyDescent="0.4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6.8" x14ac:dyDescent="0.4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6.8" x14ac:dyDescent="0.4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6.8" x14ac:dyDescent="0.4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6.8" x14ac:dyDescent="0.4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6.8" x14ac:dyDescent="0.4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6.8" x14ac:dyDescent="0.4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6.8" x14ac:dyDescent="0.4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6.8" x14ac:dyDescent="0.4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6.8" x14ac:dyDescent="0.4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6.8" x14ac:dyDescent="0.4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6.8" x14ac:dyDescent="0.4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6.8" x14ac:dyDescent="0.4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6.8" x14ac:dyDescent="0.4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6.8" x14ac:dyDescent="0.4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6.8" x14ac:dyDescent="0.4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6.8" x14ac:dyDescent="0.4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6.8" x14ac:dyDescent="0.4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6.8" x14ac:dyDescent="0.4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6.8" x14ac:dyDescent="0.4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6.8" x14ac:dyDescent="0.4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6.8" x14ac:dyDescent="0.4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6.8" x14ac:dyDescent="0.4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6.8" x14ac:dyDescent="0.4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6.8" x14ac:dyDescent="0.4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6.8" x14ac:dyDescent="0.4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6.8" x14ac:dyDescent="0.4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6.8" x14ac:dyDescent="0.4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6.8" x14ac:dyDescent="0.4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6.8" x14ac:dyDescent="0.4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6.8" x14ac:dyDescent="0.4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6.8" x14ac:dyDescent="0.4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6.8" x14ac:dyDescent="0.4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6.8" x14ac:dyDescent="0.4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6.8" x14ac:dyDescent="0.4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6.8" x14ac:dyDescent="0.4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6.8" x14ac:dyDescent="0.4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6.8" x14ac:dyDescent="0.4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6.8" x14ac:dyDescent="0.4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6.8" x14ac:dyDescent="0.4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6.8" x14ac:dyDescent="0.4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6.8" x14ac:dyDescent="0.4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6.8" x14ac:dyDescent="0.4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6.8" x14ac:dyDescent="0.4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6.8" x14ac:dyDescent="0.4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6.8" x14ac:dyDescent="0.4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6.8" x14ac:dyDescent="0.4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6.8" x14ac:dyDescent="0.4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6.8" x14ac:dyDescent="0.4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6.8" x14ac:dyDescent="0.4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6.8" x14ac:dyDescent="0.4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6.8" x14ac:dyDescent="0.4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6.8" x14ac:dyDescent="0.4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6.8" x14ac:dyDescent="0.4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6.8" x14ac:dyDescent="0.4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6.8" x14ac:dyDescent="0.4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6.8" x14ac:dyDescent="0.4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6.8" x14ac:dyDescent="0.4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6.8" x14ac:dyDescent="0.4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6.8" x14ac:dyDescent="0.4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6.8" x14ac:dyDescent="0.4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6.8" x14ac:dyDescent="0.4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6.8" x14ac:dyDescent="0.4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6.8" x14ac:dyDescent="0.4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6.8" x14ac:dyDescent="0.4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6.8" x14ac:dyDescent="0.4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6.8" x14ac:dyDescent="0.4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6.8" x14ac:dyDescent="0.4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6.8" x14ac:dyDescent="0.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6.8" x14ac:dyDescent="0.4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6.8" x14ac:dyDescent="0.4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6.8" x14ac:dyDescent="0.4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6.8" x14ac:dyDescent="0.4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6.8" x14ac:dyDescent="0.4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6.8" x14ac:dyDescent="0.4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6.8" x14ac:dyDescent="0.4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6.8" x14ac:dyDescent="0.4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6.8" x14ac:dyDescent="0.4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6.8" x14ac:dyDescent="0.4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6.8" x14ac:dyDescent="0.4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6.8" x14ac:dyDescent="0.4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6.8" x14ac:dyDescent="0.4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6.8" x14ac:dyDescent="0.4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6.8" x14ac:dyDescent="0.4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6.8" x14ac:dyDescent="0.4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6.8" x14ac:dyDescent="0.4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6.8" x14ac:dyDescent="0.4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6.8" x14ac:dyDescent="0.4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6.8" x14ac:dyDescent="0.4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6.8" x14ac:dyDescent="0.4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6.8" x14ac:dyDescent="0.4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6.8" x14ac:dyDescent="0.4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6.8" x14ac:dyDescent="0.4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6.8" x14ac:dyDescent="0.4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6.8" x14ac:dyDescent="0.4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6.8" x14ac:dyDescent="0.4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6.8" x14ac:dyDescent="0.4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6.8" x14ac:dyDescent="0.4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6.8" x14ac:dyDescent="0.4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6.8" x14ac:dyDescent="0.4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6.8" x14ac:dyDescent="0.4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6.8" x14ac:dyDescent="0.4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6.8" x14ac:dyDescent="0.4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6.8" x14ac:dyDescent="0.4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6.8" x14ac:dyDescent="0.4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6.8" x14ac:dyDescent="0.4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6.8" x14ac:dyDescent="0.4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6.8" x14ac:dyDescent="0.4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6.8" x14ac:dyDescent="0.4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6.8" x14ac:dyDescent="0.4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6.8" x14ac:dyDescent="0.4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6.8" x14ac:dyDescent="0.4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6.8" x14ac:dyDescent="0.4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6.8" x14ac:dyDescent="0.4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6.8" x14ac:dyDescent="0.4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6.8" x14ac:dyDescent="0.4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6.8" x14ac:dyDescent="0.4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6.8" x14ac:dyDescent="0.4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6.8" x14ac:dyDescent="0.4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6.8" x14ac:dyDescent="0.4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6.8" x14ac:dyDescent="0.4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6.8" x14ac:dyDescent="0.4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6.8" x14ac:dyDescent="0.4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6.8" x14ac:dyDescent="0.4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6.8" x14ac:dyDescent="0.4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6.8" x14ac:dyDescent="0.4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6.8" x14ac:dyDescent="0.4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6.8" x14ac:dyDescent="0.4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6.8" x14ac:dyDescent="0.4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6.8" x14ac:dyDescent="0.4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6.8" x14ac:dyDescent="0.4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6.8" x14ac:dyDescent="0.4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6.8" x14ac:dyDescent="0.4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6.8" x14ac:dyDescent="0.4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6.8" x14ac:dyDescent="0.4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6.8" x14ac:dyDescent="0.4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6.8" x14ac:dyDescent="0.4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6.8" x14ac:dyDescent="0.4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6.8" x14ac:dyDescent="0.4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6.8" x14ac:dyDescent="0.4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6.8" x14ac:dyDescent="0.4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6.8" x14ac:dyDescent="0.4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6.8" x14ac:dyDescent="0.4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6.8" x14ac:dyDescent="0.4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6.8" x14ac:dyDescent="0.4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6.8" x14ac:dyDescent="0.4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6.8" x14ac:dyDescent="0.4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6.8" x14ac:dyDescent="0.4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6.8" x14ac:dyDescent="0.4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6.8" x14ac:dyDescent="0.4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6.8" x14ac:dyDescent="0.4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6.8" x14ac:dyDescent="0.4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6.8" x14ac:dyDescent="0.4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6.8" x14ac:dyDescent="0.4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6.8" x14ac:dyDescent="0.4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6.8" x14ac:dyDescent="0.4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6.8" x14ac:dyDescent="0.4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6.8" x14ac:dyDescent="0.4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6.8" x14ac:dyDescent="0.4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6.8" x14ac:dyDescent="0.4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6.8" x14ac:dyDescent="0.4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6.8" x14ac:dyDescent="0.4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6.8" x14ac:dyDescent="0.4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6.8" x14ac:dyDescent="0.4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6.8" x14ac:dyDescent="0.4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6.8" x14ac:dyDescent="0.4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6.8" x14ac:dyDescent="0.4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6.8" x14ac:dyDescent="0.4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6.8" x14ac:dyDescent="0.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6.8" x14ac:dyDescent="0.4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6.8" x14ac:dyDescent="0.4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6.8" x14ac:dyDescent="0.4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6.8" x14ac:dyDescent="0.4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6.8" x14ac:dyDescent="0.4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6.8" x14ac:dyDescent="0.4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6.8" x14ac:dyDescent="0.4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6.8" x14ac:dyDescent="0.4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6.8" x14ac:dyDescent="0.4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6.8" x14ac:dyDescent="0.4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6.8" x14ac:dyDescent="0.4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6.8" x14ac:dyDescent="0.4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6.8" x14ac:dyDescent="0.4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6.8" x14ac:dyDescent="0.4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6.8" x14ac:dyDescent="0.4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6.8" x14ac:dyDescent="0.4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6.8" x14ac:dyDescent="0.4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6.8" x14ac:dyDescent="0.4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6.8" x14ac:dyDescent="0.4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6.8" x14ac:dyDescent="0.4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6.8" x14ac:dyDescent="0.4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6.8" x14ac:dyDescent="0.4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6.8" x14ac:dyDescent="0.4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6.8" x14ac:dyDescent="0.4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6.8" x14ac:dyDescent="0.4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6.8" x14ac:dyDescent="0.4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6.8" x14ac:dyDescent="0.4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6.8" x14ac:dyDescent="0.4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6.8" x14ac:dyDescent="0.4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6.8" x14ac:dyDescent="0.4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6.8" x14ac:dyDescent="0.4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6.8" x14ac:dyDescent="0.4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6.8" x14ac:dyDescent="0.4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6.8" x14ac:dyDescent="0.4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6.8" x14ac:dyDescent="0.4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6.8" x14ac:dyDescent="0.4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6.8" x14ac:dyDescent="0.4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6.8" x14ac:dyDescent="0.4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6.8" x14ac:dyDescent="0.4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6.8" x14ac:dyDescent="0.4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6.8" x14ac:dyDescent="0.4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6.8" x14ac:dyDescent="0.4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6.8" x14ac:dyDescent="0.4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6.8" x14ac:dyDescent="0.4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6.8" x14ac:dyDescent="0.4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6.8" x14ac:dyDescent="0.4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6.8" x14ac:dyDescent="0.4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6.8" x14ac:dyDescent="0.4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6.8" x14ac:dyDescent="0.4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6.8" x14ac:dyDescent="0.4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6.8" x14ac:dyDescent="0.4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6.8" x14ac:dyDescent="0.4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6.8" x14ac:dyDescent="0.4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6.8" x14ac:dyDescent="0.4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6.8" x14ac:dyDescent="0.4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6.8" x14ac:dyDescent="0.4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ht="16.8" x14ac:dyDescent="0.45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Y1001"/>
  <sheetViews>
    <sheetView workbookViewId="0"/>
  </sheetViews>
  <sheetFormatPr defaultColWidth="12.6640625" defaultRowHeight="15.75" customHeight="1" x14ac:dyDescent="0.25"/>
  <cols>
    <col min="1" max="7" width="12.6640625" customWidth="1"/>
  </cols>
  <sheetData>
    <row r="1" spans="1:25" ht="15.75" customHeight="1" x14ac:dyDescent="0.45">
      <c r="A1" s="8" t="s">
        <v>193</v>
      </c>
      <c r="B1" s="8"/>
      <c r="C1" s="8"/>
      <c r="D1" s="8"/>
      <c r="E1" s="8"/>
      <c r="F1" s="8"/>
      <c r="G1" s="8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15.75" customHeight="1" x14ac:dyDescent="0.45">
      <c r="A2" s="8" t="s">
        <v>22</v>
      </c>
      <c r="B2" s="8" t="s">
        <v>23</v>
      </c>
      <c r="C2" s="8" t="s">
        <v>24</v>
      </c>
      <c r="D2" s="8" t="s">
        <v>25</v>
      </c>
      <c r="E2" s="8" t="s">
        <v>26</v>
      </c>
      <c r="F2" s="8" t="s">
        <v>27</v>
      </c>
      <c r="G2" s="8" t="s">
        <v>28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ht="15.75" customHeight="1" x14ac:dyDescent="0.45">
      <c r="A3" s="9">
        <v>1</v>
      </c>
      <c r="B3" s="9" t="s">
        <v>29</v>
      </c>
      <c r="C3" s="9">
        <v>1994</v>
      </c>
      <c r="D3" s="9" t="s">
        <v>30</v>
      </c>
      <c r="E3" s="9">
        <v>142</v>
      </c>
      <c r="F3" s="9" t="s">
        <v>31</v>
      </c>
      <c r="G3" s="9">
        <v>9.3000000000000007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ht="15.75" customHeight="1" x14ac:dyDescent="0.45">
      <c r="A4" s="9">
        <v>2</v>
      </c>
      <c r="B4" s="9" t="s">
        <v>32</v>
      </c>
      <c r="C4" s="9">
        <v>1972</v>
      </c>
      <c r="D4" s="9" t="s">
        <v>30</v>
      </c>
      <c r="E4" s="9">
        <v>175</v>
      </c>
      <c r="F4" s="9" t="s">
        <v>33</v>
      </c>
      <c r="G4" s="9">
        <v>9.1999999999999993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15.75" customHeight="1" x14ac:dyDescent="0.45">
      <c r="A5" s="9">
        <v>3</v>
      </c>
      <c r="B5" s="9" t="s">
        <v>34</v>
      </c>
      <c r="C5" s="9">
        <v>2008</v>
      </c>
      <c r="D5" s="9" t="s">
        <v>35</v>
      </c>
      <c r="E5" s="9">
        <v>152</v>
      </c>
      <c r="F5" s="9" t="s">
        <v>36</v>
      </c>
      <c r="G5" s="9">
        <v>9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 ht="15.75" customHeight="1" x14ac:dyDescent="0.45">
      <c r="A6" s="9">
        <v>4</v>
      </c>
      <c r="B6" s="9" t="s">
        <v>37</v>
      </c>
      <c r="C6" s="9">
        <v>1974</v>
      </c>
      <c r="D6" s="9" t="s">
        <v>30</v>
      </c>
      <c r="E6" s="9">
        <v>202</v>
      </c>
      <c r="F6" s="9" t="s">
        <v>33</v>
      </c>
      <c r="G6" s="9">
        <v>9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spans="1:25" ht="15.75" customHeight="1" x14ac:dyDescent="0.45">
      <c r="A7" s="9">
        <v>5</v>
      </c>
      <c r="B7" s="9" t="s">
        <v>38</v>
      </c>
      <c r="C7" s="9">
        <v>2003</v>
      </c>
      <c r="D7" s="9" t="s">
        <v>35</v>
      </c>
      <c r="E7" s="9">
        <v>201</v>
      </c>
      <c r="F7" s="9" t="s">
        <v>39</v>
      </c>
      <c r="G7" s="9">
        <v>8.9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1:25" ht="15.75" customHeight="1" x14ac:dyDescent="0.4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1:25" ht="15.75" customHeight="1" x14ac:dyDescent="0.45">
      <c r="A9" s="10" t="s">
        <v>21</v>
      </c>
      <c r="D9" s="18" t="s">
        <v>31</v>
      </c>
      <c r="E9" s="18">
        <v>2010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 ht="15.75" customHeight="1" x14ac:dyDescent="0.45">
      <c r="A10" s="6" t="str">
        <f ca="1">IFERROR(__xludf.DUMMYFUNCTION("query(IMDB,""select * where F like '% ""&amp; D9 &amp; ""%' and C &lt;"" &amp;E9)"),"NO")</f>
        <v>NO</v>
      </c>
      <c r="B10" s="6" t="str">
        <f ca="1">IFERROR(__xludf.DUMMYFUNCTION("""COMPUTED_VALUE"""),"MOVIE_NAME")</f>
        <v>MOVIE_NAME</v>
      </c>
      <c r="C10" s="6" t="str">
        <f ca="1">IFERROR(__xludf.DUMMYFUNCTION("""COMPUTED_VALUE"""),"YEAR")</f>
        <v>YEAR</v>
      </c>
      <c r="D10" s="6" t="str">
        <f ca="1">IFERROR(__xludf.DUMMYFUNCTION("""COMPUTED_VALUE"""),"RATING")</f>
        <v>RATING</v>
      </c>
      <c r="E10" s="6" t="str">
        <f ca="1">IFERROR(__xludf.DUMMYFUNCTION("""COMPUTED_VALUE"""),"LENGTH")</f>
        <v>LENGTH</v>
      </c>
      <c r="F10" s="6" t="str">
        <f ca="1">IFERROR(__xludf.DUMMYFUNCTION("""COMPUTED_VALUE"""),"GENRE")</f>
        <v>GENRE</v>
      </c>
      <c r="G10" s="6" t="str">
        <f ca="1">IFERROR(__xludf.DUMMYFUNCTION("""COMPUTED_VALUE"""),"SCORE")</f>
        <v>SCORE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 ht="15.75" customHeight="1" x14ac:dyDescent="0.45">
      <c r="A11" s="6">
        <f ca="1">IFERROR(__xludf.DUMMYFUNCTION("""COMPUTED_VALUE"""),2)</f>
        <v>2</v>
      </c>
      <c r="B11" s="6" t="str">
        <f ca="1">IFERROR(__xludf.DUMMYFUNCTION("""COMPUTED_VALUE"""),"The Godfather")</f>
        <v>The Godfather</v>
      </c>
      <c r="C11" s="6">
        <f ca="1">IFERROR(__xludf.DUMMYFUNCTION("""COMPUTED_VALUE"""),1972)</f>
        <v>1972</v>
      </c>
      <c r="D11" s="6" t="str">
        <f ca="1">IFERROR(__xludf.DUMMYFUNCTION("""COMPUTED_VALUE"""),"R")</f>
        <v>R</v>
      </c>
      <c r="E11" s="6">
        <f ca="1">IFERROR(__xludf.DUMMYFUNCTION("""COMPUTED_VALUE"""),175)</f>
        <v>175</v>
      </c>
      <c r="F11" s="6" t="str">
        <f ca="1">IFERROR(__xludf.DUMMYFUNCTION("""COMPUTED_VALUE"""),"Crime, Drama")</f>
        <v>Crime, Drama</v>
      </c>
      <c r="G11" s="6">
        <f ca="1">IFERROR(__xludf.DUMMYFUNCTION("""COMPUTED_VALUE"""),9.2)</f>
        <v>9.1999999999999993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ht="15.75" customHeight="1" x14ac:dyDescent="0.45">
      <c r="A12" s="6">
        <f ca="1">IFERROR(__xludf.DUMMYFUNCTION("""COMPUTED_VALUE"""),3)</f>
        <v>3</v>
      </c>
      <c r="B12" s="6" t="str">
        <f ca="1">IFERROR(__xludf.DUMMYFUNCTION("""COMPUTED_VALUE"""),"The Dark Knight")</f>
        <v>The Dark Knight</v>
      </c>
      <c r="C12" s="6">
        <f ca="1">IFERROR(__xludf.DUMMYFUNCTION("""COMPUTED_VALUE"""),2008)</f>
        <v>2008</v>
      </c>
      <c r="D12" s="6" t="str">
        <f ca="1">IFERROR(__xludf.DUMMYFUNCTION("""COMPUTED_VALUE"""),"PG-13")</f>
        <v>PG-13</v>
      </c>
      <c r="E12" s="6">
        <f ca="1">IFERROR(__xludf.DUMMYFUNCTION("""COMPUTED_VALUE"""),152)</f>
        <v>152</v>
      </c>
      <c r="F12" s="6" t="str">
        <f ca="1">IFERROR(__xludf.DUMMYFUNCTION("""COMPUTED_VALUE"""),"Action, Crime, Drama")</f>
        <v>Action, Crime, Drama</v>
      </c>
      <c r="G12" s="6">
        <f ca="1">IFERROR(__xludf.DUMMYFUNCTION("""COMPUTED_VALUE"""),9)</f>
        <v>9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 ht="15.75" customHeight="1" x14ac:dyDescent="0.45">
      <c r="A13" s="6">
        <f ca="1">IFERROR(__xludf.DUMMYFUNCTION("""COMPUTED_VALUE"""),4)</f>
        <v>4</v>
      </c>
      <c r="B13" s="6" t="str">
        <f ca="1">IFERROR(__xludf.DUMMYFUNCTION("""COMPUTED_VALUE"""),"The Godfather: Part II")</f>
        <v>The Godfather: Part II</v>
      </c>
      <c r="C13" s="6">
        <f ca="1">IFERROR(__xludf.DUMMYFUNCTION("""COMPUTED_VALUE"""),1974)</f>
        <v>1974</v>
      </c>
      <c r="D13" s="6" t="str">
        <f ca="1">IFERROR(__xludf.DUMMYFUNCTION("""COMPUTED_VALUE"""),"R")</f>
        <v>R</v>
      </c>
      <c r="E13" s="6">
        <f ca="1">IFERROR(__xludf.DUMMYFUNCTION("""COMPUTED_VALUE"""),202)</f>
        <v>202</v>
      </c>
      <c r="F13" s="6" t="str">
        <f ca="1">IFERROR(__xludf.DUMMYFUNCTION("""COMPUTED_VALUE"""),"Crime, Drama")</f>
        <v>Crime, Drama</v>
      </c>
      <c r="G13" s="6">
        <f ca="1">IFERROR(__xludf.DUMMYFUNCTION("""COMPUTED_VALUE"""),9)</f>
        <v>9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ht="15.75" customHeight="1" x14ac:dyDescent="0.45">
      <c r="A14" s="6">
        <f ca="1">IFERROR(__xludf.DUMMYFUNCTION("""COMPUTED_VALUE"""),5)</f>
        <v>5</v>
      </c>
      <c r="B14" s="6" t="str">
        <f ca="1">IFERROR(__xludf.DUMMYFUNCTION("""COMPUTED_VALUE"""),"The Lord of the Rings: The Return of the King")</f>
        <v>The Lord of the Rings: The Return of the King</v>
      </c>
      <c r="C14" s="6">
        <f ca="1">IFERROR(__xludf.DUMMYFUNCTION("""COMPUTED_VALUE"""),2003)</f>
        <v>2003</v>
      </c>
      <c r="D14" s="6" t="str">
        <f ca="1">IFERROR(__xludf.DUMMYFUNCTION("""COMPUTED_VALUE"""),"PG-13")</f>
        <v>PG-13</v>
      </c>
      <c r="E14" s="6">
        <f ca="1">IFERROR(__xludf.DUMMYFUNCTION("""COMPUTED_VALUE"""),201)</f>
        <v>201</v>
      </c>
      <c r="F14" s="6" t="str">
        <f ca="1">IFERROR(__xludf.DUMMYFUNCTION("""COMPUTED_VALUE"""),"Action, Adventure, Drama")</f>
        <v>Action, Adventure, Drama</v>
      </c>
      <c r="G14" s="6">
        <f ca="1">IFERROR(__xludf.DUMMYFUNCTION("""COMPUTED_VALUE"""),8.9)</f>
        <v>8.9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1:25" ht="15.75" customHeight="1" x14ac:dyDescent="0.45">
      <c r="A15" s="6">
        <f ca="1">IFERROR(__xludf.DUMMYFUNCTION("""COMPUTED_VALUE"""),6)</f>
        <v>6</v>
      </c>
      <c r="B15" s="6" t="str">
        <f ca="1">IFERROR(__xludf.DUMMYFUNCTION("""COMPUTED_VALUE"""),"Pulp Fiction")</f>
        <v>Pulp Fiction</v>
      </c>
      <c r="C15" s="6">
        <f ca="1">IFERROR(__xludf.DUMMYFUNCTION("""COMPUTED_VALUE"""),1994)</f>
        <v>1994</v>
      </c>
      <c r="D15" s="6" t="str">
        <f ca="1">IFERROR(__xludf.DUMMYFUNCTION("""COMPUTED_VALUE"""),"R")</f>
        <v>R</v>
      </c>
      <c r="E15" s="6">
        <f ca="1">IFERROR(__xludf.DUMMYFUNCTION("""COMPUTED_VALUE"""),154)</f>
        <v>154</v>
      </c>
      <c r="F15" s="6" t="str">
        <f ca="1">IFERROR(__xludf.DUMMYFUNCTION("""COMPUTED_VALUE"""),"Crime, Drama")</f>
        <v>Crime, Drama</v>
      </c>
      <c r="G15" s="6">
        <f ca="1">IFERROR(__xludf.DUMMYFUNCTION("""COMPUTED_VALUE"""),8.9)</f>
        <v>8.9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5" ht="15.75" customHeight="1" x14ac:dyDescent="0.45">
      <c r="A16" s="6">
        <f ca="1">IFERROR(__xludf.DUMMYFUNCTION("""COMPUTED_VALUE"""),7)</f>
        <v>7</v>
      </c>
      <c r="B16" s="6" t="str">
        <f ca="1">IFERROR(__xludf.DUMMYFUNCTION("""COMPUTED_VALUE"""),"Schindler's List")</f>
        <v>Schindler's List</v>
      </c>
      <c r="C16" s="6">
        <f ca="1">IFERROR(__xludf.DUMMYFUNCTION("""COMPUTED_VALUE"""),1993)</f>
        <v>1993</v>
      </c>
      <c r="D16" s="6" t="str">
        <f ca="1">IFERROR(__xludf.DUMMYFUNCTION("""COMPUTED_VALUE"""),"R")</f>
        <v>R</v>
      </c>
      <c r="E16" s="6">
        <f ca="1">IFERROR(__xludf.DUMMYFUNCTION("""COMPUTED_VALUE"""),195)</f>
        <v>195</v>
      </c>
      <c r="F16" s="6" t="str">
        <f ca="1">IFERROR(__xludf.DUMMYFUNCTION("""COMPUTED_VALUE"""),"Biography, Drama, History")</f>
        <v>Biography, Drama, History</v>
      </c>
      <c r="G16" s="6">
        <f ca="1">IFERROR(__xludf.DUMMYFUNCTION("""COMPUTED_VALUE"""),8.9)</f>
        <v>8.9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25" ht="15.75" customHeight="1" x14ac:dyDescent="0.45">
      <c r="A17" s="6">
        <f ca="1">IFERROR(__xludf.DUMMYFUNCTION("""COMPUTED_VALUE"""),8)</f>
        <v>8</v>
      </c>
      <c r="B17" s="6" t="str">
        <f ca="1">IFERROR(__xludf.DUMMYFUNCTION("""COMPUTED_VALUE"""),"12 Angry Men")</f>
        <v>12 Angry Men</v>
      </c>
      <c r="C17" s="6">
        <f ca="1">IFERROR(__xludf.DUMMYFUNCTION("""COMPUTED_VALUE"""),1957)</f>
        <v>1957</v>
      </c>
      <c r="D17" s="6" t="str">
        <f ca="1">IFERROR(__xludf.DUMMYFUNCTION("""COMPUTED_VALUE"""),"Approved")</f>
        <v>Approved</v>
      </c>
      <c r="E17" s="6">
        <f ca="1">IFERROR(__xludf.DUMMYFUNCTION("""COMPUTED_VALUE"""),96)</f>
        <v>96</v>
      </c>
      <c r="F17" s="6" t="str">
        <f ca="1">IFERROR(__xludf.DUMMYFUNCTION("""COMPUTED_VALUE"""),"Crime, Drama")</f>
        <v>Crime, Drama</v>
      </c>
      <c r="G17" s="6">
        <f ca="1">IFERROR(__xludf.DUMMYFUNCTION("""COMPUTED_VALUE"""),8.9)</f>
        <v>8.9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ht="15.75" customHeight="1" x14ac:dyDescent="0.45">
      <c r="A18" s="6">
        <f ca="1">IFERROR(__xludf.DUMMYFUNCTION("""COMPUTED_VALUE"""),11)</f>
        <v>11</v>
      </c>
      <c r="B18" s="6" t="str">
        <f ca="1">IFERROR(__xludf.DUMMYFUNCTION("""COMPUTED_VALUE"""),"The Lord of the Rings: The Fellowship of the Ring")</f>
        <v>The Lord of the Rings: The Fellowship of the Ring</v>
      </c>
      <c r="C18" s="6">
        <f ca="1">IFERROR(__xludf.DUMMYFUNCTION("""COMPUTED_VALUE"""),2001)</f>
        <v>2001</v>
      </c>
      <c r="D18" s="6" t="str">
        <f ca="1">IFERROR(__xludf.DUMMYFUNCTION("""COMPUTED_VALUE"""),"PG-13")</f>
        <v>PG-13</v>
      </c>
      <c r="E18" s="6">
        <f ca="1">IFERROR(__xludf.DUMMYFUNCTION("""COMPUTED_VALUE"""),178)</f>
        <v>178</v>
      </c>
      <c r="F18" s="6" t="str">
        <f ca="1">IFERROR(__xludf.DUMMYFUNCTION("""COMPUTED_VALUE"""),"Action, Adventure, Drama")</f>
        <v>Action, Adventure, Drama</v>
      </c>
      <c r="G18" s="6">
        <f ca="1">IFERROR(__xludf.DUMMYFUNCTION("""COMPUTED_VALUE"""),8.8)</f>
        <v>8.8000000000000007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 ht="15.75" customHeight="1" x14ac:dyDescent="0.45">
      <c r="A19" s="6">
        <f ca="1">IFERROR(__xludf.DUMMYFUNCTION("""COMPUTED_VALUE"""),15)</f>
        <v>15</v>
      </c>
      <c r="B19" s="6" t="str">
        <f ca="1">IFERROR(__xludf.DUMMYFUNCTION("""COMPUTED_VALUE"""),"The Lord of the Rings: The Two Towers")</f>
        <v>The Lord of the Rings: The Two Towers</v>
      </c>
      <c r="C19" s="6">
        <f ca="1">IFERROR(__xludf.DUMMYFUNCTION("""COMPUTED_VALUE"""),2002)</f>
        <v>2002</v>
      </c>
      <c r="D19" s="6" t="str">
        <f ca="1">IFERROR(__xludf.DUMMYFUNCTION("""COMPUTED_VALUE"""),"PG-13")</f>
        <v>PG-13</v>
      </c>
      <c r="E19" s="6">
        <f ca="1">IFERROR(__xludf.DUMMYFUNCTION("""COMPUTED_VALUE"""),179)</f>
        <v>179</v>
      </c>
      <c r="F19" s="6" t="str">
        <f ca="1">IFERROR(__xludf.DUMMYFUNCTION("""COMPUTED_VALUE"""),"Action, Adventure, Drama")</f>
        <v>Action, Adventure, Drama</v>
      </c>
      <c r="G19" s="6">
        <f ca="1">IFERROR(__xludf.DUMMYFUNCTION("""COMPUTED_VALUE"""),8.7)</f>
        <v>8.6999999999999993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ht="15.75" customHeight="1" x14ac:dyDescent="0.45">
      <c r="A20" s="6">
        <f ca="1">IFERROR(__xludf.DUMMYFUNCTION("""COMPUTED_VALUE"""),17)</f>
        <v>17</v>
      </c>
      <c r="B20" s="6" t="str">
        <f ca="1">IFERROR(__xludf.DUMMYFUNCTION("""COMPUTED_VALUE"""),"Goodfellas")</f>
        <v>Goodfellas</v>
      </c>
      <c r="C20" s="6">
        <f ca="1">IFERROR(__xludf.DUMMYFUNCTION("""COMPUTED_VALUE"""),1990)</f>
        <v>1990</v>
      </c>
      <c r="D20" s="6" t="str">
        <f ca="1">IFERROR(__xludf.DUMMYFUNCTION("""COMPUTED_VALUE"""),"R")</f>
        <v>R</v>
      </c>
      <c r="E20" s="6">
        <f ca="1">IFERROR(__xludf.DUMMYFUNCTION("""COMPUTED_VALUE"""),146)</f>
        <v>146</v>
      </c>
      <c r="F20" s="6" t="str">
        <f ca="1">IFERROR(__xludf.DUMMYFUNCTION("""COMPUTED_VALUE"""),"Biography, Crime, Drama")</f>
        <v>Biography, Crime, Drama</v>
      </c>
      <c r="G20" s="6">
        <f ca="1">IFERROR(__xludf.DUMMYFUNCTION("""COMPUTED_VALUE"""),8.7)</f>
        <v>8.6999999999999993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spans="1:25" ht="15.75" customHeight="1" x14ac:dyDescent="0.45">
      <c r="A21" s="6">
        <f ca="1">IFERROR(__xludf.DUMMYFUNCTION("""COMPUTED_VALUE"""),22)</f>
        <v>22</v>
      </c>
      <c r="B21" s="6" t="str">
        <f ca="1">IFERROR(__xludf.DUMMYFUNCTION("""COMPUTED_VALUE"""),"City of God")</f>
        <v>City of God</v>
      </c>
      <c r="C21" s="6">
        <f ca="1">IFERROR(__xludf.DUMMYFUNCTION("""COMPUTED_VALUE"""),2002)</f>
        <v>2002</v>
      </c>
      <c r="D21" s="6" t="str">
        <f ca="1">IFERROR(__xludf.DUMMYFUNCTION("""COMPUTED_VALUE"""),"R")</f>
        <v>R</v>
      </c>
      <c r="E21" s="6">
        <f ca="1">IFERROR(__xludf.DUMMYFUNCTION("""COMPUTED_VALUE"""),130)</f>
        <v>130</v>
      </c>
      <c r="F21" s="6" t="str">
        <f ca="1">IFERROR(__xludf.DUMMYFUNCTION("""COMPUTED_VALUE"""),"Crime, Drama")</f>
        <v>Crime, Drama</v>
      </c>
      <c r="G21" s="6">
        <f ca="1">IFERROR(__xludf.DUMMYFUNCTION("""COMPUTED_VALUE"""),8.6)</f>
        <v>8.6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spans="1:25" ht="15.75" customHeight="1" x14ac:dyDescent="0.45">
      <c r="A22" s="6">
        <f ca="1">IFERROR(__xludf.DUMMYFUNCTION("""COMPUTED_VALUE"""),25)</f>
        <v>25</v>
      </c>
      <c r="B22" s="6" t="str">
        <f ca="1">IFERROR(__xludf.DUMMYFUNCTION("""COMPUTED_VALUE"""),"The Green Mile")</f>
        <v>The Green Mile</v>
      </c>
      <c r="C22" s="6">
        <f ca="1">IFERROR(__xludf.DUMMYFUNCTION("""COMPUTED_VALUE"""),1999)</f>
        <v>1999</v>
      </c>
      <c r="D22" s="6" t="str">
        <f ca="1">IFERROR(__xludf.DUMMYFUNCTION("""COMPUTED_VALUE"""),"R")</f>
        <v>R</v>
      </c>
      <c r="E22" s="6">
        <f ca="1">IFERROR(__xludf.DUMMYFUNCTION("""COMPUTED_VALUE"""),189)</f>
        <v>189</v>
      </c>
      <c r="F22" s="6" t="str">
        <f ca="1">IFERROR(__xludf.DUMMYFUNCTION("""COMPUTED_VALUE"""),"Crime, Drama, Fantasy")</f>
        <v>Crime, Drama, Fantasy</v>
      </c>
      <c r="G22" s="6">
        <f ca="1">IFERROR(__xludf.DUMMYFUNCTION("""COMPUTED_VALUE"""),8.6)</f>
        <v>8.6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spans="1:25" ht="15.75" customHeight="1" x14ac:dyDescent="0.45">
      <c r="A23" s="6">
        <f ca="1">IFERROR(__xludf.DUMMYFUNCTION("""COMPUTED_VALUE"""),26)</f>
        <v>26</v>
      </c>
      <c r="B23" s="6" t="str">
        <f ca="1">IFERROR(__xludf.DUMMYFUNCTION("""COMPUTED_VALUE"""),"Life Is Beautiful")</f>
        <v>Life Is Beautiful</v>
      </c>
      <c r="C23" s="6">
        <f ca="1">IFERROR(__xludf.DUMMYFUNCTION("""COMPUTED_VALUE"""),1997)</f>
        <v>1997</v>
      </c>
      <c r="D23" s="6" t="str">
        <f ca="1">IFERROR(__xludf.DUMMYFUNCTION("""COMPUTED_VALUE"""),"PG-13")</f>
        <v>PG-13</v>
      </c>
      <c r="E23" s="6">
        <f ca="1">IFERROR(__xludf.DUMMYFUNCTION("""COMPUTED_VALUE"""),116)</f>
        <v>116</v>
      </c>
      <c r="F23" s="6" t="str">
        <f ca="1">IFERROR(__xludf.DUMMYFUNCTION("""COMPUTED_VALUE"""),"Comedy, Drama, Romance")</f>
        <v>Comedy, Drama, Romance</v>
      </c>
      <c r="G23" s="6">
        <f ca="1">IFERROR(__xludf.DUMMYFUNCTION("""COMPUTED_VALUE"""),8.6)</f>
        <v>8.6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spans="1:25" ht="15.75" customHeight="1" x14ac:dyDescent="0.45">
      <c r="A24" s="6">
        <f ca="1">IFERROR(__xludf.DUMMYFUNCTION("""COMPUTED_VALUE"""),27)</f>
        <v>27</v>
      </c>
      <c r="B24" s="6" t="str">
        <f ca="1">IFERROR(__xludf.DUMMYFUNCTION("""COMPUTED_VALUE"""),"Se7en")</f>
        <v>Se7en</v>
      </c>
      <c r="C24" s="6">
        <f ca="1">IFERROR(__xludf.DUMMYFUNCTION("""COMPUTED_VALUE"""),1995)</f>
        <v>1995</v>
      </c>
      <c r="D24" s="6" t="str">
        <f ca="1">IFERROR(__xludf.DUMMYFUNCTION("""COMPUTED_VALUE"""),"R")</f>
        <v>R</v>
      </c>
      <c r="E24" s="6">
        <f ca="1">IFERROR(__xludf.DUMMYFUNCTION("""COMPUTED_VALUE"""),127)</f>
        <v>127</v>
      </c>
      <c r="F24" s="6" t="str">
        <f ca="1">IFERROR(__xludf.DUMMYFUNCTION("""COMPUTED_VALUE"""),"Crime, Drama, Mystery")</f>
        <v>Crime, Drama, Mystery</v>
      </c>
      <c r="G24" s="6">
        <f ca="1">IFERROR(__xludf.DUMMYFUNCTION("""COMPUTED_VALUE"""),8.6)</f>
        <v>8.6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5" ht="15.75" customHeight="1" x14ac:dyDescent="0.45">
      <c r="A25" s="6">
        <f ca="1">IFERROR(__xludf.DUMMYFUNCTION("""COMPUTED_VALUE"""),28)</f>
        <v>28</v>
      </c>
      <c r="B25" s="6" t="str">
        <f ca="1">IFERROR(__xludf.DUMMYFUNCTION("""COMPUTED_VALUE"""),"The Silence of the Lambs")</f>
        <v>The Silence of the Lambs</v>
      </c>
      <c r="C25" s="6">
        <f ca="1">IFERROR(__xludf.DUMMYFUNCTION("""COMPUTED_VALUE"""),1991)</f>
        <v>1991</v>
      </c>
      <c r="D25" s="6" t="str">
        <f ca="1">IFERROR(__xludf.DUMMYFUNCTION("""COMPUTED_VALUE"""),"R")</f>
        <v>R</v>
      </c>
      <c r="E25" s="6">
        <f ca="1">IFERROR(__xludf.DUMMYFUNCTION("""COMPUTED_VALUE"""),118)</f>
        <v>118</v>
      </c>
      <c r="F25" s="6" t="str">
        <f ca="1">IFERROR(__xludf.DUMMYFUNCTION("""COMPUTED_VALUE"""),"Crime, Drama, Thriller")</f>
        <v>Crime, Drama, Thriller</v>
      </c>
      <c r="G25" s="6">
        <f ca="1">IFERROR(__xludf.DUMMYFUNCTION("""COMPUTED_VALUE"""),8.6)</f>
        <v>8.6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spans="1:25" ht="15.75" customHeight="1" x14ac:dyDescent="0.45">
      <c r="A26" s="6">
        <f ca="1">IFERROR(__xludf.DUMMYFUNCTION("""COMPUTED_VALUE"""),30)</f>
        <v>30</v>
      </c>
      <c r="B26" s="6" t="str">
        <f ca="1">IFERROR(__xludf.DUMMYFUNCTION("""COMPUTED_VALUE"""),"Harakiri")</f>
        <v>Harakiri</v>
      </c>
      <c r="C26" s="6">
        <f ca="1">IFERROR(__xludf.DUMMYFUNCTION("""COMPUTED_VALUE"""),1962)</f>
        <v>1962</v>
      </c>
      <c r="D26" s="6" t="str">
        <f ca="1">IFERROR(__xludf.DUMMYFUNCTION("""COMPUTED_VALUE"""),"Not Rated")</f>
        <v>Not Rated</v>
      </c>
      <c r="E26" s="6">
        <f ca="1">IFERROR(__xludf.DUMMYFUNCTION("""COMPUTED_VALUE"""),133)</f>
        <v>133</v>
      </c>
      <c r="F26" s="6" t="str">
        <f ca="1">IFERROR(__xludf.DUMMYFUNCTION("""COMPUTED_VALUE"""),"Action, Drama, Mystery")</f>
        <v>Action, Drama, Mystery</v>
      </c>
      <c r="G26" s="6">
        <f ca="1">IFERROR(__xludf.DUMMYFUNCTION("""COMPUTED_VALUE"""),8.6)</f>
        <v>8.6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spans="1:25" ht="16.8" x14ac:dyDescent="0.45">
      <c r="A27" s="6">
        <f ca="1">IFERROR(__xludf.DUMMYFUNCTION("""COMPUTED_VALUE"""),31)</f>
        <v>31</v>
      </c>
      <c r="B27" s="6" t="str">
        <f ca="1">IFERROR(__xludf.DUMMYFUNCTION("""COMPUTED_VALUE"""),"Seven Samurai")</f>
        <v>Seven Samurai</v>
      </c>
      <c r="C27" s="6">
        <f ca="1">IFERROR(__xludf.DUMMYFUNCTION("""COMPUTED_VALUE"""),1954)</f>
        <v>1954</v>
      </c>
      <c r="D27" s="6" t="str">
        <f ca="1">IFERROR(__xludf.DUMMYFUNCTION("""COMPUTED_VALUE"""),"Not Rated")</f>
        <v>Not Rated</v>
      </c>
      <c r="E27" s="6">
        <f ca="1">IFERROR(__xludf.DUMMYFUNCTION("""COMPUTED_VALUE"""),207)</f>
        <v>207</v>
      </c>
      <c r="F27" s="6" t="str">
        <f ca="1">IFERROR(__xludf.DUMMYFUNCTION("""COMPUTED_VALUE"""),"Action, Adventure, Drama")</f>
        <v>Action, Adventure, Drama</v>
      </c>
      <c r="G27" s="6">
        <f ca="1">IFERROR(__xludf.DUMMYFUNCTION("""COMPUTED_VALUE"""),8.6)</f>
        <v>8.6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1:25" ht="16.8" x14ac:dyDescent="0.45">
      <c r="A28" s="6">
        <f ca="1">IFERROR(__xludf.DUMMYFUNCTION("""COMPUTED_VALUE"""),37)</f>
        <v>37</v>
      </c>
      <c r="B28" s="6" t="str">
        <f ca="1">IFERROR(__xludf.DUMMYFUNCTION("""COMPUTED_VALUE"""),"The Departed")</f>
        <v>The Departed</v>
      </c>
      <c r="C28" s="6">
        <f ca="1">IFERROR(__xludf.DUMMYFUNCTION("""COMPUTED_VALUE"""),2006)</f>
        <v>2006</v>
      </c>
      <c r="D28" s="6" t="str">
        <f ca="1">IFERROR(__xludf.DUMMYFUNCTION("""COMPUTED_VALUE"""),"R")</f>
        <v>R</v>
      </c>
      <c r="E28" s="6">
        <f ca="1">IFERROR(__xludf.DUMMYFUNCTION("""COMPUTED_VALUE"""),151)</f>
        <v>151</v>
      </c>
      <c r="F28" s="6" t="str">
        <f ca="1">IFERROR(__xludf.DUMMYFUNCTION("""COMPUTED_VALUE"""),"Crime, Drama, Thriller")</f>
        <v>Crime, Drama, Thriller</v>
      </c>
      <c r="G28" s="6">
        <f ca="1">IFERROR(__xludf.DUMMYFUNCTION("""COMPUTED_VALUE"""),8.5)</f>
        <v>8.5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1:25" ht="16.8" x14ac:dyDescent="0.45">
      <c r="A29" s="6">
        <f ca="1">IFERROR(__xludf.DUMMYFUNCTION("""COMPUTED_VALUE"""),38)</f>
        <v>38</v>
      </c>
      <c r="B29" s="6" t="str">
        <f ca="1">IFERROR(__xludf.DUMMYFUNCTION("""COMPUTED_VALUE"""),"The Pianist")</f>
        <v>The Pianist</v>
      </c>
      <c r="C29" s="6">
        <f ca="1">IFERROR(__xludf.DUMMYFUNCTION("""COMPUTED_VALUE"""),2002)</f>
        <v>2002</v>
      </c>
      <c r="D29" s="6" t="str">
        <f ca="1">IFERROR(__xludf.DUMMYFUNCTION("""COMPUTED_VALUE"""),"R")</f>
        <v>R</v>
      </c>
      <c r="E29" s="6">
        <f ca="1">IFERROR(__xludf.DUMMYFUNCTION("""COMPUTED_VALUE"""),150)</f>
        <v>150</v>
      </c>
      <c r="F29" s="6" t="str">
        <f ca="1">IFERROR(__xludf.DUMMYFUNCTION("""COMPUTED_VALUE"""),"Biography, Drama, Music")</f>
        <v>Biography, Drama, Music</v>
      </c>
      <c r="G29" s="6">
        <f ca="1">IFERROR(__xludf.DUMMYFUNCTION("""COMPUTED_VALUE"""),8.5)</f>
        <v>8.5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:25" ht="16.8" x14ac:dyDescent="0.45">
      <c r="A30" s="6">
        <f ca="1">IFERROR(__xludf.DUMMYFUNCTION("""COMPUTED_VALUE"""),39)</f>
        <v>39</v>
      </c>
      <c r="B30" s="6" t="str">
        <f ca="1">IFERROR(__xludf.DUMMYFUNCTION("""COMPUTED_VALUE"""),"Gladiator")</f>
        <v>Gladiator</v>
      </c>
      <c r="C30" s="6">
        <f ca="1">IFERROR(__xludf.DUMMYFUNCTION("""COMPUTED_VALUE"""),2000)</f>
        <v>2000</v>
      </c>
      <c r="D30" s="6" t="str">
        <f ca="1">IFERROR(__xludf.DUMMYFUNCTION("""COMPUTED_VALUE"""),"R")</f>
        <v>R</v>
      </c>
      <c r="E30" s="6">
        <f ca="1">IFERROR(__xludf.DUMMYFUNCTION("""COMPUTED_VALUE"""),155)</f>
        <v>155</v>
      </c>
      <c r="F30" s="6" t="str">
        <f ca="1">IFERROR(__xludf.DUMMYFUNCTION("""COMPUTED_VALUE"""),"Action, Adventure, Drama")</f>
        <v>Action, Adventure, Drama</v>
      </c>
      <c r="G30" s="6">
        <f ca="1">IFERROR(__xludf.DUMMYFUNCTION("""COMPUTED_VALUE"""),8.5)</f>
        <v>8.5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pans="1:25" ht="16.8" x14ac:dyDescent="0.45">
      <c r="A31" s="6">
        <f ca="1">IFERROR(__xludf.DUMMYFUNCTION("""COMPUTED_VALUE"""),42)</f>
        <v>42</v>
      </c>
      <c r="B31" s="6" t="str">
        <f ca="1">IFERROR(__xludf.DUMMYFUNCTION("""COMPUTED_VALUE"""),"Léon: The Professional")</f>
        <v>Léon: The Professional</v>
      </c>
      <c r="C31" s="6">
        <f ca="1">IFERROR(__xludf.DUMMYFUNCTION("""COMPUTED_VALUE"""),1994)</f>
        <v>1994</v>
      </c>
      <c r="D31" s="6" t="str">
        <f ca="1">IFERROR(__xludf.DUMMYFUNCTION("""COMPUTED_VALUE"""),"R")</f>
        <v>R</v>
      </c>
      <c r="E31" s="6">
        <f ca="1">IFERROR(__xludf.DUMMYFUNCTION("""COMPUTED_VALUE"""),110)</f>
        <v>110</v>
      </c>
      <c r="F31" s="6" t="str">
        <f ca="1">IFERROR(__xludf.DUMMYFUNCTION("""COMPUTED_VALUE"""),"Action, Crime, Drama")</f>
        <v>Action, Crime, Drama</v>
      </c>
      <c r="G31" s="6">
        <f ca="1">IFERROR(__xludf.DUMMYFUNCTION("""COMPUTED_VALUE"""),8.5)</f>
        <v>8.5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pans="1:25" ht="16.8" x14ac:dyDescent="0.45">
      <c r="A32" s="6">
        <f ca="1">IFERROR(__xludf.DUMMYFUNCTION("""COMPUTED_VALUE"""),43)</f>
        <v>43</v>
      </c>
      <c r="B32" s="6" t="str">
        <f ca="1">IFERROR(__xludf.DUMMYFUNCTION("""COMPUTED_VALUE"""),"The Lion King")</f>
        <v>The Lion King</v>
      </c>
      <c r="C32" s="6">
        <f ca="1">IFERROR(__xludf.DUMMYFUNCTION("""COMPUTED_VALUE"""),1994)</f>
        <v>1994</v>
      </c>
      <c r="D32" s="6" t="str">
        <f ca="1">IFERROR(__xludf.DUMMYFUNCTION("""COMPUTED_VALUE"""),"G")</f>
        <v>G</v>
      </c>
      <c r="E32" s="6">
        <f ca="1">IFERROR(__xludf.DUMMYFUNCTION("""COMPUTED_VALUE"""),88)</f>
        <v>88</v>
      </c>
      <c r="F32" s="6" t="str">
        <f ca="1">IFERROR(__xludf.DUMMYFUNCTION("""COMPUTED_VALUE"""),"Animation, Adventure, Drama")</f>
        <v>Animation, Adventure, Drama</v>
      </c>
      <c r="G32" s="6">
        <f ca="1">IFERROR(__xludf.DUMMYFUNCTION("""COMPUTED_VALUE"""),8.5)</f>
        <v>8.5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pans="1:25" ht="16.8" x14ac:dyDescent="0.45">
      <c r="A33" s="6">
        <f ca="1">IFERROR(__xludf.DUMMYFUNCTION("""COMPUTED_VALUE"""),46)</f>
        <v>46</v>
      </c>
      <c r="B33" s="6" t="str">
        <f ca="1">IFERROR(__xludf.DUMMYFUNCTION("""COMPUTED_VALUE"""),"Grave of the Fireflies")</f>
        <v>Grave of the Fireflies</v>
      </c>
      <c r="C33" s="6">
        <f ca="1">IFERROR(__xludf.DUMMYFUNCTION("""COMPUTED_VALUE"""),1988)</f>
        <v>1988</v>
      </c>
      <c r="D33" s="6" t="str">
        <f ca="1">IFERROR(__xludf.DUMMYFUNCTION("""COMPUTED_VALUE"""),"Not Rated")</f>
        <v>Not Rated</v>
      </c>
      <c r="E33" s="6">
        <f ca="1">IFERROR(__xludf.DUMMYFUNCTION("""COMPUTED_VALUE"""),89)</f>
        <v>89</v>
      </c>
      <c r="F33" s="6" t="str">
        <f ca="1">IFERROR(__xludf.DUMMYFUNCTION("""COMPUTED_VALUE"""),"Animation, Drama, War")</f>
        <v>Animation, Drama, War</v>
      </c>
      <c r="G33" s="6">
        <f ca="1">IFERROR(__xludf.DUMMYFUNCTION("""COMPUTED_VALUE"""),8.5)</f>
        <v>8.5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:25" ht="16.8" x14ac:dyDescent="0.45">
      <c r="A34" s="6">
        <f ca="1">IFERROR(__xludf.DUMMYFUNCTION("""COMPUTED_VALUE"""),52)</f>
        <v>52</v>
      </c>
      <c r="B34" s="6" t="str">
        <f ca="1">IFERROR(__xludf.DUMMYFUNCTION("""COMPUTED_VALUE"""),"Modern Times")</f>
        <v>Modern Times</v>
      </c>
      <c r="C34" s="6">
        <f ca="1">IFERROR(__xludf.DUMMYFUNCTION("""COMPUTED_VALUE"""),1936)</f>
        <v>1936</v>
      </c>
      <c r="D34" s="6" t="str">
        <f ca="1">IFERROR(__xludf.DUMMYFUNCTION("""COMPUTED_VALUE"""),"G")</f>
        <v>G</v>
      </c>
      <c r="E34" s="6">
        <f ca="1">IFERROR(__xludf.DUMMYFUNCTION("""COMPUTED_VALUE"""),87)</f>
        <v>87</v>
      </c>
      <c r="F34" s="6" t="str">
        <f ca="1">IFERROR(__xludf.DUMMYFUNCTION("""COMPUTED_VALUE"""),"Comedy, Drama, Family")</f>
        <v>Comedy, Drama, Family</v>
      </c>
      <c r="G34" s="6">
        <f ca="1">IFERROR(__xludf.DUMMYFUNCTION("""COMPUTED_VALUE"""),8.5)</f>
        <v>8.5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1:25" ht="16.8" x14ac:dyDescent="0.45">
      <c r="A35" s="6">
        <f ca="1">IFERROR(__xludf.DUMMYFUNCTION("""COMPUTED_VALUE"""),53)</f>
        <v>53</v>
      </c>
      <c r="B35" s="6" t="str">
        <f ca="1">IFERROR(__xludf.DUMMYFUNCTION("""COMPUTED_VALUE"""),"City Lights")</f>
        <v>City Lights</v>
      </c>
      <c r="C35" s="6">
        <f ca="1">IFERROR(__xludf.DUMMYFUNCTION("""COMPUTED_VALUE"""),1931)</f>
        <v>1931</v>
      </c>
      <c r="D35" s="6" t="str">
        <f ca="1">IFERROR(__xludf.DUMMYFUNCTION("""COMPUTED_VALUE"""),"G")</f>
        <v>G</v>
      </c>
      <c r="E35" s="6">
        <f ca="1">IFERROR(__xludf.DUMMYFUNCTION("""COMPUTED_VALUE"""),87)</f>
        <v>87</v>
      </c>
      <c r="F35" s="6" t="str">
        <f ca="1">IFERROR(__xludf.DUMMYFUNCTION("""COMPUTED_VALUE"""),"Comedy, Drama, Romance")</f>
        <v>Comedy, Drama, Romance</v>
      </c>
      <c r="G35" s="6">
        <f ca="1">IFERROR(__xludf.DUMMYFUNCTION("""COMPUTED_VALUE"""),8.5)</f>
        <v>8.5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pans="1:25" ht="16.8" x14ac:dyDescent="0.45">
      <c r="A36" s="6">
        <f ca="1">IFERROR(__xludf.DUMMYFUNCTION("""COMPUTED_VALUE"""),64)</f>
        <v>64</v>
      </c>
      <c r="B36" s="6" t="str">
        <f ca="1">IFERROR(__xludf.DUMMYFUNCTION("""COMPUTED_VALUE"""),"3 Idiots")</f>
        <v>3 Idiots</v>
      </c>
      <c r="C36" s="6">
        <f ca="1">IFERROR(__xludf.DUMMYFUNCTION("""COMPUTED_VALUE"""),2009)</f>
        <v>2009</v>
      </c>
      <c r="D36" s="6" t="str">
        <f ca="1">IFERROR(__xludf.DUMMYFUNCTION("""COMPUTED_VALUE"""),"PG-13")</f>
        <v>PG-13</v>
      </c>
      <c r="E36" s="6">
        <f ca="1">IFERROR(__xludf.DUMMYFUNCTION("""COMPUTED_VALUE"""),170)</f>
        <v>170</v>
      </c>
      <c r="F36" s="6" t="str">
        <f ca="1">IFERROR(__xludf.DUMMYFUNCTION("""COMPUTED_VALUE"""),"Comedy, Drama")</f>
        <v>Comedy, Drama</v>
      </c>
      <c r="G36" s="6">
        <f ca="1">IFERROR(__xludf.DUMMYFUNCTION("""COMPUTED_VALUE"""),8.4)</f>
        <v>8.4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5" ht="16.8" x14ac:dyDescent="0.45">
      <c r="A37" s="6">
        <f ca="1">IFERROR(__xludf.DUMMYFUNCTION("""COMPUTED_VALUE"""),68)</f>
        <v>68</v>
      </c>
      <c r="B37" s="6" t="str">
        <f ca="1">IFERROR(__xludf.DUMMYFUNCTION("""COMPUTED_VALUE"""),"Oldboy")</f>
        <v>Oldboy</v>
      </c>
      <c r="C37" s="6">
        <f ca="1">IFERROR(__xludf.DUMMYFUNCTION("""COMPUTED_VALUE"""),2003)</f>
        <v>2003</v>
      </c>
      <c r="D37" s="6" t="str">
        <f ca="1">IFERROR(__xludf.DUMMYFUNCTION("""COMPUTED_VALUE"""),"R")</f>
        <v>R</v>
      </c>
      <c r="E37" s="6">
        <f ca="1">IFERROR(__xludf.DUMMYFUNCTION("""COMPUTED_VALUE"""),120)</f>
        <v>120</v>
      </c>
      <c r="F37" s="6" t="str">
        <f ca="1">IFERROR(__xludf.DUMMYFUNCTION("""COMPUTED_VALUE"""),"Action, Drama, Mystery")</f>
        <v>Action, Drama, Mystery</v>
      </c>
      <c r="G37" s="6">
        <f ca="1">IFERROR(__xludf.DUMMYFUNCTION("""COMPUTED_VALUE"""),8.4)</f>
        <v>8.4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spans="1:25" ht="16.8" x14ac:dyDescent="0.45">
      <c r="A38" s="6">
        <f ca="1">IFERROR(__xludf.DUMMYFUNCTION("""COMPUTED_VALUE"""),71)</f>
        <v>71</v>
      </c>
      <c r="B38" s="6" t="str">
        <f ca="1">IFERROR(__xludf.DUMMYFUNCTION("""COMPUTED_VALUE"""),"Once Upon a Time in America")</f>
        <v>Once Upon a Time in America</v>
      </c>
      <c r="C38" s="6">
        <f ca="1">IFERROR(__xludf.DUMMYFUNCTION("""COMPUTED_VALUE"""),1984)</f>
        <v>1984</v>
      </c>
      <c r="D38" s="6" t="str">
        <f ca="1">IFERROR(__xludf.DUMMYFUNCTION("""COMPUTED_VALUE"""),"R")</f>
        <v>R</v>
      </c>
      <c r="E38" s="6">
        <f ca="1">IFERROR(__xludf.DUMMYFUNCTION("""COMPUTED_VALUE"""),229)</f>
        <v>229</v>
      </c>
      <c r="F38" s="6" t="str">
        <f ca="1">IFERROR(__xludf.DUMMYFUNCTION("""COMPUTED_VALUE"""),"Crime, Drama")</f>
        <v>Crime, Drama</v>
      </c>
      <c r="G38" s="6">
        <f ca="1">IFERROR(__xludf.DUMMYFUNCTION("""COMPUTED_VALUE"""),8.4)</f>
        <v>8.4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5" ht="16.8" x14ac:dyDescent="0.45">
      <c r="A39" s="6">
        <f ca="1">IFERROR(__xludf.DUMMYFUNCTION("""COMPUTED_VALUE"""),76)</f>
        <v>76</v>
      </c>
      <c r="B39" s="6" t="str">
        <f ca="1">IFERROR(__xludf.DUMMYFUNCTION("""COMPUTED_VALUE"""),"High and Low")</f>
        <v>High and Low</v>
      </c>
      <c r="C39" s="6">
        <f ca="1">IFERROR(__xludf.DUMMYFUNCTION("""COMPUTED_VALUE"""),1963)</f>
        <v>1963</v>
      </c>
      <c r="D39" s="6" t="str">
        <f ca="1">IFERROR(__xludf.DUMMYFUNCTION("""COMPUTED_VALUE"""),"Not Rated")</f>
        <v>Not Rated</v>
      </c>
      <c r="E39" s="6">
        <f ca="1">IFERROR(__xludf.DUMMYFUNCTION("""COMPUTED_VALUE"""),143)</f>
        <v>143</v>
      </c>
      <c r="F39" s="6" t="str">
        <f ca="1">IFERROR(__xludf.DUMMYFUNCTION("""COMPUTED_VALUE"""),"Crime, Drama, Mystery")</f>
        <v>Crime, Drama, Mystery</v>
      </c>
      <c r="G39" s="6">
        <f ca="1">IFERROR(__xludf.DUMMYFUNCTION("""COMPUTED_VALUE"""),8.4)</f>
        <v>8.4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5" ht="16.8" x14ac:dyDescent="0.45">
      <c r="A40" s="6">
        <f ca="1">IFERROR(__xludf.DUMMYFUNCTION("""COMPUTED_VALUE"""),78)</f>
        <v>78</v>
      </c>
      <c r="B40" s="6" t="str">
        <f ca="1">IFERROR(__xludf.DUMMYFUNCTION("""COMPUTED_VALUE"""),"Witness for the Prosecution")</f>
        <v>Witness for the Prosecution</v>
      </c>
      <c r="C40" s="6">
        <f ca="1">IFERROR(__xludf.DUMMYFUNCTION("""COMPUTED_VALUE"""),1957)</f>
        <v>1957</v>
      </c>
      <c r="D40" s="6" t="str">
        <f ca="1">IFERROR(__xludf.DUMMYFUNCTION("""COMPUTED_VALUE"""),"Approved")</f>
        <v>Approved</v>
      </c>
      <c r="E40" s="6">
        <f ca="1">IFERROR(__xludf.DUMMYFUNCTION("""COMPUTED_VALUE"""),116)</f>
        <v>116</v>
      </c>
      <c r="F40" s="6" t="str">
        <f ca="1">IFERROR(__xludf.DUMMYFUNCTION("""COMPUTED_VALUE"""),"Crime, Drama, Mystery")</f>
        <v>Crime, Drama, Mystery</v>
      </c>
      <c r="G40" s="6">
        <f ca="1">IFERROR(__xludf.DUMMYFUNCTION("""COMPUTED_VALUE"""),8.4)</f>
        <v>8.4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5" ht="16.8" x14ac:dyDescent="0.45">
      <c r="A41" s="6">
        <f ca="1">IFERROR(__xludf.DUMMYFUNCTION("""COMPUTED_VALUE"""),82)</f>
        <v>82</v>
      </c>
      <c r="B41" s="6" t="str">
        <f ca="1">IFERROR(__xludf.DUMMYFUNCTION("""COMPUTED_VALUE"""),"The Great Dictator")</f>
        <v>The Great Dictator</v>
      </c>
      <c r="C41" s="6">
        <f ca="1">IFERROR(__xludf.DUMMYFUNCTION("""COMPUTED_VALUE"""),1940)</f>
        <v>1940</v>
      </c>
      <c r="D41" s="6" t="str">
        <f ca="1">IFERROR(__xludf.DUMMYFUNCTION("""COMPUTED_VALUE"""),"Passed")</f>
        <v>Passed</v>
      </c>
      <c r="E41" s="6">
        <f ca="1">IFERROR(__xludf.DUMMYFUNCTION("""COMPUTED_VALUE"""),125)</f>
        <v>125</v>
      </c>
      <c r="F41" s="6" t="str">
        <f ca="1">IFERROR(__xludf.DUMMYFUNCTION("""COMPUTED_VALUE"""),"Comedy, Drama, War")</f>
        <v>Comedy, Drama, War</v>
      </c>
      <c r="G41" s="6">
        <f ca="1">IFERROR(__xludf.DUMMYFUNCTION("""COMPUTED_VALUE"""),8.4)</f>
        <v>8.4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5" ht="16.8" x14ac:dyDescent="0.45">
      <c r="A42" s="6">
        <f ca="1">IFERROR(__xludf.DUMMYFUNCTION("""COMPUTED_VALUE"""),94)</f>
        <v>94</v>
      </c>
      <c r="B42" s="6" t="str">
        <f ca="1">IFERROR(__xludf.DUMMYFUNCTION("""COMPUTED_VALUE"""),"Inglourious Basterds")</f>
        <v>Inglourious Basterds</v>
      </c>
      <c r="C42" s="6">
        <f ca="1">IFERROR(__xludf.DUMMYFUNCTION("""COMPUTED_VALUE"""),2009)</f>
        <v>2009</v>
      </c>
      <c r="D42" s="6" t="str">
        <f ca="1">IFERROR(__xludf.DUMMYFUNCTION("""COMPUTED_VALUE"""),"R")</f>
        <v>R</v>
      </c>
      <c r="E42" s="6">
        <f ca="1">IFERROR(__xludf.DUMMYFUNCTION("""COMPUTED_VALUE"""),153)</f>
        <v>153</v>
      </c>
      <c r="F42" s="6" t="str">
        <f ca="1">IFERROR(__xludf.DUMMYFUNCTION("""COMPUTED_VALUE"""),"Adventure, Drama, War")</f>
        <v>Adventure, Drama, War</v>
      </c>
      <c r="G42" s="6">
        <f ca="1">IFERROR(__xludf.DUMMYFUNCTION("""COMPUTED_VALUE"""),8.3)</f>
        <v>8.3000000000000007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1:25" ht="16.8" x14ac:dyDescent="0.4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1:25" ht="16.8" x14ac:dyDescent="0.4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:25" ht="16.8" x14ac:dyDescent="0.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1:25" ht="16.8" x14ac:dyDescent="0.4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5" ht="16.8" x14ac:dyDescent="0.4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25" ht="16.8" x14ac:dyDescent="0.4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6.8" x14ac:dyDescent="0.4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6.8" x14ac:dyDescent="0.4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6.8" x14ac:dyDescent="0.4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6.8" x14ac:dyDescent="0.4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6.8" x14ac:dyDescent="0.4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6.8" x14ac:dyDescent="0.4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6.8" x14ac:dyDescent="0.4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6.8" x14ac:dyDescent="0.4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6.8" x14ac:dyDescent="0.4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6.8" x14ac:dyDescent="0.4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6.8" x14ac:dyDescent="0.4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6.8" x14ac:dyDescent="0.4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6.8" x14ac:dyDescent="0.4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6.8" x14ac:dyDescent="0.4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6.8" x14ac:dyDescent="0.4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6.8" x14ac:dyDescent="0.4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6.8" x14ac:dyDescent="0.4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6.8" x14ac:dyDescent="0.4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6.8" x14ac:dyDescent="0.4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6.8" x14ac:dyDescent="0.4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6.8" x14ac:dyDescent="0.4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6.8" x14ac:dyDescent="0.4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6.8" x14ac:dyDescent="0.4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6.8" x14ac:dyDescent="0.4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6.8" x14ac:dyDescent="0.4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6.8" x14ac:dyDescent="0.4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6.8" x14ac:dyDescent="0.4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6.8" x14ac:dyDescent="0.4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6.8" x14ac:dyDescent="0.4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6.8" x14ac:dyDescent="0.4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spans="1:25" ht="16.8" x14ac:dyDescent="0.4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spans="1:25" ht="16.8" x14ac:dyDescent="0.4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spans="1:25" ht="16.8" x14ac:dyDescent="0.4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spans="1:25" ht="16.8" x14ac:dyDescent="0.4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spans="1:25" ht="16.8" x14ac:dyDescent="0.4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spans="1:25" ht="16.8" x14ac:dyDescent="0.4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spans="1:25" ht="16.8" x14ac:dyDescent="0.4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spans="1:25" ht="16.8" x14ac:dyDescent="0.4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spans="1:25" ht="16.8" x14ac:dyDescent="0.4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spans="1:25" ht="16.8" x14ac:dyDescent="0.4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spans="1:25" ht="16.8" x14ac:dyDescent="0.4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spans="1:25" ht="16.8" x14ac:dyDescent="0.4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spans="1:25" ht="16.8" x14ac:dyDescent="0.4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spans="1:25" ht="16.8" x14ac:dyDescent="0.4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spans="1:25" ht="16.8" x14ac:dyDescent="0.4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spans="1:25" ht="16.8" x14ac:dyDescent="0.4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spans="1:25" ht="16.8" x14ac:dyDescent="0.4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spans="1:25" ht="16.8" x14ac:dyDescent="0.4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spans="1:25" ht="16.8" x14ac:dyDescent="0.4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spans="1:25" ht="16.8" x14ac:dyDescent="0.4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spans="1:25" ht="16.8" x14ac:dyDescent="0.4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spans="1:25" ht="16.8" x14ac:dyDescent="0.4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spans="1:25" ht="16.8" x14ac:dyDescent="0.4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spans="1:25" ht="16.8" x14ac:dyDescent="0.4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spans="1:25" ht="16.8" x14ac:dyDescent="0.4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spans="1:25" ht="16.8" x14ac:dyDescent="0.4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spans="1:25" ht="16.8" x14ac:dyDescent="0.4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spans="1:25" ht="16.8" x14ac:dyDescent="0.4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spans="1:25" ht="16.8" x14ac:dyDescent="0.4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spans="1:25" ht="16.8" x14ac:dyDescent="0.4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spans="1:25" ht="16.8" x14ac:dyDescent="0.4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spans="1:25" ht="16.8" x14ac:dyDescent="0.4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spans="1:25" ht="16.8" x14ac:dyDescent="0.4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spans="1:25" ht="16.8" x14ac:dyDescent="0.4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spans="1:25" ht="16.8" x14ac:dyDescent="0.4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spans="1:25" ht="16.8" x14ac:dyDescent="0.4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spans="1:25" ht="16.8" x14ac:dyDescent="0.4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spans="1:25" ht="16.8" x14ac:dyDescent="0.4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spans="1:25" ht="16.8" x14ac:dyDescent="0.4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spans="1:25" ht="16.8" x14ac:dyDescent="0.4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spans="1:25" ht="16.8" x14ac:dyDescent="0.4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spans="1:25" ht="16.8" x14ac:dyDescent="0.4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spans="1:25" ht="16.8" x14ac:dyDescent="0.4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spans="1:25" ht="16.8" x14ac:dyDescent="0.4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spans="1:25" ht="16.8" x14ac:dyDescent="0.4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spans="1:25" ht="16.8" x14ac:dyDescent="0.4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spans="1:25" ht="16.8" x14ac:dyDescent="0.4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spans="1:25" ht="16.8" x14ac:dyDescent="0.4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spans="1:25" ht="16.8" x14ac:dyDescent="0.4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spans="1:25" ht="16.8" x14ac:dyDescent="0.4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spans="1:25" ht="16.8" x14ac:dyDescent="0.4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spans="1:25" ht="16.8" x14ac:dyDescent="0.4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spans="1:25" ht="16.8" x14ac:dyDescent="0.4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spans="1:25" ht="16.8" x14ac:dyDescent="0.4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spans="1:25" ht="16.8" x14ac:dyDescent="0.4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spans="1:25" ht="16.8" x14ac:dyDescent="0.4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spans="1:25" ht="16.8" x14ac:dyDescent="0.4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spans="1:25" ht="16.8" x14ac:dyDescent="0.4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spans="1:25" ht="16.8" x14ac:dyDescent="0.4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spans="1:25" ht="16.8" x14ac:dyDescent="0.4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spans="1:25" ht="16.8" x14ac:dyDescent="0.4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spans="1:25" ht="16.8" x14ac:dyDescent="0.4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spans="1:25" ht="16.8" x14ac:dyDescent="0.4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spans="1:25" ht="16.8" x14ac:dyDescent="0.4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spans="1:25" ht="16.8" x14ac:dyDescent="0.4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spans="1:25" ht="16.8" x14ac:dyDescent="0.4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spans="1:25" ht="16.8" x14ac:dyDescent="0.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spans="1:25" ht="16.8" x14ac:dyDescent="0.4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spans="1:25" ht="16.8" x14ac:dyDescent="0.4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spans="1:25" ht="16.8" x14ac:dyDescent="0.4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spans="1:25" ht="16.8" x14ac:dyDescent="0.4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spans="1:25" ht="16.8" x14ac:dyDescent="0.4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spans="1:25" ht="16.8" x14ac:dyDescent="0.4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spans="1:25" ht="16.8" x14ac:dyDescent="0.4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spans="1:25" ht="16.8" x14ac:dyDescent="0.4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spans="1:25" ht="16.8" x14ac:dyDescent="0.4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spans="1:25" ht="16.8" x14ac:dyDescent="0.4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spans="1:25" ht="16.8" x14ac:dyDescent="0.4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spans="1:25" ht="16.8" x14ac:dyDescent="0.4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spans="1:25" ht="16.8" x14ac:dyDescent="0.4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spans="1:25" ht="16.8" x14ac:dyDescent="0.4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spans="1:25" ht="16.8" x14ac:dyDescent="0.4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spans="1:25" ht="16.8" x14ac:dyDescent="0.4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spans="1:25" ht="16.8" x14ac:dyDescent="0.4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spans="1:25" ht="16.8" x14ac:dyDescent="0.4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spans="1:25" ht="16.8" x14ac:dyDescent="0.4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spans="1:25" ht="16.8" x14ac:dyDescent="0.4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spans="1:25" ht="16.8" x14ac:dyDescent="0.4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spans="1:25" ht="16.8" x14ac:dyDescent="0.4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spans="1:25" ht="16.8" x14ac:dyDescent="0.4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spans="1:25" ht="16.8" x14ac:dyDescent="0.4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spans="1:25" ht="16.8" x14ac:dyDescent="0.4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spans="1:25" ht="16.8" x14ac:dyDescent="0.4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spans="1:25" ht="16.8" x14ac:dyDescent="0.4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spans="1:25" ht="16.8" x14ac:dyDescent="0.4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spans="1:25" ht="16.8" x14ac:dyDescent="0.4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spans="1:25" ht="16.8" x14ac:dyDescent="0.4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spans="1:25" ht="16.8" x14ac:dyDescent="0.4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spans="1:25" ht="16.8" x14ac:dyDescent="0.4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spans="1:25" ht="16.8" x14ac:dyDescent="0.4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spans="1:25" ht="16.8" x14ac:dyDescent="0.4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spans="1:25" ht="16.8" x14ac:dyDescent="0.4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spans="1:25" ht="16.8" x14ac:dyDescent="0.4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spans="1:25" ht="16.8" x14ac:dyDescent="0.4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spans="1:25" ht="16.8" x14ac:dyDescent="0.4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spans="1:25" ht="16.8" x14ac:dyDescent="0.4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spans="1:25" ht="16.8" x14ac:dyDescent="0.4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spans="1:25" ht="16.8" x14ac:dyDescent="0.4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spans="1:25" ht="16.8" x14ac:dyDescent="0.4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spans="1:25" ht="16.8" x14ac:dyDescent="0.4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spans="1:25" ht="16.8" x14ac:dyDescent="0.4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spans="1:25" ht="16.8" x14ac:dyDescent="0.4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spans="1:25" ht="16.8" x14ac:dyDescent="0.4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spans="1:25" ht="16.8" x14ac:dyDescent="0.4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spans="1:25" ht="16.8" x14ac:dyDescent="0.4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spans="1:25" ht="16.8" x14ac:dyDescent="0.4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spans="1:25" ht="16.8" x14ac:dyDescent="0.4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spans="1:25" ht="16.8" x14ac:dyDescent="0.4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spans="1:25" ht="16.8" x14ac:dyDescent="0.4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spans="1:25" ht="16.8" x14ac:dyDescent="0.4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spans="1:25" ht="16.8" x14ac:dyDescent="0.4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spans="1:25" ht="16.8" x14ac:dyDescent="0.4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spans="1:25" ht="16.8" x14ac:dyDescent="0.4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spans="1:25" ht="16.8" x14ac:dyDescent="0.4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spans="1:25" ht="16.8" x14ac:dyDescent="0.4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spans="1:25" ht="16.8" x14ac:dyDescent="0.4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spans="1:25" ht="16.8" x14ac:dyDescent="0.4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spans="1:25" ht="16.8" x14ac:dyDescent="0.4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spans="1:25" ht="16.8" x14ac:dyDescent="0.4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spans="1:25" ht="16.8" x14ac:dyDescent="0.4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spans="1:25" ht="16.8" x14ac:dyDescent="0.4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spans="1:25" ht="16.8" x14ac:dyDescent="0.4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spans="1:25" ht="16.8" x14ac:dyDescent="0.4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spans="1:25" ht="16.8" x14ac:dyDescent="0.4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spans="1:25" ht="16.8" x14ac:dyDescent="0.4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spans="1:25" ht="16.8" x14ac:dyDescent="0.4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spans="1:25" ht="16.8" x14ac:dyDescent="0.4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spans="1:25" ht="16.8" x14ac:dyDescent="0.4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spans="1:25" ht="16.8" x14ac:dyDescent="0.4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spans="1:25" ht="16.8" x14ac:dyDescent="0.4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spans="1:25" ht="16.8" x14ac:dyDescent="0.4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spans="1:25" ht="16.8" x14ac:dyDescent="0.4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spans="1:25" ht="16.8" x14ac:dyDescent="0.4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spans="1:25" ht="16.8" x14ac:dyDescent="0.4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spans="1:25" ht="16.8" x14ac:dyDescent="0.4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spans="1:25" ht="16.8" x14ac:dyDescent="0.4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spans="1:25" ht="16.8" x14ac:dyDescent="0.4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spans="1:25" ht="16.8" x14ac:dyDescent="0.4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spans="1:25" ht="16.8" x14ac:dyDescent="0.4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spans="1:25" ht="16.8" x14ac:dyDescent="0.4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spans="1:25" ht="16.8" x14ac:dyDescent="0.4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spans="1:25" ht="16.8" x14ac:dyDescent="0.4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spans="1:25" ht="16.8" x14ac:dyDescent="0.4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spans="1:25" ht="16.8" x14ac:dyDescent="0.4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spans="1:25" ht="16.8" x14ac:dyDescent="0.4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spans="1:25" ht="16.8" x14ac:dyDescent="0.4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spans="1:25" ht="16.8" x14ac:dyDescent="0.4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spans="1:25" ht="16.8" x14ac:dyDescent="0.4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spans="1:25" ht="16.8" x14ac:dyDescent="0.4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spans="1:25" ht="16.8" x14ac:dyDescent="0.4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spans="1:25" ht="16.8" x14ac:dyDescent="0.4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spans="1:25" ht="16.8" x14ac:dyDescent="0.4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spans="1:25" ht="16.8" x14ac:dyDescent="0.4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spans="1:25" ht="16.8" x14ac:dyDescent="0.4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spans="1:25" ht="16.8" x14ac:dyDescent="0.4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spans="1:25" ht="16.8" x14ac:dyDescent="0.4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spans="1:25" ht="16.8" x14ac:dyDescent="0.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spans="1:25" ht="16.8" x14ac:dyDescent="0.4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spans="1:25" ht="16.8" x14ac:dyDescent="0.4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spans="1:25" ht="16.8" x14ac:dyDescent="0.4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spans="1:25" ht="16.8" x14ac:dyDescent="0.4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spans="1:25" ht="16.8" x14ac:dyDescent="0.4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spans="1:25" ht="16.8" x14ac:dyDescent="0.4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spans="1:25" ht="16.8" x14ac:dyDescent="0.4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spans="1:25" ht="16.8" x14ac:dyDescent="0.4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spans="1:25" ht="16.8" x14ac:dyDescent="0.4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spans="1:25" ht="16.8" x14ac:dyDescent="0.4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spans="1:25" ht="16.8" x14ac:dyDescent="0.4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spans="1:25" ht="16.8" x14ac:dyDescent="0.4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spans="1:25" ht="16.8" x14ac:dyDescent="0.4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spans="1:25" ht="16.8" x14ac:dyDescent="0.4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spans="1:25" ht="16.8" x14ac:dyDescent="0.4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spans="1:25" ht="16.8" x14ac:dyDescent="0.4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spans="1:25" ht="16.8" x14ac:dyDescent="0.4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spans="1:25" ht="16.8" x14ac:dyDescent="0.4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spans="1:25" ht="16.8" x14ac:dyDescent="0.4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spans="1:25" ht="16.8" x14ac:dyDescent="0.4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spans="1:25" ht="16.8" x14ac:dyDescent="0.4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spans="1:25" ht="16.8" x14ac:dyDescent="0.4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spans="1:25" ht="16.8" x14ac:dyDescent="0.4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spans="1:25" ht="16.8" x14ac:dyDescent="0.4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spans="1:25" ht="16.8" x14ac:dyDescent="0.4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spans="1:25" ht="16.8" x14ac:dyDescent="0.4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spans="1:25" ht="16.8" x14ac:dyDescent="0.4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spans="1:25" ht="16.8" x14ac:dyDescent="0.4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spans="1:25" ht="16.8" x14ac:dyDescent="0.4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spans="1:25" ht="16.8" x14ac:dyDescent="0.4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spans="1:25" ht="16.8" x14ac:dyDescent="0.4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spans="1:25" ht="16.8" x14ac:dyDescent="0.4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spans="1:25" ht="16.8" x14ac:dyDescent="0.4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spans="1:25" ht="16.8" x14ac:dyDescent="0.4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spans="1:25" ht="16.8" x14ac:dyDescent="0.4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spans="1:25" ht="16.8" x14ac:dyDescent="0.4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spans="1:25" ht="16.8" x14ac:dyDescent="0.4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spans="1:25" ht="16.8" x14ac:dyDescent="0.4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spans="1:25" ht="16.8" x14ac:dyDescent="0.4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spans="1:25" ht="16.8" x14ac:dyDescent="0.4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spans="1:25" ht="16.8" x14ac:dyDescent="0.4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spans="1:25" ht="16.8" x14ac:dyDescent="0.4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spans="1:25" ht="16.8" x14ac:dyDescent="0.4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spans="1:25" ht="16.8" x14ac:dyDescent="0.4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spans="1:25" ht="16.8" x14ac:dyDescent="0.4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spans="1:25" ht="16.8" x14ac:dyDescent="0.4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spans="1:25" ht="16.8" x14ac:dyDescent="0.4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spans="1:25" ht="16.8" x14ac:dyDescent="0.4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spans="1:25" ht="16.8" x14ac:dyDescent="0.4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spans="1:25" ht="16.8" x14ac:dyDescent="0.4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spans="1:25" ht="16.8" x14ac:dyDescent="0.4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spans="1:25" ht="16.8" x14ac:dyDescent="0.4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spans="1:25" ht="16.8" x14ac:dyDescent="0.4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spans="1:25" ht="16.8" x14ac:dyDescent="0.4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spans="1:25" ht="16.8" x14ac:dyDescent="0.4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spans="1:25" ht="16.8" x14ac:dyDescent="0.4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spans="1:25" ht="16.8" x14ac:dyDescent="0.4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spans="1:25" ht="16.8" x14ac:dyDescent="0.4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spans="1:25" ht="16.8" x14ac:dyDescent="0.4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spans="1:25" ht="16.8" x14ac:dyDescent="0.4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spans="1:25" ht="16.8" x14ac:dyDescent="0.4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spans="1:25" ht="16.8" x14ac:dyDescent="0.4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spans="1:25" ht="16.8" x14ac:dyDescent="0.4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spans="1:25" ht="16.8" x14ac:dyDescent="0.4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spans="1:25" ht="16.8" x14ac:dyDescent="0.4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spans="1:25" ht="16.8" x14ac:dyDescent="0.4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spans="1:25" ht="16.8" x14ac:dyDescent="0.4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spans="1:25" ht="16.8" x14ac:dyDescent="0.4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spans="1:25" ht="16.8" x14ac:dyDescent="0.4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spans="1:25" ht="16.8" x14ac:dyDescent="0.4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spans="1:25" ht="16.8" x14ac:dyDescent="0.4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spans="1:25" ht="16.8" x14ac:dyDescent="0.4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spans="1:25" ht="16.8" x14ac:dyDescent="0.4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spans="1:25" ht="16.8" x14ac:dyDescent="0.4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spans="1:25" ht="16.8" x14ac:dyDescent="0.4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spans="1:25" ht="16.8" x14ac:dyDescent="0.4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spans="1:25" ht="16.8" x14ac:dyDescent="0.4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spans="1:25" ht="16.8" x14ac:dyDescent="0.4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spans="1:25" ht="16.8" x14ac:dyDescent="0.4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spans="1:25" ht="16.8" x14ac:dyDescent="0.4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spans="1:25" ht="16.8" x14ac:dyDescent="0.4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spans="1:25" ht="16.8" x14ac:dyDescent="0.4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spans="1:25" ht="16.8" x14ac:dyDescent="0.4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spans="1:25" ht="16.8" x14ac:dyDescent="0.4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spans="1:25" ht="16.8" x14ac:dyDescent="0.4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spans="1:25" ht="16.8" x14ac:dyDescent="0.4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spans="1:25" ht="16.8" x14ac:dyDescent="0.4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spans="1:25" ht="16.8" x14ac:dyDescent="0.4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spans="1:25" ht="16.8" x14ac:dyDescent="0.4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spans="1:25" ht="16.8" x14ac:dyDescent="0.4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spans="1:25" ht="16.8" x14ac:dyDescent="0.4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spans="1:25" ht="16.8" x14ac:dyDescent="0.4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spans="1:25" ht="16.8" x14ac:dyDescent="0.4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spans="1:25" ht="16.8" x14ac:dyDescent="0.4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spans="1:25" ht="16.8" x14ac:dyDescent="0.4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spans="1:25" ht="16.8" x14ac:dyDescent="0.4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spans="1:25" ht="16.8" x14ac:dyDescent="0.4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spans="1:25" ht="16.8" x14ac:dyDescent="0.4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spans="1:25" ht="16.8" x14ac:dyDescent="0.4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spans="1:25" ht="16.8" x14ac:dyDescent="0.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spans="1:25" ht="16.8" x14ac:dyDescent="0.4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spans="1:25" ht="16.8" x14ac:dyDescent="0.4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spans="1:25" ht="16.8" x14ac:dyDescent="0.4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spans="1:25" ht="16.8" x14ac:dyDescent="0.4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spans="1:25" ht="16.8" x14ac:dyDescent="0.4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spans="1:25" ht="16.8" x14ac:dyDescent="0.4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spans="1:25" ht="16.8" x14ac:dyDescent="0.4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spans="1:25" ht="16.8" x14ac:dyDescent="0.4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spans="1:25" ht="16.8" x14ac:dyDescent="0.4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spans="1:25" ht="16.8" x14ac:dyDescent="0.4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spans="1:25" ht="16.8" x14ac:dyDescent="0.4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spans="1:25" ht="16.8" x14ac:dyDescent="0.4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spans="1:25" ht="16.8" x14ac:dyDescent="0.4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spans="1:25" ht="16.8" x14ac:dyDescent="0.4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spans="1:25" ht="16.8" x14ac:dyDescent="0.4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spans="1:25" ht="16.8" x14ac:dyDescent="0.4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spans="1:25" ht="16.8" x14ac:dyDescent="0.4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spans="1:25" ht="16.8" x14ac:dyDescent="0.4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spans="1:25" ht="16.8" x14ac:dyDescent="0.4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spans="1:25" ht="16.8" x14ac:dyDescent="0.4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spans="1:25" ht="16.8" x14ac:dyDescent="0.4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spans="1:25" ht="16.8" x14ac:dyDescent="0.4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spans="1:25" ht="16.8" x14ac:dyDescent="0.4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spans="1:25" ht="16.8" x14ac:dyDescent="0.4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spans="1:25" ht="16.8" x14ac:dyDescent="0.4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spans="1:25" ht="16.8" x14ac:dyDescent="0.4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spans="1:25" ht="16.8" x14ac:dyDescent="0.4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spans="1:25" ht="16.8" x14ac:dyDescent="0.4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spans="1:25" ht="16.8" x14ac:dyDescent="0.4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spans="1:25" ht="16.8" x14ac:dyDescent="0.4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spans="1:25" ht="16.8" x14ac:dyDescent="0.4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spans="1:25" ht="16.8" x14ac:dyDescent="0.4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spans="1:25" ht="16.8" x14ac:dyDescent="0.4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spans="1:25" ht="16.8" x14ac:dyDescent="0.4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spans="1:25" ht="16.8" x14ac:dyDescent="0.4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spans="1:25" ht="16.8" x14ac:dyDescent="0.4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spans="1:25" ht="16.8" x14ac:dyDescent="0.4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spans="1:25" ht="16.8" x14ac:dyDescent="0.4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spans="1:25" ht="16.8" x14ac:dyDescent="0.4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spans="1:25" ht="16.8" x14ac:dyDescent="0.4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spans="1:25" ht="16.8" x14ac:dyDescent="0.4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spans="1:25" ht="16.8" x14ac:dyDescent="0.4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spans="1:25" ht="16.8" x14ac:dyDescent="0.4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spans="1:25" ht="16.8" x14ac:dyDescent="0.4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spans="1:25" ht="16.8" x14ac:dyDescent="0.4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spans="1:25" ht="16.8" x14ac:dyDescent="0.4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spans="1:25" ht="16.8" x14ac:dyDescent="0.4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spans="1:25" ht="16.8" x14ac:dyDescent="0.4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spans="1:25" ht="16.8" x14ac:dyDescent="0.4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spans="1:25" ht="16.8" x14ac:dyDescent="0.4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spans="1:25" ht="16.8" x14ac:dyDescent="0.4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spans="1:25" ht="16.8" x14ac:dyDescent="0.4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spans="1:25" ht="16.8" x14ac:dyDescent="0.4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spans="1:25" ht="16.8" x14ac:dyDescent="0.4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spans="1:25" ht="16.8" x14ac:dyDescent="0.4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spans="1:25" ht="16.8" x14ac:dyDescent="0.4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spans="1:25" ht="16.8" x14ac:dyDescent="0.4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spans="1:25" ht="16.8" x14ac:dyDescent="0.4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1:25" ht="16.8" x14ac:dyDescent="0.4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1:25" ht="16.8" x14ac:dyDescent="0.4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1:25" ht="16.8" x14ac:dyDescent="0.4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spans="1:25" ht="16.8" x14ac:dyDescent="0.4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1:25" ht="16.8" x14ac:dyDescent="0.4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1:25" ht="16.8" x14ac:dyDescent="0.4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1:25" ht="16.8" x14ac:dyDescent="0.4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25" ht="16.8" x14ac:dyDescent="0.4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1:25" ht="16.8" x14ac:dyDescent="0.4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1:25" ht="16.8" x14ac:dyDescent="0.4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25" ht="16.8" x14ac:dyDescent="0.4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1:25" ht="16.8" x14ac:dyDescent="0.4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spans="1:25" ht="16.8" x14ac:dyDescent="0.4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spans="1:25" ht="16.8" x14ac:dyDescent="0.4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5" ht="16.8" x14ac:dyDescent="0.4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1:25" ht="16.8" x14ac:dyDescent="0.4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1:25" ht="16.8" x14ac:dyDescent="0.4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ht="16.8" x14ac:dyDescent="0.4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1:25" ht="16.8" x14ac:dyDescent="0.4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1:25" ht="16.8" x14ac:dyDescent="0.4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1:25" ht="16.8" x14ac:dyDescent="0.4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1:25" ht="16.8" x14ac:dyDescent="0.4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1:25" ht="16.8" x14ac:dyDescent="0.4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ht="16.8" x14ac:dyDescent="0.4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25" ht="16.8" x14ac:dyDescent="0.4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5" ht="16.8" x14ac:dyDescent="0.4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ht="16.8" x14ac:dyDescent="0.4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ht="16.8" x14ac:dyDescent="0.4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25" ht="16.8" x14ac:dyDescent="0.4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ht="16.8" x14ac:dyDescent="0.4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1:25" ht="16.8" x14ac:dyDescent="0.4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ht="16.8" x14ac:dyDescent="0.4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ht="16.8" x14ac:dyDescent="0.4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ht="16.8" x14ac:dyDescent="0.4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ht="16.8" x14ac:dyDescent="0.4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1:25" ht="16.8" x14ac:dyDescent="0.4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ht="16.8" x14ac:dyDescent="0.4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ht="16.8" x14ac:dyDescent="0.4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1:25" ht="16.8" x14ac:dyDescent="0.4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1:25" ht="16.8" x14ac:dyDescent="0.4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ht="16.8" x14ac:dyDescent="0.4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ht="16.8" x14ac:dyDescent="0.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1:25" ht="16.8" x14ac:dyDescent="0.4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ht="16.8" x14ac:dyDescent="0.4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5" ht="16.8" x14ac:dyDescent="0.4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ht="16.8" x14ac:dyDescent="0.4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ht="16.8" x14ac:dyDescent="0.4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spans="1:25" ht="16.8" x14ac:dyDescent="0.4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spans="1:25" ht="16.8" x14ac:dyDescent="0.4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1:25" ht="16.8" x14ac:dyDescent="0.4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1:25" ht="16.8" x14ac:dyDescent="0.4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ht="16.8" x14ac:dyDescent="0.4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ht="16.8" x14ac:dyDescent="0.4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1:25" ht="16.8" x14ac:dyDescent="0.4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spans="1:25" ht="16.8" x14ac:dyDescent="0.4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spans="1:25" ht="16.8" x14ac:dyDescent="0.4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spans="1:25" ht="16.8" x14ac:dyDescent="0.4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ht="16.8" x14ac:dyDescent="0.4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ht="16.8" x14ac:dyDescent="0.4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ht="16.8" x14ac:dyDescent="0.4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spans="1:25" ht="16.8" x14ac:dyDescent="0.4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ht="16.8" x14ac:dyDescent="0.4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spans="1:25" ht="16.8" x14ac:dyDescent="0.4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spans="1:25" ht="16.8" x14ac:dyDescent="0.4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ht="16.8" x14ac:dyDescent="0.4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spans="1:25" ht="16.8" x14ac:dyDescent="0.4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spans="1:25" ht="16.8" x14ac:dyDescent="0.4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spans="1:25" ht="16.8" x14ac:dyDescent="0.4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ht="16.8" x14ac:dyDescent="0.4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ht="16.8" x14ac:dyDescent="0.4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ht="16.8" x14ac:dyDescent="0.4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spans="1:25" ht="16.8" x14ac:dyDescent="0.4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spans="1:25" ht="16.8" x14ac:dyDescent="0.4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spans="1:25" ht="16.8" x14ac:dyDescent="0.4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5" ht="16.8" x14ac:dyDescent="0.4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ht="16.8" x14ac:dyDescent="0.4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spans="1:25" ht="16.8" x14ac:dyDescent="0.4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spans="1:25" ht="16.8" x14ac:dyDescent="0.4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ht="16.8" x14ac:dyDescent="0.4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ht="16.8" x14ac:dyDescent="0.4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spans="1:25" ht="16.8" x14ac:dyDescent="0.4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spans="1:25" ht="16.8" x14ac:dyDescent="0.4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spans="1:25" ht="16.8" x14ac:dyDescent="0.4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spans="1:25" ht="16.8" x14ac:dyDescent="0.4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spans="1:25" ht="16.8" x14ac:dyDescent="0.4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5" ht="16.8" x14ac:dyDescent="0.4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spans="1:25" ht="16.8" x14ac:dyDescent="0.4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spans="1:25" ht="16.8" x14ac:dyDescent="0.4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spans="1:25" ht="16.8" x14ac:dyDescent="0.4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spans="1:25" ht="16.8" x14ac:dyDescent="0.4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spans="1:25" ht="16.8" x14ac:dyDescent="0.4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spans="1:25" ht="16.8" x14ac:dyDescent="0.4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spans="1:25" ht="16.8" x14ac:dyDescent="0.4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spans="1:25" ht="16.8" x14ac:dyDescent="0.4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spans="1:25" ht="16.8" x14ac:dyDescent="0.4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spans="1:25" ht="16.8" x14ac:dyDescent="0.4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spans="1:25" ht="16.8" x14ac:dyDescent="0.4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spans="1:25" ht="16.8" x14ac:dyDescent="0.4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spans="1:25" ht="16.8" x14ac:dyDescent="0.4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spans="1:25" ht="16.8" x14ac:dyDescent="0.4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spans="1:25" ht="16.8" x14ac:dyDescent="0.4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spans="1:25" ht="16.8" x14ac:dyDescent="0.4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spans="1:25" ht="16.8" x14ac:dyDescent="0.4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spans="1:25" ht="16.8" x14ac:dyDescent="0.4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5" ht="16.8" x14ac:dyDescent="0.4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5" ht="16.8" x14ac:dyDescent="0.4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5" ht="16.8" x14ac:dyDescent="0.4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5" ht="16.8" x14ac:dyDescent="0.4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5" ht="16.8" x14ac:dyDescent="0.4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ht="16.8" x14ac:dyDescent="0.4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ht="16.8" x14ac:dyDescent="0.4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ht="16.8" x14ac:dyDescent="0.4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ht="16.8" x14ac:dyDescent="0.4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ht="16.8" x14ac:dyDescent="0.4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ht="16.8" x14ac:dyDescent="0.4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ht="16.8" x14ac:dyDescent="0.4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ht="16.8" x14ac:dyDescent="0.4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ht="16.8" x14ac:dyDescent="0.4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ht="16.8" x14ac:dyDescent="0.4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ht="16.8" x14ac:dyDescent="0.4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ht="16.8" x14ac:dyDescent="0.4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ht="16.8" x14ac:dyDescent="0.4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ht="16.8" x14ac:dyDescent="0.4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ht="16.8" x14ac:dyDescent="0.4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ht="16.8" x14ac:dyDescent="0.4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ht="16.8" x14ac:dyDescent="0.4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ht="16.8" x14ac:dyDescent="0.4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ht="16.8" x14ac:dyDescent="0.4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ht="16.8" x14ac:dyDescent="0.4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ht="16.8" x14ac:dyDescent="0.4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ht="16.8" x14ac:dyDescent="0.4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ht="16.8" x14ac:dyDescent="0.4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ht="16.8" x14ac:dyDescent="0.4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ht="16.8" x14ac:dyDescent="0.4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ht="16.8" x14ac:dyDescent="0.4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ht="16.8" x14ac:dyDescent="0.4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ht="16.8" x14ac:dyDescent="0.4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spans="1:25" ht="16.8" x14ac:dyDescent="0.4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spans="1:25" ht="16.8" x14ac:dyDescent="0.4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spans="1:25" ht="16.8" x14ac:dyDescent="0.4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spans="1:25" ht="16.8" x14ac:dyDescent="0.4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spans="1:25" ht="16.8" x14ac:dyDescent="0.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spans="1:25" ht="16.8" x14ac:dyDescent="0.4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spans="1:25" ht="16.8" x14ac:dyDescent="0.4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spans="1:25" ht="16.8" x14ac:dyDescent="0.4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5" ht="16.8" x14ac:dyDescent="0.4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spans="1:25" ht="16.8" x14ac:dyDescent="0.4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spans="1:25" ht="16.8" x14ac:dyDescent="0.4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spans="1:25" ht="16.8" x14ac:dyDescent="0.4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spans="1:25" ht="16.8" x14ac:dyDescent="0.4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spans="1:25" ht="16.8" x14ac:dyDescent="0.4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spans="1:25" ht="16.8" x14ac:dyDescent="0.4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spans="1:25" ht="16.8" x14ac:dyDescent="0.4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spans="1:25" ht="16.8" x14ac:dyDescent="0.4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spans="1:25" ht="16.8" x14ac:dyDescent="0.4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spans="1:25" ht="16.8" x14ac:dyDescent="0.4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spans="1:25" ht="16.8" x14ac:dyDescent="0.4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spans="1:25" ht="16.8" x14ac:dyDescent="0.4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spans="1:25" ht="16.8" x14ac:dyDescent="0.4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spans="1:25" ht="16.8" x14ac:dyDescent="0.4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spans="1:25" ht="16.8" x14ac:dyDescent="0.4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spans="1:25" ht="16.8" x14ac:dyDescent="0.4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spans="1:25" ht="16.8" x14ac:dyDescent="0.4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spans="1:25" ht="16.8" x14ac:dyDescent="0.4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5" ht="16.8" x14ac:dyDescent="0.4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spans="1:25" ht="16.8" x14ac:dyDescent="0.4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spans="1:25" ht="16.8" x14ac:dyDescent="0.4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spans="1:25" ht="16.8" x14ac:dyDescent="0.4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spans="1:25" ht="16.8" x14ac:dyDescent="0.4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spans="1:25" ht="16.8" x14ac:dyDescent="0.4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spans="1:25" ht="16.8" x14ac:dyDescent="0.4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spans="1:25" ht="16.8" x14ac:dyDescent="0.4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spans="1:25" ht="16.8" x14ac:dyDescent="0.4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spans="1:25" ht="16.8" x14ac:dyDescent="0.4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spans="1:25" ht="16.8" x14ac:dyDescent="0.4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spans="1:25" ht="16.8" x14ac:dyDescent="0.4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spans="1:25" ht="16.8" x14ac:dyDescent="0.4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spans="1:25" ht="16.8" x14ac:dyDescent="0.4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spans="1:25" ht="16.8" x14ac:dyDescent="0.4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spans="1:25" ht="16.8" x14ac:dyDescent="0.4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spans="1:25" ht="16.8" x14ac:dyDescent="0.4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spans="1:25" ht="16.8" x14ac:dyDescent="0.4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spans="1:25" ht="16.8" x14ac:dyDescent="0.4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spans="1:25" ht="16.8" x14ac:dyDescent="0.4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spans="1:25" ht="16.8" x14ac:dyDescent="0.4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spans="1:25" ht="16.8" x14ac:dyDescent="0.4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spans="1:25" ht="16.8" x14ac:dyDescent="0.4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spans="1:25" ht="16.8" x14ac:dyDescent="0.4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spans="1:25" ht="16.8" x14ac:dyDescent="0.4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spans="1:25" ht="16.8" x14ac:dyDescent="0.4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spans="1:25" ht="16.8" x14ac:dyDescent="0.4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spans="1:25" ht="16.8" x14ac:dyDescent="0.4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spans="1:25" ht="16.8" x14ac:dyDescent="0.4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spans="1:25" ht="16.8" x14ac:dyDescent="0.4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spans="1:25" ht="16.8" x14ac:dyDescent="0.4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spans="1:25" ht="16.8" x14ac:dyDescent="0.4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spans="1:25" ht="16.8" x14ac:dyDescent="0.4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spans="1:25" ht="16.8" x14ac:dyDescent="0.4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spans="1:25" ht="16.8" x14ac:dyDescent="0.4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spans="1:25" ht="16.8" x14ac:dyDescent="0.4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spans="1:25" ht="16.8" x14ac:dyDescent="0.4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spans="1:25" ht="16.8" x14ac:dyDescent="0.4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spans="1:25" ht="16.8" x14ac:dyDescent="0.4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spans="1:25" ht="16.8" x14ac:dyDescent="0.4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spans="1:25" ht="16.8" x14ac:dyDescent="0.4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spans="1:25" ht="16.8" x14ac:dyDescent="0.4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spans="1:25" ht="16.8" x14ac:dyDescent="0.4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spans="1:25" ht="16.8" x14ac:dyDescent="0.4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spans="1:25" ht="16.8" x14ac:dyDescent="0.4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spans="1:25" ht="16.8" x14ac:dyDescent="0.4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spans="1:25" ht="16.8" x14ac:dyDescent="0.4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spans="1:25" ht="16.8" x14ac:dyDescent="0.4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spans="1:25" ht="16.8" x14ac:dyDescent="0.4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spans="1:25" ht="16.8" x14ac:dyDescent="0.4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spans="1:25" ht="16.8" x14ac:dyDescent="0.4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spans="1:25" ht="16.8" x14ac:dyDescent="0.4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spans="1:25" ht="16.8" x14ac:dyDescent="0.4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spans="1:25" ht="16.8" x14ac:dyDescent="0.4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spans="1:25" ht="16.8" x14ac:dyDescent="0.4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spans="1:25" ht="16.8" x14ac:dyDescent="0.4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spans="1:25" ht="16.8" x14ac:dyDescent="0.4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spans="1:25" ht="16.8" x14ac:dyDescent="0.4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spans="1:25" ht="16.8" x14ac:dyDescent="0.4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spans="1:25" ht="16.8" x14ac:dyDescent="0.4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spans="1:25" ht="16.8" x14ac:dyDescent="0.4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spans="1:25" ht="16.8" x14ac:dyDescent="0.4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spans="1:25" ht="16.8" x14ac:dyDescent="0.4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spans="1:25" ht="16.8" x14ac:dyDescent="0.4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spans="1:25" ht="16.8" x14ac:dyDescent="0.4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spans="1:25" ht="16.8" x14ac:dyDescent="0.4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spans="1:25" ht="16.8" x14ac:dyDescent="0.4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spans="1:25" ht="16.8" x14ac:dyDescent="0.4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spans="1:25" ht="16.8" x14ac:dyDescent="0.4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spans="1:25" ht="16.8" x14ac:dyDescent="0.4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spans="1:25" ht="16.8" x14ac:dyDescent="0.4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spans="1:25" ht="16.8" x14ac:dyDescent="0.4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spans="1:25" ht="16.8" x14ac:dyDescent="0.4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spans="1:25" ht="16.8" x14ac:dyDescent="0.4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spans="1:25" ht="16.8" x14ac:dyDescent="0.4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spans="1:25" ht="16.8" x14ac:dyDescent="0.4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spans="1:25" ht="16.8" x14ac:dyDescent="0.4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spans="1:25" ht="16.8" x14ac:dyDescent="0.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spans="1:25" ht="16.8" x14ac:dyDescent="0.4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spans="1:25" ht="16.8" x14ac:dyDescent="0.4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spans="1:25" ht="16.8" x14ac:dyDescent="0.4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spans="1:25" ht="16.8" x14ac:dyDescent="0.4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spans="1:25" ht="16.8" x14ac:dyDescent="0.4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spans="1:25" ht="16.8" x14ac:dyDescent="0.4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spans="1:25" ht="16.8" x14ac:dyDescent="0.4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spans="1:25" ht="16.8" x14ac:dyDescent="0.4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spans="1:25" ht="16.8" x14ac:dyDescent="0.4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spans="1:25" ht="16.8" x14ac:dyDescent="0.4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spans="1:25" ht="16.8" x14ac:dyDescent="0.4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spans="1:25" ht="16.8" x14ac:dyDescent="0.4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spans="1:25" ht="16.8" x14ac:dyDescent="0.4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spans="1:25" ht="16.8" x14ac:dyDescent="0.4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spans="1:25" ht="16.8" x14ac:dyDescent="0.4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spans="1:25" ht="16.8" x14ac:dyDescent="0.4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spans="1:25" ht="16.8" x14ac:dyDescent="0.4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spans="1:25" ht="16.8" x14ac:dyDescent="0.4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spans="1:25" ht="16.8" x14ac:dyDescent="0.4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spans="1:25" ht="16.8" x14ac:dyDescent="0.4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spans="1:25" ht="16.8" x14ac:dyDescent="0.4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spans="1:25" ht="16.8" x14ac:dyDescent="0.4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spans="1:25" ht="16.8" x14ac:dyDescent="0.4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spans="1:25" ht="16.8" x14ac:dyDescent="0.4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spans="1:25" ht="16.8" x14ac:dyDescent="0.4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spans="1:25" ht="16.8" x14ac:dyDescent="0.4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spans="1:25" ht="16.8" x14ac:dyDescent="0.4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spans="1:25" ht="16.8" x14ac:dyDescent="0.4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spans="1:25" ht="16.8" x14ac:dyDescent="0.4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spans="1:25" ht="16.8" x14ac:dyDescent="0.4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spans="1:25" ht="16.8" x14ac:dyDescent="0.4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spans="1:25" ht="16.8" x14ac:dyDescent="0.4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spans="1:25" ht="16.8" x14ac:dyDescent="0.4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spans="1:25" ht="16.8" x14ac:dyDescent="0.4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spans="1:25" ht="16.8" x14ac:dyDescent="0.4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spans="1:25" ht="16.8" x14ac:dyDescent="0.4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spans="1:25" ht="16.8" x14ac:dyDescent="0.4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spans="1:25" ht="16.8" x14ac:dyDescent="0.4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spans="1:25" ht="16.8" x14ac:dyDescent="0.4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spans="1:25" ht="16.8" x14ac:dyDescent="0.4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spans="1:25" ht="16.8" x14ac:dyDescent="0.4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spans="1:25" ht="16.8" x14ac:dyDescent="0.4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spans="1:25" ht="16.8" x14ac:dyDescent="0.4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spans="1:25" ht="16.8" x14ac:dyDescent="0.4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spans="1:25" ht="16.8" x14ac:dyDescent="0.4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spans="1:25" ht="16.8" x14ac:dyDescent="0.4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spans="1:25" ht="16.8" x14ac:dyDescent="0.4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spans="1:25" ht="16.8" x14ac:dyDescent="0.4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spans="1:25" ht="16.8" x14ac:dyDescent="0.4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spans="1:25" ht="16.8" x14ac:dyDescent="0.4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spans="1:25" ht="16.8" x14ac:dyDescent="0.4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spans="1:25" ht="16.8" x14ac:dyDescent="0.4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spans="1:25" ht="16.8" x14ac:dyDescent="0.4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spans="1:25" ht="16.8" x14ac:dyDescent="0.4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spans="1:25" ht="16.8" x14ac:dyDescent="0.4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spans="1:25" ht="16.8" x14ac:dyDescent="0.4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spans="1:25" ht="16.8" x14ac:dyDescent="0.4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spans="1:25" ht="16.8" x14ac:dyDescent="0.4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spans="1:25" ht="16.8" x14ac:dyDescent="0.4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spans="1:25" ht="16.8" x14ac:dyDescent="0.4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spans="1:25" ht="16.8" x14ac:dyDescent="0.4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spans="1:25" ht="16.8" x14ac:dyDescent="0.4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spans="1:25" ht="16.8" x14ac:dyDescent="0.4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spans="1:25" ht="16.8" x14ac:dyDescent="0.4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spans="1:25" ht="16.8" x14ac:dyDescent="0.4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spans="1:25" ht="16.8" x14ac:dyDescent="0.4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spans="1:25" ht="16.8" x14ac:dyDescent="0.4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spans="1:25" ht="16.8" x14ac:dyDescent="0.4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spans="1:25" ht="16.8" x14ac:dyDescent="0.4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spans="1:25" ht="16.8" x14ac:dyDescent="0.4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spans="1:25" ht="16.8" x14ac:dyDescent="0.4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spans="1:25" ht="16.8" x14ac:dyDescent="0.4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spans="1:25" ht="16.8" x14ac:dyDescent="0.4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spans="1:25" ht="16.8" x14ac:dyDescent="0.4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spans="1:25" ht="16.8" x14ac:dyDescent="0.4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spans="1:25" ht="16.8" x14ac:dyDescent="0.4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spans="1:25" ht="16.8" x14ac:dyDescent="0.4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spans="1:25" ht="16.8" x14ac:dyDescent="0.4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spans="1:25" ht="16.8" x14ac:dyDescent="0.4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spans="1:25" ht="16.8" x14ac:dyDescent="0.4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spans="1:25" ht="16.8" x14ac:dyDescent="0.4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spans="1:25" ht="16.8" x14ac:dyDescent="0.4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spans="1:25" ht="16.8" x14ac:dyDescent="0.4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spans="1:25" ht="16.8" x14ac:dyDescent="0.4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spans="1:25" ht="16.8" x14ac:dyDescent="0.4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spans="1:25" ht="16.8" x14ac:dyDescent="0.4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spans="1:25" ht="16.8" x14ac:dyDescent="0.4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spans="1:25" ht="16.8" x14ac:dyDescent="0.4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spans="1:25" ht="16.8" x14ac:dyDescent="0.4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spans="1:25" ht="16.8" x14ac:dyDescent="0.4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spans="1:25" ht="16.8" x14ac:dyDescent="0.4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spans="1:25" ht="16.8" x14ac:dyDescent="0.4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spans="1:25" ht="16.8" x14ac:dyDescent="0.4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spans="1:25" ht="16.8" x14ac:dyDescent="0.4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spans="1:25" ht="16.8" x14ac:dyDescent="0.4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spans="1:25" ht="16.8" x14ac:dyDescent="0.4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spans="1:25" ht="16.8" x14ac:dyDescent="0.4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spans="1:25" ht="16.8" x14ac:dyDescent="0.4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spans="1:25" ht="16.8" x14ac:dyDescent="0.4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spans="1:25" ht="16.8" x14ac:dyDescent="0.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spans="1:25" ht="16.8" x14ac:dyDescent="0.4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spans="1:25" ht="16.8" x14ac:dyDescent="0.4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spans="1:25" ht="16.8" x14ac:dyDescent="0.4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spans="1:25" ht="16.8" x14ac:dyDescent="0.4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spans="1:25" ht="16.8" x14ac:dyDescent="0.4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spans="1:25" ht="16.8" x14ac:dyDescent="0.4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spans="1:25" ht="16.8" x14ac:dyDescent="0.4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spans="1:25" ht="16.8" x14ac:dyDescent="0.4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spans="1:25" ht="16.8" x14ac:dyDescent="0.4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spans="1:25" ht="16.8" x14ac:dyDescent="0.4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spans="1:25" ht="16.8" x14ac:dyDescent="0.4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spans="1:25" ht="16.8" x14ac:dyDescent="0.4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spans="1:25" ht="16.8" x14ac:dyDescent="0.4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spans="1:25" ht="16.8" x14ac:dyDescent="0.4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spans="1:25" ht="16.8" x14ac:dyDescent="0.4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spans="1:25" ht="16.8" x14ac:dyDescent="0.4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spans="1:25" ht="16.8" x14ac:dyDescent="0.4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spans="1:25" ht="16.8" x14ac:dyDescent="0.4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spans="1:25" ht="16.8" x14ac:dyDescent="0.4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spans="1:25" ht="16.8" x14ac:dyDescent="0.4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spans="1:25" ht="16.8" x14ac:dyDescent="0.4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spans="1:25" ht="16.8" x14ac:dyDescent="0.4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spans="1:25" ht="16.8" x14ac:dyDescent="0.4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spans="1:25" ht="16.8" x14ac:dyDescent="0.4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spans="1:25" ht="16.8" x14ac:dyDescent="0.4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spans="1:25" ht="16.8" x14ac:dyDescent="0.4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spans="1:25" ht="16.8" x14ac:dyDescent="0.4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spans="1:25" ht="16.8" x14ac:dyDescent="0.4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spans="1:25" ht="16.8" x14ac:dyDescent="0.4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spans="1:25" ht="16.8" x14ac:dyDescent="0.4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spans="1:25" ht="16.8" x14ac:dyDescent="0.4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spans="1:25" ht="16.8" x14ac:dyDescent="0.4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spans="1:25" ht="16.8" x14ac:dyDescent="0.4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spans="1:25" ht="16.8" x14ac:dyDescent="0.4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spans="1:25" ht="16.8" x14ac:dyDescent="0.4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spans="1:25" ht="16.8" x14ac:dyDescent="0.4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spans="1:25" ht="16.8" x14ac:dyDescent="0.4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spans="1:25" ht="16.8" x14ac:dyDescent="0.4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spans="1:25" ht="16.8" x14ac:dyDescent="0.4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spans="1:25" ht="16.8" x14ac:dyDescent="0.4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spans="1:25" ht="16.8" x14ac:dyDescent="0.4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spans="1:25" ht="16.8" x14ac:dyDescent="0.4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spans="1:25" ht="16.8" x14ac:dyDescent="0.4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spans="1:25" ht="16.8" x14ac:dyDescent="0.4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spans="1:25" ht="16.8" x14ac:dyDescent="0.4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spans="1:25" ht="16.8" x14ac:dyDescent="0.4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spans="1:25" ht="16.8" x14ac:dyDescent="0.4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spans="1:25" ht="16.8" x14ac:dyDescent="0.4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spans="1:25" ht="16.8" x14ac:dyDescent="0.4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spans="1:25" ht="16.8" x14ac:dyDescent="0.4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spans="1:25" ht="16.8" x14ac:dyDescent="0.4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spans="1:25" ht="16.8" x14ac:dyDescent="0.4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spans="1:25" ht="16.8" x14ac:dyDescent="0.4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spans="1:25" ht="16.8" x14ac:dyDescent="0.4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spans="1:25" ht="16.8" x14ac:dyDescent="0.4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spans="1:25" ht="16.8" x14ac:dyDescent="0.4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spans="1:25" ht="16.8" x14ac:dyDescent="0.4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spans="1:25" ht="16.8" x14ac:dyDescent="0.4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spans="1:25" ht="16.8" x14ac:dyDescent="0.4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spans="1:25" ht="16.8" x14ac:dyDescent="0.4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spans="1:25" ht="16.8" x14ac:dyDescent="0.4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spans="1:25" ht="16.8" x14ac:dyDescent="0.4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spans="1:25" ht="16.8" x14ac:dyDescent="0.4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spans="1:25" ht="16.8" x14ac:dyDescent="0.4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spans="1:25" ht="16.8" x14ac:dyDescent="0.4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spans="1:25" ht="16.8" x14ac:dyDescent="0.4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spans="1:25" ht="16.8" x14ac:dyDescent="0.4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spans="1:25" ht="16.8" x14ac:dyDescent="0.4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spans="1:25" ht="16.8" x14ac:dyDescent="0.4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spans="1:25" ht="16.8" x14ac:dyDescent="0.4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spans="1:25" ht="16.8" x14ac:dyDescent="0.4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spans="1:25" ht="16.8" x14ac:dyDescent="0.4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spans="1:25" ht="16.8" x14ac:dyDescent="0.4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spans="1:25" ht="16.8" x14ac:dyDescent="0.4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spans="1:25" ht="16.8" x14ac:dyDescent="0.4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spans="1:25" ht="16.8" x14ac:dyDescent="0.4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spans="1:25" ht="16.8" x14ac:dyDescent="0.4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spans="1:25" ht="16.8" x14ac:dyDescent="0.4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spans="1:25" ht="16.8" x14ac:dyDescent="0.4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spans="1:25" ht="16.8" x14ac:dyDescent="0.4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spans="1:25" ht="16.8" x14ac:dyDescent="0.4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spans="1:25" ht="16.8" x14ac:dyDescent="0.4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spans="1:25" ht="16.8" x14ac:dyDescent="0.4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spans="1:25" ht="16.8" x14ac:dyDescent="0.4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spans="1:25" ht="16.8" x14ac:dyDescent="0.4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spans="1:25" ht="16.8" x14ac:dyDescent="0.4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spans="1:25" ht="16.8" x14ac:dyDescent="0.4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spans="1:25" ht="16.8" x14ac:dyDescent="0.4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spans="1:25" ht="16.8" x14ac:dyDescent="0.4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spans="1:25" ht="16.8" x14ac:dyDescent="0.4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spans="1:25" ht="16.8" x14ac:dyDescent="0.4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spans="1:25" ht="16.8" x14ac:dyDescent="0.4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spans="1:25" ht="16.8" x14ac:dyDescent="0.4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spans="1:25" ht="16.8" x14ac:dyDescent="0.4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spans="1:25" ht="16.8" x14ac:dyDescent="0.4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spans="1:25" ht="16.8" x14ac:dyDescent="0.4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spans="1:25" ht="16.8" x14ac:dyDescent="0.4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spans="1:25" ht="16.8" x14ac:dyDescent="0.4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spans="1:25" ht="16.8" x14ac:dyDescent="0.4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spans="1:25" ht="16.8" x14ac:dyDescent="0.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spans="1:25" ht="16.8" x14ac:dyDescent="0.4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spans="1:25" ht="16.8" x14ac:dyDescent="0.4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spans="1:25" ht="16.8" x14ac:dyDescent="0.4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spans="1:25" ht="16.8" x14ac:dyDescent="0.4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spans="1:25" ht="16.8" x14ac:dyDescent="0.4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spans="1:25" ht="16.8" x14ac:dyDescent="0.4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spans="1:25" ht="16.8" x14ac:dyDescent="0.4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spans="1:25" ht="16.8" x14ac:dyDescent="0.4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spans="1:25" ht="16.8" x14ac:dyDescent="0.4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spans="1:25" ht="16.8" x14ac:dyDescent="0.4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spans="1:25" ht="16.8" x14ac:dyDescent="0.4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spans="1:25" ht="16.8" x14ac:dyDescent="0.4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spans="1:25" ht="16.8" x14ac:dyDescent="0.4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spans="1:25" ht="16.8" x14ac:dyDescent="0.4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spans="1:25" ht="16.8" x14ac:dyDescent="0.4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spans="1:25" ht="16.8" x14ac:dyDescent="0.4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spans="1:25" ht="16.8" x14ac:dyDescent="0.4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spans="1:25" ht="16.8" x14ac:dyDescent="0.4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spans="1:25" ht="16.8" x14ac:dyDescent="0.4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spans="1:25" ht="16.8" x14ac:dyDescent="0.4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spans="1:25" ht="16.8" x14ac:dyDescent="0.4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spans="1:25" ht="16.8" x14ac:dyDescent="0.4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spans="1:25" ht="16.8" x14ac:dyDescent="0.4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spans="1:25" ht="16.8" x14ac:dyDescent="0.4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spans="1:25" ht="16.8" x14ac:dyDescent="0.4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spans="1:25" ht="16.8" x14ac:dyDescent="0.4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spans="1:25" ht="16.8" x14ac:dyDescent="0.4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spans="1:25" ht="16.8" x14ac:dyDescent="0.4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spans="1:25" ht="16.8" x14ac:dyDescent="0.4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spans="1:25" ht="16.8" x14ac:dyDescent="0.4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spans="1:25" ht="16.8" x14ac:dyDescent="0.4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spans="1:25" ht="16.8" x14ac:dyDescent="0.4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spans="1:25" ht="16.8" x14ac:dyDescent="0.4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spans="1:25" ht="16.8" x14ac:dyDescent="0.4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spans="1:25" ht="16.8" x14ac:dyDescent="0.4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spans="1:25" ht="16.8" x14ac:dyDescent="0.4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spans="1:25" ht="16.8" x14ac:dyDescent="0.4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spans="1:25" ht="16.8" x14ac:dyDescent="0.4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spans="1:25" ht="16.8" x14ac:dyDescent="0.4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spans="1:25" ht="16.8" x14ac:dyDescent="0.4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spans="1:25" ht="16.8" x14ac:dyDescent="0.4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spans="1:25" ht="16.8" x14ac:dyDescent="0.4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spans="1:25" ht="16.8" x14ac:dyDescent="0.4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spans="1:25" ht="16.8" x14ac:dyDescent="0.4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spans="1:25" ht="16.8" x14ac:dyDescent="0.4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spans="1:25" ht="16.8" x14ac:dyDescent="0.4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spans="1:25" ht="16.8" x14ac:dyDescent="0.4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spans="1:25" ht="16.8" x14ac:dyDescent="0.4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spans="1:25" ht="16.8" x14ac:dyDescent="0.4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spans="1:25" ht="16.8" x14ac:dyDescent="0.4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spans="1:25" ht="16.8" x14ac:dyDescent="0.4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spans="1:25" ht="16.8" x14ac:dyDescent="0.4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spans="1:25" ht="16.8" x14ac:dyDescent="0.4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spans="1:25" ht="16.8" x14ac:dyDescent="0.4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spans="1:25" ht="16.8" x14ac:dyDescent="0.4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spans="1:25" ht="16.8" x14ac:dyDescent="0.4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spans="1:25" ht="16.8" x14ac:dyDescent="0.4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spans="1:25" ht="16.8" x14ac:dyDescent="0.4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spans="1:25" ht="16.8" x14ac:dyDescent="0.4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spans="1:25" ht="16.8" x14ac:dyDescent="0.4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spans="1:25" ht="16.8" x14ac:dyDescent="0.4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spans="1:25" ht="16.8" x14ac:dyDescent="0.4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spans="1:25" ht="16.8" x14ac:dyDescent="0.4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spans="1:25" ht="16.8" x14ac:dyDescent="0.4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spans="1:25" ht="16.8" x14ac:dyDescent="0.4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spans="1:25" ht="16.8" x14ac:dyDescent="0.4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spans="1:25" ht="16.8" x14ac:dyDescent="0.4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spans="1:25" ht="16.8" x14ac:dyDescent="0.4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spans="1:25" ht="16.8" x14ac:dyDescent="0.4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spans="1:25" ht="16.8" x14ac:dyDescent="0.4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spans="1:25" ht="16.8" x14ac:dyDescent="0.4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spans="1:25" ht="16.8" x14ac:dyDescent="0.4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spans="1:25" ht="16.8" x14ac:dyDescent="0.4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spans="1:25" ht="16.8" x14ac:dyDescent="0.4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spans="1:25" ht="16.8" x14ac:dyDescent="0.4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spans="1:25" ht="16.8" x14ac:dyDescent="0.4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spans="1:25" ht="16.8" x14ac:dyDescent="0.4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spans="1:25" ht="16.8" x14ac:dyDescent="0.4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spans="1:25" ht="16.8" x14ac:dyDescent="0.4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spans="1:25" ht="16.8" x14ac:dyDescent="0.4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spans="1:25" ht="16.8" x14ac:dyDescent="0.4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spans="1:25" ht="16.8" x14ac:dyDescent="0.4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spans="1:25" ht="16.8" x14ac:dyDescent="0.4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spans="1:25" ht="16.8" x14ac:dyDescent="0.4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spans="1:25" ht="16.8" x14ac:dyDescent="0.4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spans="1:25" ht="16.8" x14ac:dyDescent="0.4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spans="1:25" ht="16.8" x14ac:dyDescent="0.4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spans="1:25" ht="16.8" x14ac:dyDescent="0.4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spans="1:25" ht="16.8" x14ac:dyDescent="0.4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spans="1:25" ht="16.8" x14ac:dyDescent="0.4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spans="1:25" ht="16.8" x14ac:dyDescent="0.4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spans="1:25" ht="16.8" x14ac:dyDescent="0.4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spans="1:25" ht="16.8" x14ac:dyDescent="0.4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spans="1:25" ht="16.8" x14ac:dyDescent="0.4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spans="1:25" ht="16.8" x14ac:dyDescent="0.4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spans="1:25" ht="16.8" x14ac:dyDescent="0.4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spans="1:25" ht="16.8" x14ac:dyDescent="0.4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spans="1:25" ht="16.8" x14ac:dyDescent="0.4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spans="1:25" ht="16.8" x14ac:dyDescent="0.4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spans="1:25" ht="16.8" x14ac:dyDescent="0.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spans="1:25" ht="16.8" x14ac:dyDescent="0.4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spans="1:25" ht="16.8" x14ac:dyDescent="0.4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spans="1:25" ht="16.8" x14ac:dyDescent="0.4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spans="1:25" ht="16.8" x14ac:dyDescent="0.4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spans="1:25" ht="16.8" x14ac:dyDescent="0.4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spans="1:25" ht="16.8" x14ac:dyDescent="0.4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spans="1:25" ht="16.8" x14ac:dyDescent="0.4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spans="1:25" ht="16.8" x14ac:dyDescent="0.4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spans="1:25" ht="16.8" x14ac:dyDescent="0.4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spans="1:25" ht="16.8" x14ac:dyDescent="0.4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spans="1:25" ht="16.8" x14ac:dyDescent="0.4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spans="1:25" ht="16.8" x14ac:dyDescent="0.4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spans="1:25" ht="16.8" x14ac:dyDescent="0.4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spans="1:25" ht="16.8" x14ac:dyDescent="0.4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spans="1:25" ht="16.8" x14ac:dyDescent="0.4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spans="1:25" ht="16.8" x14ac:dyDescent="0.4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spans="1:25" ht="16.8" x14ac:dyDescent="0.4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spans="1:25" ht="16.8" x14ac:dyDescent="0.4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spans="1:25" ht="16.8" x14ac:dyDescent="0.4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spans="1:25" ht="16.8" x14ac:dyDescent="0.4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spans="1:25" ht="16.8" x14ac:dyDescent="0.4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spans="1:25" ht="16.8" x14ac:dyDescent="0.4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spans="1:25" ht="16.8" x14ac:dyDescent="0.4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spans="1:25" ht="16.8" x14ac:dyDescent="0.4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spans="1:25" ht="16.8" x14ac:dyDescent="0.4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spans="1:25" ht="16.8" x14ac:dyDescent="0.4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spans="1:25" ht="16.8" x14ac:dyDescent="0.4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spans="1:25" ht="16.8" x14ac:dyDescent="0.4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spans="1:25" ht="16.8" x14ac:dyDescent="0.4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spans="1:25" ht="16.8" x14ac:dyDescent="0.4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spans="1:25" ht="16.8" x14ac:dyDescent="0.4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spans="1:25" ht="16.8" x14ac:dyDescent="0.4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spans="1:25" ht="16.8" x14ac:dyDescent="0.4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spans="1:25" ht="16.8" x14ac:dyDescent="0.4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spans="1:25" ht="16.8" x14ac:dyDescent="0.4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spans="1:25" ht="16.8" x14ac:dyDescent="0.4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spans="1:25" ht="16.8" x14ac:dyDescent="0.4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spans="1:25" ht="16.8" x14ac:dyDescent="0.4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spans="1:25" ht="16.8" x14ac:dyDescent="0.4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spans="1:25" ht="16.8" x14ac:dyDescent="0.4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spans="1:25" ht="16.8" x14ac:dyDescent="0.4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spans="1:25" ht="16.8" x14ac:dyDescent="0.4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spans="1:25" ht="16.8" x14ac:dyDescent="0.4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spans="1:25" ht="16.8" x14ac:dyDescent="0.4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spans="1:25" ht="16.8" x14ac:dyDescent="0.4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spans="1:25" ht="16.8" x14ac:dyDescent="0.4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 spans="1:25" ht="16.8" x14ac:dyDescent="0.4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 spans="1:25" ht="16.8" x14ac:dyDescent="0.4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 spans="1:25" ht="16.8" x14ac:dyDescent="0.4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 spans="1:25" ht="16.8" x14ac:dyDescent="0.4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 spans="1:25" ht="16.8" x14ac:dyDescent="0.4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 spans="1:25" ht="16.8" x14ac:dyDescent="0.4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 spans="1:25" ht="16.8" x14ac:dyDescent="0.4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 spans="1:25" ht="16.8" x14ac:dyDescent="0.4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 spans="1:25" ht="16.8" x14ac:dyDescent="0.4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  <row r="1001" spans="1:25" ht="16.8" x14ac:dyDescent="0.4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</row>
  </sheetData>
  <dataValidations count="2">
    <dataValidation type="list" allowBlank="1" showErrorMessage="1" sqref="E9" xr:uid="{00000000-0002-0000-0A00-000000000000}">
      <formula1>"2000,2010,1990"</formula1>
    </dataValidation>
    <dataValidation type="list" allowBlank="1" showErrorMessage="1" sqref="D9" xr:uid="{00000000-0002-0000-0A00-000001000000}">
      <formula1>"Action,Drama,Crime,Adventure,sci-fi"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2411"/>
  <sheetViews>
    <sheetView tabSelected="1" workbookViewId="0"/>
  </sheetViews>
  <sheetFormatPr defaultColWidth="12.6640625" defaultRowHeight="15.75" customHeight="1" x14ac:dyDescent="0.25"/>
  <cols>
    <col min="2" max="2" width="25.21875" customWidth="1"/>
    <col min="7" max="7" width="27.33203125" customWidth="1"/>
  </cols>
  <sheetData>
    <row r="1" spans="1:26" ht="15.75" customHeight="1" x14ac:dyDescent="0.45">
      <c r="A1" s="22" t="s">
        <v>214</v>
      </c>
      <c r="B1" s="7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 x14ac:dyDescent="0.45">
      <c r="A2" s="21" t="s">
        <v>215</v>
      </c>
      <c r="B2" s="7"/>
      <c r="C2" s="6"/>
      <c r="D2" s="6"/>
      <c r="E2" s="21" t="s">
        <v>216</v>
      </c>
      <c r="F2" s="21" t="s">
        <v>217</v>
      </c>
      <c r="G2" s="21" t="s">
        <v>218</v>
      </c>
      <c r="H2" s="21" t="s">
        <v>219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 x14ac:dyDescent="0.45">
      <c r="A3" s="6" t="str">
        <f ca="1">IFERROR(__xludf.DUMMYFUNCTION("IMPORTXML(A1, ""//h3"")"),"1. The Whale")</f>
        <v>1. The Whale</v>
      </c>
      <c r="B3" s="7"/>
      <c r="C3" s="6"/>
      <c r="D3" s="6"/>
      <c r="E3" s="6" t="s">
        <v>30</v>
      </c>
      <c r="F3" s="6" t="s">
        <v>220</v>
      </c>
      <c r="G3" s="6" t="s">
        <v>221</v>
      </c>
      <c r="H3" s="6">
        <v>9.3000000000000007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 x14ac:dyDescent="0.45">
      <c r="A4" s="6" t="str">
        <f ca="1">IFERROR(__xludf.DUMMYFUNCTION("""COMPUTED_VALUE"""),"2. Anatomy of a Fall")</f>
        <v>2. Anatomy of a Fall</v>
      </c>
      <c r="B4" s="7"/>
      <c r="C4" s="6"/>
      <c r="D4" s="6"/>
      <c r="E4" s="6" t="s">
        <v>30</v>
      </c>
      <c r="F4" s="6" t="s">
        <v>222</v>
      </c>
      <c r="G4" s="6" t="s">
        <v>223</v>
      </c>
      <c r="H4" s="6">
        <v>9.1999999999999993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 x14ac:dyDescent="0.45">
      <c r="A5" s="6" t="str">
        <f ca="1">IFERROR(__xludf.DUMMYFUNCTION("""COMPUTED_VALUE"""),"3. 500 Days of Summer")</f>
        <v>3. 500 Days of Summer</v>
      </c>
      <c r="B5" s="7"/>
      <c r="C5" s="6"/>
      <c r="D5" s="6"/>
      <c r="E5" s="6" t="s">
        <v>35</v>
      </c>
      <c r="F5" s="6" t="s">
        <v>224</v>
      </c>
      <c r="G5" s="6" t="s">
        <v>225</v>
      </c>
      <c r="H5" s="6">
        <v>9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 x14ac:dyDescent="0.45">
      <c r="A6" s="6" t="str">
        <f ca="1">IFERROR(__xludf.DUMMYFUNCTION("""COMPUTED_VALUE"""),"4. The Fifth Element")</f>
        <v>4. The Fifth Element</v>
      </c>
      <c r="B6" s="7"/>
      <c r="C6" s="6"/>
      <c r="D6" s="6"/>
      <c r="E6" s="6" t="s">
        <v>30</v>
      </c>
      <c r="F6" s="6" t="s">
        <v>226</v>
      </c>
      <c r="G6" s="6" t="s">
        <v>223</v>
      </c>
      <c r="H6" s="6">
        <v>9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 x14ac:dyDescent="0.45">
      <c r="A7" s="6" t="str">
        <f ca="1">IFERROR(__xludf.DUMMYFUNCTION("""COMPUTED_VALUE"""),"5. 300")</f>
        <v>5. 300</v>
      </c>
      <c r="B7" s="7"/>
      <c r="C7" s="6"/>
      <c r="D7" s="6"/>
      <c r="E7" s="6" t="s">
        <v>35</v>
      </c>
      <c r="F7" s="6" t="s">
        <v>227</v>
      </c>
      <c r="G7" s="6" t="s">
        <v>228</v>
      </c>
      <c r="H7" s="6">
        <v>8.9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 x14ac:dyDescent="0.45">
      <c r="A8" s="6" t="str">
        <f ca="1">IFERROR(__xludf.DUMMYFUNCTION("""COMPUTED_VALUE"""),"6. Minority Report")</f>
        <v>6. Minority Report</v>
      </c>
      <c r="B8" s="7"/>
      <c r="C8" s="6"/>
      <c r="D8" s="6"/>
      <c r="E8" s="6" t="s">
        <v>30</v>
      </c>
      <c r="F8" s="6" t="s">
        <v>229</v>
      </c>
      <c r="G8" s="6" t="s">
        <v>223</v>
      </c>
      <c r="H8" s="6">
        <v>8.9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 x14ac:dyDescent="0.45">
      <c r="A9" s="6" t="str">
        <f ca="1">IFERROR(__xludf.DUMMYFUNCTION("""COMPUTED_VALUE"""),"7. Blue Is the Warmest Colour")</f>
        <v>7. Blue Is the Warmest Colour</v>
      </c>
      <c r="B9" s="7"/>
      <c r="C9" s="6"/>
      <c r="D9" s="6"/>
      <c r="E9" s="6" t="s">
        <v>30</v>
      </c>
      <c r="F9" s="6" t="s">
        <v>230</v>
      </c>
      <c r="G9" s="6" t="s">
        <v>231</v>
      </c>
      <c r="H9" s="6">
        <v>8.9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 x14ac:dyDescent="0.45">
      <c r="A10" s="6" t="str">
        <f ca="1">IFERROR(__xludf.DUMMYFUNCTION("""COMPUTED_VALUE"""),"8. Kung Fu Panda")</f>
        <v>8. Kung Fu Panda</v>
      </c>
      <c r="B10" s="7"/>
      <c r="C10" s="6"/>
      <c r="D10" s="6"/>
      <c r="E10" s="6" t="s">
        <v>44</v>
      </c>
      <c r="F10" s="6" t="s">
        <v>232</v>
      </c>
      <c r="G10" s="6" t="s">
        <v>223</v>
      </c>
      <c r="H10" s="6">
        <v>8.9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 x14ac:dyDescent="0.45">
      <c r="A11" s="6" t="str">
        <f ca="1">IFERROR(__xludf.DUMMYFUNCTION("""COMPUTED_VALUE"""),"9. Hell or High Water")</f>
        <v>9. Hell or High Water</v>
      </c>
      <c r="B11" s="7"/>
      <c r="C11" s="6"/>
      <c r="D11" s="6"/>
      <c r="E11" s="6" t="s">
        <v>35</v>
      </c>
      <c r="F11" s="6" t="s">
        <v>233</v>
      </c>
      <c r="G11" s="6" t="s">
        <v>234</v>
      </c>
      <c r="H11" s="6">
        <v>8.8000000000000007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 x14ac:dyDescent="0.45">
      <c r="A12" s="6" t="str">
        <f ca="1">IFERROR(__xludf.DUMMYFUNCTION("""COMPUTED_VALUE"""),"10. Watchmen")</f>
        <v>10. Watchmen</v>
      </c>
      <c r="B12" s="7"/>
      <c r="C12" s="6"/>
      <c r="D12" s="6"/>
      <c r="E12" s="6" t="s">
        <v>30</v>
      </c>
      <c r="F12" s="6" t="s">
        <v>235</v>
      </c>
      <c r="G12" s="6" t="s">
        <v>221</v>
      </c>
      <c r="H12" s="6">
        <v>8.8000000000000007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 x14ac:dyDescent="0.45">
      <c r="A13" s="6" t="str">
        <f ca="1">IFERROR(__xludf.DUMMYFUNCTION("""COMPUTED_VALUE"""),"11. Star Wars: Episode III - Revenge of the Sith")</f>
        <v>11. Star Wars: Episode III - Revenge of the Sith</v>
      </c>
      <c r="B13" s="7"/>
      <c r="C13" s="6"/>
      <c r="D13" s="6"/>
      <c r="E13" s="6" t="s">
        <v>35</v>
      </c>
      <c r="F13" s="6" t="s">
        <v>236</v>
      </c>
      <c r="G13" s="6" t="s">
        <v>228</v>
      </c>
      <c r="H13" s="6">
        <v>8.8000000000000007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 x14ac:dyDescent="0.45">
      <c r="A14" s="6" t="str">
        <f ca="1">IFERROR(__xludf.DUMMYFUNCTION("""COMPUTED_VALUE"""),"12. Moneyball")</f>
        <v>12. Moneyball</v>
      </c>
      <c r="B14" s="7"/>
      <c r="C14" s="6"/>
      <c r="D14" s="6"/>
      <c r="E14" s="6" t="s">
        <v>35</v>
      </c>
      <c r="F14" s="6" t="s">
        <v>220</v>
      </c>
      <c r="G14" s="6" t="s">
        <v>237</v>
      </c>
      <c r="H14" s="6">
        <v>8.8000000000000007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 x14ac:dyDescent="0.45">
      <c r="A15" s="6" t="str">
        <f ca="1">IFERROR(__xludf.DUMMYFUNCTION("""COMPUTED_VALUE"""),"13. Deadpool 2")</f>
        <v>13. Deadpool 2</v>
      </c>
      <c r="B15" s="7"/>
      <c r="C15" s="6"/>
      <c r="D15" s="6"/>
      <c r="E15" s="6" t="s">
        <v>30</v>
      </c>
      <c r="F15" s="6" t="s">
        <v>236</v>
      </c>
      <c r="G15" s="6" t="s">
        <v>238</v>
      </c>
      <c r="H15" s="6">
        <v>8.8000000000000007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 x14ac:dyDescent="0.45">
      <c r="A16" s="6" t="str">
        <f ca="1">IFERROR(__xludf.DUMMYFUNCTION("""COMPUTED_VALUE"""),"14. The Others")</f>
        <v>14. The Others</v>
      </c>
      <c r="B16" s="7"/>
      <c r="C16" s="6"/>
      <c r="D16" s="6"/>
      <c r="E16" s="6" t="s">
        <v>35</v>
      </c>
      <c r="F16" s="6" t="s">
        <v>239</v>
      </c>
      <c r="G16" s="6" t="s">
        <v>231</v>
      </c>
      <c r="H16" s="6">
        <v>8.6999999999999993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 x14ac:dyDescent="0.45">
      <c r="A17" s="6" t="str">
        <f ca="1">IFERROR(__xludf.DUMMYFUNCTION("""COMPUTED_VALUE"""),"15. Office Space")</f>
        <v>15. Office Space</v>
      </c>
      <c r="B17" s="7"/>
      <c r="C17" s="6"/>
      <c r="D17" s="6"/>
      <c r="E17" s="6" t="s">
        <v>35</v>
      </c>
      <c r="F17" s="6" t="s">
        <v>240</v>
      </c>
      <c r="G17" s="6" t="s">
        <v>228</v>
      </c>
      <c r="H17" s="6">
        <v>8.6999999999999993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 x14ac:dyDescent="0.45">
      <c r="A18" s="6" t="str">
        <f ca="1">IFERROR(__xludf.DUMMYFUNCTION("""COMPUTED_VALUE"""),"16. The Machinist")</f>
        <v>16. The Machinist</v>
      </c>
      <c r="B18" s="7"/>
      <c r="C18" s="6"/>
      <c r="D18" s="6"/>
      <c r="E18" s="6" t="s">
        <v>30</v>
      </c>
      <c r="F18" s="6" t="s">
        <v>241</v>
      </c>
      <c r="G18" s="6" t="s">
        <v>242</v>
      </c>
      <c r="H18" s="6">
        <v>8.6999999999999993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 x14ac:dyDescent="0.45">
      <c r="A19" s="6" t="str">
        <f ca="1">IFERROR(__xludf.DUMMYFUNCTION("""COMPUTED_VALUE"""),"17. The Butterfly Effect")</f>
        <v>17. The Butterfly Effect</v>
      </c>
      <c r="B19" s="7"/>
      <c r="C19" s="6"/>
      <c r="D19" s="6"/>
      <c r="E19" s="6" t="s">
        <v>30</v>
      </c>
      <c r="F19" s="6" t="s">
        <v>243</v>
      </c>
      <c r="G19" s="6" t="s">
        <v>244</v>
      </c>
      <c r="H19" s="6">
        <v>8.6999999999999993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 x14ac:dyDescent="0.45">
      <c r="A20" s="6" t="str">
        <f ca="1">IFERROR(__xludf.DUMMYFUNCTION("""COMPUTED_VALUE"""),"18. The Last of the Mohicans")</f>
        <v>18. The Last of the Mohicans</v>
      </c>
      <c r="B20" s="7"/>
      <c r="C20" s="6"/>
      <c r="D20" s="6"/>
      <c r="E20" s="6" t="s">
        <v>60</v>
      </c>
      <c r="F20" s="6" t="s">
        <v>245</v>
      </c>
      <c r="G20" s="6" t="s">
        <v>246</v>
      </c>
      <c r="H20" s="6">
        <v>8.6999999999999993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45">
      <c r="A21" s="6" t="str">
        <f ca="1">IFERROR(__xludf.DUMMYFUNCTION("""COMPUTED_VALUE"""),"19. Toy Story 4")</f>
        <v>19. Toy Story 4</v>
      </c>
      <c r="B21" s="7"/>
      <c r="C21" s="6"/>
      <c r="D21" s="6"/>
      <c r="E21" s="6" t="s">
        <v>30</v>
      </c>
      <c r="F21" s="6" t="s">
        <v>247</v>
      </c>
      <c r="G21" s="6" t="s">
        <v>221</v>
      </c>
      <c r="H21" s="6">
        <v>8.6999999999999993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45">
      <c r="A22" s="6" t="str">
        <f ca="1">IFERROR(__xludf.DUMMYFUNCTION("""COMPUTED_VALUE"""),"20. The Vanishing")</f>
        <v>20. The Vanishing</v>
      </c>
      <c r="B22" s="7"/>
      <c r="C22" s="6"/>
      <c r="D22" s="6"/>
      <c r="E22" s="6" t="s">
        <v>30</v>
      </c>
      <c r="F22" s="6" t="s">
        <v>248</v>
      </c>
      <c r="G22" s="6" t="s">
        <v>249</v>
      </c>
      <c r="H22" s="6">
        <v>8.6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45">
      <c r="A23" s="6" t="str">
        <f ca="1">IFERROR(__xludf.DUMMYFUNCTION("""COMPUTED_VALUE"""),"21. Midnight in Paris")</f>
        <v>21. Midnight in Paris</v>
      </c>
      <c r="B23" s="7"/>
      <c r="C23" s="6"/>
      <c r="D23" s="6"/>
      <c r="E23" s="6" t="s">
        <v>35</v>
      </c>
      <c r="F23" s="6" t="s">
        <v>250</v>
      </c>
      <c r="G23" s="6" t="s">
        <v>251</v>
      </c>
      <c r="H23" s="6">
        <v>8.6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45">
      <c r="A24" s="6" t="str">
        <f ca="1">IFERROR(__xludf.DUMMYFUNCTION("""COMPUTED_VALUE"""),"22. Road to Perdition")</f>
        <v>22. Road to Perdition</v>
      </c>
      <c r="B24" s="7"/>
      <c r="C24" s="6"/>
      <c r="D24" s="6"/>
      <c r="E24" s="6" t="s">
        <v>30</v>
      </c>
      <c r="F24" s="6" t="s">
        <v>252</v>
      </c>
      <c r="G24" s="6" t="s">
        <v>223</v>
      </c>
      <c r="H24" s="6">
        <v>8.6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45">
      <c r="A25" s="6" t="str">
        <f ca="1">IFERROR(__xludf.DUMMYFUNCTION("""COMPUTED_VALUE"""),"23. My Cousin Vinny")</f>
        <v>23. My Cousin Vinny</v>
      </c>
      <c r="B25" s="7"/>
      <c r="C25" s="6"/>
      <c r="D25" s="6"/>
      <c r="E25" s="6" t="s">
        <v>60</v>
      </c>
      <c r="F25" s="6" t="s">
        <v>253</v>
      </c>
      <c r="G25" s="6" t="s">
        <v>254</v>
      </c>
      <c r="H25" s="6">
        <v>8.6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45">
      <c r="A26" s="6" t="str">
        <f ca="1">IFERROR(__xludf.DUMMYFUNCTION("""COMPUTED_VALUE"""),"24. What We Do in the Shadows")</f>
        <v>24. What We Do in the Shadows</v>
      </c>
      <c r="B26" s="7"/>
      <c r="C26" s="6"/>
      <c r="D26" s="6"/>
      <c r="E26" s="6" t="s">
        <v>30</v>
      </c>
      <c r="F26" s="6" t="s">
        <v>250</v>
      </c>
      <c r="G26" s="6" t="s">
        <v>255</v>
      </c>
      <c r="H26" s="6">
        <v>8.6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6.8" x14ac:dyDescent="0.45">
      <c r="A27" s="6" t="str">
        <f ca="1">IFERROR(__xludf.DUMMYFUNCTION("""COMPUTED_VALUE"""),"25. RoboCop")</f>
        <v>25. RoboCop</v>
      </c>
      <c r="B27" s="7"/>
      <c r="C27" s="6"/>
      <c r="D27" s="6"/>
      <c r="E27" s="6" t="s">
        <v>30</v>
      </c>
      <c r="F27" s="6" t="s">
        <v>256</v>
      </c>
      <c r="G27" s="6" t="s">
        <v>257</v>
      </c>
      <c r="H27" s="6">
        <v>8.6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6.8" x14ac:dyDescent="0.45">
      <c r="A28" s="6" t="str">
        <f ca="1">IFERROR(__xludf.DUMMYFUNCTION("""COMPUTED_VALUE"""),"Recently viewed")</f>
        <v>Recently viewed</v>
      </c>
      <c r="B28" s="7"/>
      <c r="C28" s="6"/>
      <c r="D28" s="6"/>
      <c r="E28" s="6" t="s">
        <v>35</v>
      </c>
      <c r="F28" s="6" t="s">
        <v>258</v>
      </c>
      <c r="G28" s="6" t="s">
        <v>259</v>
      </c>
      <c r="H28" s="6">
        <v>8.6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6.8" x14ac:dyDescent="0.45">
      <c r="A29" s="6"/>
      <c r="B29" s="7"/>
      <c r="C29" s="6"/>
      <c r="D29" s="6"/>
      <c r="E29" s="6" t="s">
        <v>30</v>
      </c>
      <c r="F29" s="6" t="s">
        <v>260</v>
      </c>
      <c r="G29" s="6" t="s">
        <v>261</v>
      </c>
      <c r="H29" s="6">
        <v>8.6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6.8" x14ac:dyDescent="0.45">
      <c r="A30" s="6"/>
      <c r="B30" s="7"/>
      <c r="C30" s="6"/>
      <c r="D30" s="6"/>
      <c r="E30" s="6" t="s">
        <v>30</v>
      </c>
      <c r="F30" s="6" t="s">
        <v>262</v>
      </c>
      <c r="G30" s="6" t="s">
        <v>263</v>
      </c>
      <c r="H30" s="6">
        <v>8.6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6.8" x14ac:dyDescent="0.45">
      <c r="A31" s="6"/>
      <c r="B31" s="7"/>
      <c r="C31" s="6"/>
      <c r="D31" s="6"/>
      <c r="E31" s="6" t="s">
        <v>60</v>
      </c>
      <c r="F31" s="6" t="s">
        <v>264</v>
      </c>
      <c r="G31" s="6" t="s">
        <v>246</v>
      </c>
      <c r="H31" s="6">
        <v>8.6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6.8" x14ac:dyDescent="0.45">
      <c r="A32" s="6"/>
      <c r="B32" s="7"/>
      <c r="C32" s="6"/>
      <c r="D32" s="6"/>
      <c r="E32" s="6" t="s">
        <v>82</v>
      </c>
      <c r="F32" s="6" t="s">
        <v>247</v>
      </c>
      <c r="G32" s="6" t="s">
        <v>265</v>
      </c>
      <c r="H32" s="6">
        <v>8.6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6.8" x14ac:dyDescent="0.45">
      <c r="A33" s="6"/>
      <c r="B33" s="7"/>
      <c r="C33" s="6"/>
      <c r="D33" s="6"/>
      <c r="E33" s="6" t="s">
        <v>82</v>
      </c>
      <c r="F33" s="6" t="s">
        <v>266</v>
      </c>
      <c r="G33" s="6" t="s">
        <v>228</v>
      </c>
      <c r="H33" s="6">
        <v>8.6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6.8" x14ac:dyDescent="0.45">
      <c r="A34" s="6"/>
      <c r="B34" s="7"/>
      <c r="C34" s="6"/>
      <c r="D34" s="6"/>
      <c r="E34" s="6" t="s">
        <v>60</v>
      </c>
      <c r="F34" s="6" t="s">
        <v>252</v>
      </c>
      <c r="G34" s="6" t="s">
        <v>267</v>
      </c>
      <c r="H34" s="6">
        <v>8.6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6.8" x14ac:dyDescent="0.45">
      <c r="A35" s="6"/>
      <c r="B35" s="7"/>
      <c r="C35" s="6"/>
      <c r="D35" s="6"/>
      <c r="E35" s="6" t="s">
        <v>30</v>
      </c>
      <c r="F35" s="6" t="s">
        <v>268</v>
      </c>
      <c r="G35" s="6" t="s">
        <v>263</v>
      </c>
      <c r="H35" s="6">
        <v>8.5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6.8" x14ac:dyDescent="0.45">
      <c r="A36" s="6"/>
      <c r="B36" s="7"/>
      <c r="C36" s="6"/>
      <c r="D36" s="6"/>
      <c r="E36" s="6" t="s">
        <v>30</v>
      </c>
      <c r="F36" s="6" t="s">
        <v>269</v>
      </c>
      <c r="G36" s="6" t="s">
        <v>270</v>
      </c>
      <c r="H36" s="6">
        <v>8.5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6.8" x14ac:dyDescent="0.45">
      <c r="A37" s="6"/>
      <c r="B37" s="7"/>
      <c r="C37" s="6"/>
      <c r="D37" s="6"/>
      <c r="E37" s="6" t="s">
        <v>30</v>
      </c>
      <c r="F37" s="6" t="s">
        <v>271</v>
      </c>
      <c r="G37" s="6" t="s">
        <v>272</v>
      </c>
      <c r="H37" s="6">
        <v>8.5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6.8" x14ac:dyDescent="0.45">
      <c r="A38" s="6"/>
      <c r="B38" s="7"/>
      <c r="C38" s="6"/>
      <c r="D38" s="6"/>
      <c r="E38" s="6" t="s">
        <v>35</v>
      </c>
      <c r="F38" s="6" t="s">
        <v>252</v>
      </c>
      <c r="G38" s="6" t="s">
        <v>273</v>
      </c>
      <c r="H38" s="6">
        <v>8.5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6.8" x14ac:dyDescent="0.45">
      <c r="A39" s="6"/>
      <c r="B39" s="7"/>
      <c r="C39" s="6"/>
      <c r="D39" s="6"/>
      <c r="E39" s="6" t="s">
        <v>30</v>
      </c>
      <c r="F39" s="6" t="s">
        <v>274</v>
      </c>
      <c r="G39" s="6" t="s">
        <v>263</v>
      </c>
      <c r="H39" s="6">
        <v>8.5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6.8" x14ac:dyDescent="0.45">
      <c r="A40" s="6"/>
      <c r="B40" s="7"/>
      <c r="C40" s="6"/>
      <c r="D40" s="6"/>
      <c r="E40" s="6" t="s">
        <v>30</v>
      </c>
      <c r="F40" s="6" t="s">
        <v>275</v>
      </c>
      <c r="G40" s="6" t="s">
        <v>276</v>
      </c>
      <c r="H40" s="6">
        <v>8.5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6.8" x14ac:dyDescent="0.45">
      <c r="A41" s="6"/>
      <c r="B41" s="7"/>
      <c r="C41" s="6"/>
      <c r="D41" s="6"/>
      <c r="E41" s="6" t="s">
        <v>30</v>
      </c>
      <c r="F41" s="6" t="s">
        <v>277</v>
      </c>
      <c r="G41" s="6" t="s">
        <v>228</v>
      </c>
      <c r="H41" s="6">
        <v>8.5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6.8" x14ac:dyDescent="0.45">
      <c r="A42" s="6"/>
      <c r="B42" s="7"/>
      <c r="C42" s="6"/>
      <c r="D42" s="6"/>
      <c r="E42" s="6" t="s">
        <v>30</v>
      </c>
      <c r="F42" s="6" t="s">
        <v>278</v>
      </c>
      <c r="G42" s="6" t="s">
        <v>221</v>
      </c>
      <c r="H42" s="6">
        <v>8.5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6.8" x14ac:dyDescent="0.45">
      <c r="A43" s="6"/>
      <c r="B43" s="7"/>
      <c r="C43" s="6"/>
      <c r="D43" s="6"/>
      <c r="E43" s="6" t="s">
        <v>30</v>
      </c>
      <c r="F43" s="6" t="s">
        <v>269</v>
      </c>
      <c r="G43" s="6" t="s">
        <v>279</v>
      </c>
      <c r="H43" s="6">
        <v>8.5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6.8" x14ac:dyDescent="0.45">
      <c r="A44" s="6"/>
      <c r="B44" s="7"/>
      <c r="C44" s="6"/>
      <c r="D44" s="6"/>
      <c r="E44" s="6" t="s">
        <v>30</v>
      </c>
      <c r="F44" s="6" t="s">
        <v>280</v>
      </c>
      <c r="G44" s="6" t="s">
        <v>225</v>
      </c>
      <c r="H44" s="6">
        <v>8.5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6.8" x14ac:dyDescent="0.45">
      <c r="A45" s="6"/>
      <c r="B45" s="7"/>
      <c r="C45" s="6"/>
      <c r="D45" s="6"/>
      <c r="E45" s="6" t="s">
        <v>103</v>
      </c>
      <c r="F45" s="6" t="s">
        <v>281</v>
      </c>
      <c r="G45" s="6" t="s">
        <v>282</v>
      </c>
      <c r="H45" s="6">
        <v>8.5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6.8" x14ac:dyDescent="0.45">
      <c r="A46" s="6"/>
      <c r="B46" s="7"/>
      <c r="C46" s="6"/>
      <c r="D46" s="6"/>
      <c r="E46" s="6" t="s">
        <v>30</v>
      </c>
      <c r="F46" s="6" t="s">
        <v>283</v>
      </c>
      <c r="G46" s="6" t="s">
        <v>242</v>
      </c>
      <c r="H46" s="6">
        <v>8.5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6.8" x14ac:dyDescent="0.45">
      <c r="A47" s="6"/>
      <c r="B47" s="7"/>
      <c r="C47" s="6"/>
      <c r="D47" s="6"/>
      <c r="E47" s="6" t="s">
        <v>30</v>
      </c>
      <c r="F47" s="6" t="s">
        <v>277</v>
      </c>
      <c r="G47" s="6" t="s">
        <v>221</v>
      </c>
      <c r="H47" s="6">
        <v>8.5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6.8" x14ac:dyDescent="0.45">
      <c r="A48" s="6"/>
      <c r="B48" s="7"/>
      <c r="C48" s="6"/>
      <c r="D48" s="6"/>
      <c r="E48" s="6" t="s">
        <v>82</v>
      </c>
      <c r="F48" s="6" t="s">
        <v>284</v>
      </c>
      <c r="G48" s="6" t="s">
        <v>285</v>
      </c>
      <c r="H48" s="6">
        <v>8.5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6.8" x14ac:dyDescent="0.45">
      <c r="A49" s="6"/>
      <c r="B49" s="7"/>
      <c r="C49" s="6"/>
      <c r="D49" s="6"/>
      <c r="E49" s="6" t="s">
        <v>60</v>
      </c>
      <c r="F49" s="6" t="s">
        <v>258</v>
      </c>
      <c r="G49" s="6" t="s">
        <v>286</v>
      </c>
      <c r="H49" s="6">
        <v>8.5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6.8" x14ac:dyDescent="0.45">
      <c r="A50" s="6"/>
      <c r="B50" s="7"/>
      <c r="C50" s="6"/>
      <c r="D50" s="6"/>
      <c r="E50" s="6" t="s">
        <v>82</v>
      </c>
      <c r="F50" s="6" t="s">
        <v>268</v>
      </c>
      <c r="G50" s="6" t="s">
        <v>287</v>
      </c>
      <c r="H50" s="6">
        <v>8.5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6.8" x14ac:dyDescent="0.45">
      <c r="A51" s="6"/>
      <c r="B51" s="7"/>
      <c r="C51" s="6"/>
      <c r="D51" s="6"/>
      <c r="E51" s="6" t="s">
        <v>35</v>
      </c>
      <c r="F51" s="6" t="s">
        <v>288</v>
      </c>
      <c r="G51" s="6" t="s">
        <v>238</v>
      </c>
      <c r="H51" s="6">
        <v>8.5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6.8" x14ac:dyDescent="0.45">
      <c r="A52" s="6"/>
      <c r="B52" s="7"/>
      <c r="C52" s="6"/>
      <c r="D52" s="6"/>
      <c r="E52" s="6" t="s">
        <v>30</v>
      </c>
      <c r="F52" s="6" t="s">
        <v>289</v>
      </c>
      <c r="G52" s="6" t="s">
        <v>290</v>
      </c>
      <c r="H52" s="6">
        <v>8.5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6.8" x14ac:dyDescent="0.45">
      <c r="A53" s="6"/>
      <c r="B53" s="7"/>
      <c r="C53" s="6"/>
      <c r="D53" s="6"/>
      <c r="E53" s="6" t="s">
        <v>60</v>
      </c>
      <c r="F53" s="6" t="s">
        <v>291</v>
      </c>
      <c r="G53" s="6" t="s">
        <v>292</v>
      </c>
      <c r="H53" s="6">
        <v>8.5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6.8" x14ac:dyDescent="0.45">
      <c r="A54" s="6"/>
      <c r="B54" s="7"/>
      <c r="C54" s="6"/>
      <c r="D54" s="6"/>
      <c r="E54" s="6" t="s">
        <v>103</v>
      </c>
      <c r="F54" s="6" t="s">
        <v>293</v>
      </c>
      <c r="G54" s="6" t="s">
        <v>294</v>
      </c>
      <c r="H54" s="6">
        <v>8.5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6.8" x14ac:dyDescent="0.45">
      <c r="A55" s="6"/>
      <c r="B55" s="7"/>
      <c r="C55" s="6"/>
      <c r="D55" s="6"/>
      <c r="E55" s="6" t="s">
        <v>103</v>
      </c>
      <c r="F55" s="6" t="s">
        <v>293</v>
      </c>
      <c r="G55" s="6" t="s">
        <v>259</v>
      </c>
      <c r="H55" s="6">
        <v>8.5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6.8" x14ac:dyDescent="0.45">
      <c r="A56" s="6"/>
      <c r="B56" s="7"/>
      <c r="C56" s="6"/>
      <c r="D56" s="6"/>
      <c r="E56" s="6" t="s">
        <v>30</v>
      </c>
      <c r="F56" s="6" t="s">
        <v>295</v>
      </c>
      <c r="G56" s="6" t="s">
        <v>221</v>
      </c>
      <c r="H56" s="6">
        <v>8.4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6.8" x14ac:dyDescent="0.45">
      <c r="A57" s="6"/>
      <c r="B57" s="7"/>
      <c r="C57" s="6"/>
      <c r="D57" s="6"/>
      <c r="F57" s="6" t="s">
        <v>253</v>
      </c>
      <c r="G57" s="6" t="s">
        <v>231</v>
      </c>
      <c r="H57" s="6">
        <v>8.4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6.8" x14ac:dyDescent="0.45">
      <c r="A58" s="6"/>
      <c r="B58" s="7"/>
      <c r="C58" s="6"/>
      <c r="D58" s="6"/>
      <c r="E58" s="6" t="s">
        <v>60</v>
      </c>
      <c r="F58" s="6" t="s">
        <v>269</v>
      </c>
      <c r="G58" s="6" t="s">
        <v>296</v>
      </c>
      <c r="H58" s="6">
        <v>8.4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6.8" x14ac:dyDescent="0.45">
      <c r="A59" s="6"/>
      <c r="B59" s="7"/>
      <c r="C59" s="6"/>
      <c r="D59" s="6"/>
      <c r="E59" s="6" t="s">
        <v>82</v>
      </c>
      <c r="F59" s="6" t="s">
        <v>297</v>
      </c>
      <c r="G59" s="6" t="s">
        <v>298</v>
      </c>
      <c r="H59" s="6">
        <v>8.4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6.8" x14ac:dyDescent="0.45">
      <c r="A60" s="6"/>
      <c r="B60" s="7"/>
      <c r="C60" s="6"/>
      <c r="D60" s="6"/>
      <c r="E60" s="6" t="s">
        <v>60</v>
      </c>
      <c r="F60" s="6" t="s">
        <v>299</v>
      </c>
      <c r="G60" s="6" t="s">
        <v>300</v>
      </c>
      <c r="H60" s="6">
        <v>8.4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6.8" x14ac:dyDescent="0.45">
      <c r="A61" s="6"/>
      <c r="B61" s="7"/>
      <c r="C61" s="6"/>
      <c r="D61" s="6"/>
      <c r="E61" s="6" t="s">
        <v>35</v>
      </c>
      <c r="F61" s="6" t="s">
        <v>301</v>
      </c>
      <c r="G61" s="6" t="s">
        <v>228</v>
      </c>
      <c r="H61" s="6">
        <v>8.4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6.8" x14ac:dyDescent="0.45">
      <c r="A62" s="6"/>
      <c r="B62" s="7"/>
      <c r="C62" s="6"/>
      <c r="D62" s="6"/>
      <c r="E62" s="6" t="s">
        <v>35</v>
      </c>
      <c r="F62" s="6" t="s">
        <v>302</v>
      </c>
      <c r="G62" s="6" t="s">
        <v>234</v>
      </c>
      <c r="H62" s="6">
        <v>8.4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6.8" x14ac:dyDescent="0.45">
      <c r="A63" s="6"/>
      <c r="B63" s="7"/>
      <c r="C63" s="6"/>
      <c r="D63" s="6"/>
      <c r="E63" s="6" t="s">
        <v>60</v>
      </c>
      <c r="F63" s="6" t="s">
        <v>303</v>
      </c>
      <c r="G63" s="6" t="s">
        <v>254</v>
      </c>
      <c r="H63" s="6">
        <v>8.4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6.8" x14ac:dyDescent="0.45">
      <c r="A64" s="6"/>
      <c r="B64" s="7"/>
      <c r="C64" s="6"/>
      <c r="D64" s="6"/>
      <c r="E64" s="6" t="s">
        <v>30</v>
      </c>
      <c r="F64" s="6" t="s">
        <v>288</v>
      </c>
      <c r="G64" s="6" t="s">
        <v>304</v>
      </c>
      <c r="H64" s="6">
        <v>8.4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6.8" x14ac:dyDescent="0.45">
      <c r="A65" s="6"/>
      <c r="B65" s="7"/>
      <c r="C65" s="6"/>
      <c r="D65" s="6"/>
      <c r="E65" s="6" t="s">
        <v>35</v>
      </c>
      <c r="F65" s="6" t="s">
        <v>305</v>
      </c>
      <c r="G65" s="6" t="s">
        <v>306</v>
      </c>
      <c r="H65" s="6">
        <v>8.4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6.8" x14ac:dyDescent="0.45">
      <c r="A66" s="6"/>
      <c r="B66" s="7"/>
      <c r="C66" s="6"/>
      <c r="D66" s="6"/>
      <c r="E66" s="6" t="s">
        <v>35</v>
      </c>
      <c r="F66" s="6" t="s">
        <v>307</v>
      </c>
      <c r="G66" s="6" t="s">
        <v>308</v>
      </c>
      <c r="H66" s="6">
        <v>8.4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6.8" x14ac:dyDescent="0.45">
      <c r="A67" s="6"/>
      <c r="B67" s="7"/>
      <c r="C67" s="6"/>
      <c r="D67" s="6"/>
      <c r="E67" s="6" t="s">
        <v>60</v>
      </c>
      <c r="F67" s="6" t="s">
        <v>288</v>
      </c>
      <c r="G67" s="6" t="s">
        <v>309</v>
      </c>
      <c r="H67" s="6">
        <v>8.4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6.8" x14ac:dyDescent="0.45">
      <c r="A68" s="6"/>
      <c r="B68" s="7"/>
      <c r="C68" s="6"/>
      <c r="D68" s="6"/>
      <c r="E68" s="6" t="s">
        <v>103</v>
      </c>
      <c r="F68" s="6" t="s">
        <v>310</v>
      </c>
      <c r="G68" s="6" t="s">
        <v>254</v>
      </c>
      <c r="H68" s="6">
        <v>8.4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6.8" x14ac:dyDescent="0.45">
      <c r="A69" s="6"/>
      <c r="B69" s="7"/>
      <c r="C69" s="6"/>
      <c r="D69" s="6"/>
      <c r="E69" s="6" t="s">
        <v>30</v>
      </c>
      <c r="F69" s="6" t="s">
        <v>283</v>
      </c>
      <c r="G69" s="6" t="s">
        <v>311</v>
      </c>
      <c r="H69" s="6">
        <v>8.4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6.8" x14ac:dyDescent="0.45">
      <c r="A70" s="6"/>
      <c r="B70" s="7"/>
      <c r="C70" s="6"/>
      <c r="D70" s="6"/>
      <c r="E70" s="6" t="s">
        <v>30</v>
      </c>
      <c r="F70" s="6" t="s">
        <v>312</v>
      </c>
      <c r="G70" s="6" t="s">
        <v>265</v>
      </c>
      <c r="H70" s="6">
        <v>8.4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6.8" x14ac:dyDescent="0.45">
      <c r="A71" s="6"/>
      <c r="B71" s="7"/>
      <c r="C71" s="6"/>
      <c r="D71" s="6"/>
      <c r="E71" s="6" t="s">
        <v>30</v>
      </c>
      <c r="F71" s="6" t="s">
        <v>313</v>
      </c>
      <c r="G71" s="6" t="s">
        <v>314</v>
      </c>
      <c r="H71" s="6">
        <v>8.4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6.8" x14ac:dyDescent="0.45">
      <c r="A72" s="6"/>
      <c r="B72" s="7"/>
      <c r="C72" s="6"/>
      <c r="D72" s="6"/>
      <c r="E72" s="6" t="s">
        <v>35</v>
      </c>
      <c r="F72" s="6" t="s">
        <v>315</v>
      </c>
      <c r="G72" s="6" t="s">
        <v>316</v>
      </c>
      <c r="H72" s="6">
        <v>8.4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6.8" x14ac:dyDescent="0.45">
      <c r="A73" s="6"/>
      <c r="B73" s="7"/>
      <c r="C73" s="6"/>
      <c r="D73" s="6"/>
      <c r="E73" s="6" t="s">
        <v>30</v>
      </c>
      <c r="F73" s="6" t="s">
        <v>317</v>
      </c>
      <c r="G73" s="6" t="s">
        <v>223</v>
      </c>
      <c r="H73" s="6">
        <v>8.4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6.8" x14ac:dyDescent="0.45">
      <c r="A74" s="6"/>
      <c r="B74" s="7"/>
      <c r="C74" s="6"/>
      <c r="D74" s="6"/>
      <c r="E74" s="6" t="s">
        <v>60</v>
      </c>
      <c r="F74" s="6" t="s">
        <v>318</v>
      </c>
      <c r="G74" s="6" t="s">
        <v>306</v>
      </c>
      <c r="H74" s="6">
        <v>8.4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6.8" x14ac:dyDescent="0.45">
      <c r="A75" s="6"/>
      <c r="B75" s="7"/>
      <c r="C75" s="6"/>
      <c r="D75" s="6"/>
      <c r="E75" s="6" t="s">
        <v>30</v>
      </c>
      <c r="F75" s="6" t="s">
        <v>243</v>
      </c>
      <c r="G75" s="6" t="s">
        <v>319</v>
      </c>
      <c r="H75" s="6">
        <v>8.4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6.8" x14ac:dyDescent="0.45">
      <c r="A76" s="6"/>
      <c r="B76" s="7"/>
      <c r="C76" s="6"/>
      <c r="D76" s="6"/>
      <c r="E76" s="6" t="s">
        <v>30</v>
      </c>
      <c r="F76" s="6" t="s">
        <v>320</v>
      </c>
      <c r="G76" s="6" t="s">
        <v>321</v>
      </c>
      <c r="H76" s="6">
        <v>8.4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6.8" x14ac:dyDescent="0.45">
      <c r="A77" s="6"/>
      <c r="B77" s="7"/>
      <c r="C77" s="6"/>
      <c r="D77" s="6"/>
      <c r="E77" s="6" t="s">
        <v>30</v>
      </c>
      <c r="F77" s="6" t="s">
        <v>299</v>
      </c>
      <c r="G77" s="6" t="s">
        <v>322</v>
      </c>
      <c r="H77" s="6">
        <v>8.4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6.8" x14ac:dyDescent="0.45">
      <c r="A78" s="6"/>
      <c r="B78" s="7"/>
      <c r="C78" s="6"/>
      <c r="D78" s="6"/>
      <c r="E78" s="6" t="s">
        <v>82</v>
      </c>
      <c r="F78" s="6" t="s">
        <v>323</v>
      </c>
      <c r="G78" s="6" t="s">
        <v>261</v>
      </c>
      <c r="H78" s="6">
        <v>8.4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6.8" x14ac:dyDescent="0.45">
      <c r="A79" s="6"/>
      <c r="B79" s="7"/>
      <c r="C79" s="6"/>
      <c r="D79" s="6"/>
      <c r="E79" s="6" t="s">
        <v>60</v>
      </c>
      <c r="F79" s="6" t="s">
        <v>324</v>
      </c>
      <c r="G79" s="6" t="s">
        <v>325</v>
      </c>
      <c r="H79" s="6">
        <v>8.4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6.8" x14ac:dyDescent="0.45">
      <c r="A80" s="6"/>
      <c r="B80" s="7"/>
      <c r="C80" s="6"/>
      <c r="D80" s="6"/>
      <c r="E80" s="6" t="s">
        <v>44</v>
      </c>
      <c r="F80" s="6" t="s">
        <v>258</v>
      </c>
      <c r="G80" s="6" t="s">
        <v>261</v>
      </c>
      <c r="H80" s="6">
        <v>8.4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6.8" x14ac:dyDescent="0.45">
      <c r="A81" s="6"/>
      <c r="B81" s="7"/>
      <c r="C81" s="6"/>
      <c r="D81" s="6"/>
      <c r="E81" s="6" t="s">
        <v>44</v>
      </c>
      <c r="F81" s="6" t="s">
        <v>281</v>
      </c>
      <c r="G81" s="6" t="s">
        <v>255</v>
      </c>
      <c r="H81" s="6">
        <v>8.4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6.8" x14ac:dyDescent="0.45">
      <c r="A82" s="6"/>
      <c r="B82" s="7"/>
      <c r="C82" s="6"/>
      <c r="D82" s="6"/>
      <c r="E82" s="6" t="s">
        <v>60</v>
      </c>
      <c r="F82" s="6" t="s">
        <v>271</v>
      </c>
      <c r="G82" s="6" t="s">
        <v>314</v>
      </c>
      <c r="H82" s="6">
        <v>8.4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6.8" x14ac:dyDescent="0.45">
      <c r="A83" s="6"/>
      <c r="B83" s="7"/>
      <c r="C83" s="6"/>
      <c r="D83" s="6"/>
      <c r="E83" s="6" t="s">
        <v>163</v>
      </c>
      <c r="F83" s="6" t="s">
        <v>280</v>
      </c>
      <c r="G83" s="6" t="s">
        <v>326</v>
      </c>
      <c r="H83" s="6">
        <v>8.4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6.8" x14ac:dyDescent="0.45">
      <c r="A84" s="6"/>
      <c r="B84" s="7"/>
      <c r="C84" s="6"/>
      <c r="D84" s="6"/>
      <c r="E84" s="6" t="s">
        <v>163</v>
      </c>
      <c r="F84" s="6" t="s">
        <v>253</v>
      </c>
      <c r="G84" s="6" t="s">
        <v>327</v>
      </c>
      <c r="H84" s="6">
        <v>8.4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6.8" x14ac:dyDescent="0.45">
      <c r="A85" s="6"/>
      <c r="B85" s="7"/>
      <c r="C85" s="6"/>
      <c r="D85" s="6"/>
      <c r="E85" s="6" t="s">
        <v>30</v>
      </c>
      <c r="F85" s="6" t="s">
        <v>278</v>
      </c>
      <c r="G85" s="6" t="s">
        <v>255</v>
      </c>
      <c r="H85" s="6">
        <v>8.3000000000000007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6.8" x14ac:dyDescent="0.45">
      <c r="A86" s="6"/>
      <c r="B86" s="7"/>
      <c r="C86" s="6"/>
      <c r="D86" s="6"/>
      <c r="E86" s="6" t="s">
        <v>82</v>
      </c>
      <c r="F86" s="6" t="s">
        <v>328</v>
      </c>
      <c r="G86" s="6" t="s">
        <v>329</v>
      </c>
      <c r="H86" s="6">
        <v>8.3000000000000007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6.8" x14ac:dyDescent="0.45">
      <c r="A87" s="6"/>
      <c r="B87" s="7"/>
      <c r="C87" s="6"/>
      <c r="D87" s="6"/>
      <c r="E87" s="6" t="s">
        <v>82</v>
      </c>
      <c r="F87" s="6" t="s">
        <v>330</v>
      </c>
      <c r="G87" s="6" t="s">
        <v>331</v>
      </c>
      <c r="H87" s="6">
        <v>8.3000000000000007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6.8" x14ac:dyDescent="0.45">
      <c r="A88" s="6"/>
      <c r="B88" s="7"/>
      <c r="C88" s="6"/>
      <c r="D88" s="6"/>
      <c r="E88" s="6" t="s">
        <v>82</v>
      </c>
      <c r="F88" s="6" t="s">
        <v>235</v>
      </c>
      <c r="G88" s="6" t="s">
        <v>332</v>
      </c>
      <c r="H88" s="6">
        <v>8.3000000000000007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6.8" x14ac:dyDescent="0.45">
      <c r="A89" s="6"/>
      <c r="B89" s="7"/>
      <c r="C89" s="6"/>
      <c r="D89" s="6"/>
      <c r="E89" s="6" t="s">
        <v>82</v>
      </c>
      <c r="F89" s="6" t="s">
        <v>239</v>
      </c>
      <c r="G89" s="6" t="s">
        <v>263</v>
      </c>
      <c r="H89" s="6">
        <v>8.3000000000000007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6.8" x14ac:dyDescent="0.45">
      <c r="A90" s="6"/>
      <c r="B90" s="7"/>
      <c r="C90" s="6"/>
      <c r="D90" s="6"/>
      <c r="E90" s="6" t="s">
        <v>30</v>
      </c>
      <c r="F90" s="6" t="s">
        <v>318</v>
      </c>
      <c r="G90" s="6" t="s">
        <v>221</v>
      </c>
      <c r="H90" s="6">
        <v>8.3000000000000007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6.8" x14ac:dyDescent="0.45">
      <c r="A91" s="6"/>
      <c r="B91" s="7"/>
      <c r="C91" s="6"/>
      <c r="D91" s="6"/>
      <c r="E91" s="6" t="s">
        <v>35</v>
      </c>
      <c r="F91" s="6" t="s">
        <v>333</v>
      </c>
      <c r="G91" s="6" t="s">
        <v>334</v>
      </c>
      <c r="H91" s="6">
        <v>8.3000000000000007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6.8" x14ac:dyDescent="0.45">
      <c r="A92" s="6"/>
      <c r="B92" s="7"/>
      <c r="C92" s="6"/>
      <c r="D92" s="6"/>
      <c r="E92" s="6" t="s">
        <v>30</v>
      </c>
      <c r="F92" s="6" t="s">
        <v>335</v>
      </c>
      <c r="G92" s="6" t="s">
        <v>321</v>
      </c>
      <c r="H92" s="6">
        <v>8.3000000000000007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6.8" x14ac:dyDescent="0.45">
      <c r="A93" s="6"/>
      <c r="B93" s="7"/>
      <c r="C93" s="6"/>
      <c r="D93" s="6"/>
      <c r="F93" s="6" t="s">
        <v>248</v>
      </c>
      <c r="G93" s="6" t="s">
        <v>221</v>
      </c>
      <c r="H93" s="6">
        <v>8.3000000000000007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6.8" x14ac:dyDescent="0.45">
      <c r="A94" s="6"/>
      <c r="B94" s="7"/>
      <c r="C94" s="6"/>
      <c r="D94" s="6"/>
      <c r="F94" s="6" t="s">
        <v>271</v>
      </c>
      <c r="G94" s="6" t="s">
        <v>309</v>
      </c>
      <c r="H94" s="6">
        <v>8.3000000000000007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6.8" x14ac:dyDescent="0.45">
      <c r="A95" s="6"/>
      <c r="B95" s="7"/>
      <c r="C95" s="6"/>
      <c r="D95" s="6"/>
      <c r="E95" s="6" t="s">
        <v>103</v>
      </c>
      <c r="F95" s="6" t="s">
        <v>336</v>
      </c>
      <c r="G95" s="6" t="s">
        <v>337</v>
      </c>
      <c r="H95" s="6">
        <v>8.3000000000000007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6.8" x14ac:dyDescent="0.45">
      <c r="A96" s="6"/>
      <c r="B96" s="7"/>
      <c r="C96" s="6"/>
      <c r="D96" s="6"/>
      <c r="E96" s="6" t="s">
        <v>30</v>
      </c>
      <c r="F96" s="6" t="s">
        <v>338</v>
      </c>
      <c r="G96" s="6" t="s">
        <v>339</v>
      </c>
      <c r="H96" s="6">
        <v>8.3000000000000007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6.8" x14ac:dyDescent="0.45">
      <c r="A97" s="6"/>
      <c r="B97" s="7"/>
      <c r="C97" s="6"/>
      <c r="D97" s="6"/>
      <c r="E97" s="6" t="s">
        <v>30</v>
      </c>
      <c r="F97" s="6" t="s">
        <v>340</v>
      </c>
      <c r="G97" s="6" t="s">
        <v>341</v>
      </c>
      <c r="H97" s="6">
        <v>8.3000000000000007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6.8" x14ac:dyDescent="0.45">
      <c r="A98" s="6"/>
      <c r="B98" s="7"/>
      <c r="C98" s="6"/>
      <c r="D98" s="6"/>
      <c r="E98" s="6" t="s">
        <v>30</v>
      </c>
      <c r="F98" s="6" t="s">
        <v>268</v>
      </c>
      <c r="G98" s="6" t="s">
        <v>342</v>
      </c>
      <c r="H98" s="6">
        <v>8.3000000000000007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6.8" x14ac:dyDescent="0.45">
      <c r="A99" s="6"/>
      <c r="B99" s="7"/>
      <c r="C99" s="6"/>
      <c r="D99" s="6"/>
      <c r="E99" s="6" t="s">
        <v>30</v>
      </c>
      <c r="F99" s="6" t="s">
        <v>291</v>
      </c>
      <c r="G99" s="6" t="s">
        <v>343</v>
      </c>
      <c r="H99" s="6">
        <v>8.3000000000000007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6.8" x14ac:dyDescent="0.45">
      <c r="A100" s="6"/>
      <c r="B100" s="7"/>
      <c r="C100" s="6"/>
      <c r="D100" s="6"/>
      <c r="E100" s="6" t="s">
        <v>30</v>
      </c>
      <c r="F100" s="6" t="s">
        <v>291</v>
      </c>
      <c r="G100" s="6" t="s">
        <v>221</v>
      </c>
      <c r="H100" s="6">
        <v>8.3000000000000007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6.8" x14ac:dyDescent="0.45">
      <c r="A101" s="6"/>
      <c r="B101" s="7"/>
      <c r="C101" s="6"/>
      <c r="D101" s="6"/>
      <c r="E101" s="6" t="s">
        <v>30</v>
      </c>
      <c r="F101" s="6" t="s">
        <v>268</v>
      </c>
      <c r="G101" s="6" t="s">
        <v>221</v>
      </c>
      <c r="H101" s="6">
        <v>8.3000000000000007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6.8" x14ac:dyDescent="0.45">
      <c r="A102" s="6"/>
      <c r="B102" s="7"/>
      <c r="C102" s="6"/>
      <c r="D102" s="6"/>
      <c r="E102" s="6" t="s">
        <v>30</v>
      </c>
      <c r="F102" s="6" t="s">
        <v>295</v>
      </c>
      <c r="G102" s="6" t="s">
        <v>237</v>
      </c>
      <c r="H102" s="6">
        <v>8.3000000000000007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6.8" x14ac:dyDescent="0.45">
      <c r="A103" s="6"/>
      <c r="B103" s="7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6.8" x14ac:dyDescent="0.45">
      <c r="A104" s="6"/>
      <c r="B104" s="7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6.8" x14ac:dyDescent="0.45">
      <c r="A105" s="6"/>
      <c r="B105" s="7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6.8" x14ac:dyDescent="0.45">
      <c r="A106" s="6"/>
      <c r="B106" s="7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6.8" x14ac:dyDescent="0.45">
      <c r="A107" s="6"/>
      <c r="B107" s="7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6.8" x14ac:dyDescent="0.45">
      <c r="A108" s="6"/>
      <c r="B108" s="7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6.8" x14ac:dyDescent="0.45">
      <c r="A109" s="6"/>
      <c r="B109" s="7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6.8" x14ac:dyDescent="0.45">
      <c r="A110" s="6"/>
      <c r="B110" s="7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6.8" x14ac:dyDescent="0.45">
      <c r="A111" s="6"/>
      <c r="B111" s="7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6.8" x14ac:dyDescent="0.45">
      <c r="A112" s="6"/>
      <c r="B112" s="7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6.8" x14ac:dyDescent="0.45">
      <c r="A113" s="6"/>
      <c r="B113" s="7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6.8" x14ac:dyDescent="0.45">
      <c r="A114" s="6"/>
      <c r="B114" s="7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6.8" x14ac:dyDescent="0.45">
      <c r="A115" s="6"/>
      <c r="B115" s="7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6.8" x14ac:dyDescent="0.45">
      <c r="A116" s="6"/>
      <c r="B116" s="7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6.8" x14ac:dyDescent="0.45">
      <c r="A117" s="6"/>
      <c r="B117" s="7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6.8" x14ac:dyDescent="0.45">
      <c r="A118" s="6"/>
      <c r="B118" s="7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6.8" x14ac:dyDescent="0.45">
      <c r="A119" s="6"/>
      <c r="B119" s="7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6.8" x14ac:dyDescent="0.45">
      <c r="A120" s="6"/>
      <c r="B120" s="7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6.8" x14ac:dyDescent="0.45">
      <c r="A121" s="6"/>
      <c r="B121" s="7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6.8" x14ac:dyDescent="0.45">
      <c r="A122" s="6"/>
      <c r="B122" s="7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6.8" x14ac:dyDescent="0.45">
      <c r="A123" s="6"/>
      <c r="B123" s="7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6.8" x14ac:dyDescent="0.45">
      <c r="A124" s="6"/>
      <c r="B124" s="7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6.8" x14ac:dyDescent="0.45">
      <c r="A125" s="6"/>
      <c r="B125" s="7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6.8" x14ac:dyDescent="0.45">
      <c r="A126" s="6"/>
      <c r="B126" s="7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6.8" x14ac:dyDescent="0.45">
      <c r="A127" s="6"/>
      <c r="B127" s="7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6.8" x14ac:dyDescent="0.45">
      <c r="A128" s="6"/>
      <c r="B128" s="7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6.8" x14ac:dyDescent="0.45">
      <c r="A129" s="6"/>
      <c r="B129" s="7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6.8" x14ac:dyDescent="0.45">
      <c r="A130" s="6"/>
      <c r="B130" s="7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6.8" x14ac:dyDescent="0.45">
      <c r="A131" s="6"/>
      <c r="B131" s="7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6.8" x14ac:dyDescent="0.45">
      <c r="A132" s="6"/>
      <c r="B132" s="7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6.8" x14ac:dyDescent="0.45">
      <c r="A133" s="6"/>
      <c r="B133" s="7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6.8" x14ac:dyDescent="0.45">
      <c r="A134" s="6"/>
      <c r="B134" s="7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6.8" x14ac:dyDescent="0.45">
      <c r="A135" s="6"/>
      <c r="B135" s="7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6.8" x14ac:dyDescent="0.45">
      <c r="A136" s="6"/>
      <c r="B136" s="7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6.8" x14ac:dyDescent="0.45">
      <c r="A137" s="6"/>
      <c r="B137" s="7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6.8" x14ac:dyDescent="0.45">
      <c r="A138" s="6"/>
      <c r="B138" s="7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6.8" x14ac:dyDescent="0.45">
      <c r="A139" s="6"/>
      <c r="B139" s="7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6.8" x14ac:dyDescent="0.45">
      <c r="A140" s="6"/>
      <c r="B140" s="7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6.8" x14ac:dyDescent="0.45">
      <c r="A141" s="6"/>
      <c r="B141" s="7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6.8" x14ac:dyDescent="0.45">
      <c r="A142" s="6"/>
      <c r="B142" s="7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6.8" x14ac:dyDescent="0.45">
      <c r="A143" s="6"/>
      <c r="B143" s="7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6.8" x14ac:dyDescent="0.45">
      <c r="A144" s="6"/>
      <c r="B144" s="7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6.8" x14ac:dyDescent="0.45">
      <c r="A145" s="6"/>
      <c r="B145" s="7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6.8" x14ac:dyDescent="0.45">
      <c r="A146" s="6"/>
      <c r="B146" s="7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6.8" x14ac:dyDescent="0.45">
      <c r="A147" s="6"/>
      <c r="B147" s="7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6.8" x14ac:dyDescent="0.45">
      <c r="A148" s="6"/>
      <c r="B148" s="7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6.8" x14ac:dyDescent="0.45">
      <c r="A149" s="6"/>
      <c r="B149" s="7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6.8" x14ac:dyDescent="0.45">
      <c r="A150" s="6"/>
      <c r="B150" s="7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6.8" x14ac:dyDescent="0.45">
      <c r="A151" s="6"/>
      <c r="B151" s="7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6.8" x14ac:dyDescent="0.45">
      <c r="A152" s="6"/>
      <c r="B152" s="7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6.8" x14ac:dyDescent="0.45">
      <c r="A153" s="6"/>
      <c r="B153" s="7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6.8" x14ac:dyDescent="0.45">
      <c r="A154" s="6"/>
      <c r="B154" s="7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6.8" x14ac:dyDescent="0.45">
      <c r="A155" s="6"/>
      <c r="B155" s="7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6.8" x14ac:dyDescent="0.45">
      <c r="A156" s="6"/>
      <c r="B156" s="7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6.8" x14ac:dyDescent="0.45">
      <c r="A157" s="6"/>
      <c r="B157" s="7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6.8" x14ac:dyDescent="0.45">
      <c r="A158" s="6"/>
      <c r="B158" s="7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6.8" x14ac:dyDescent="0.45">
      <c r="A159" s="6"/>
      <c r="B159" s="7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6.8" x14ac:dyDescent="0.45">
      <c r="A160" s="6"/>
      <c r="B160" s="7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6.8" x14ac:dyDescent="0.45">
      <c r="A161" s="6"/>
      <c r="B161" s="7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6.8" x14ac:dyDescent="0.45">
      <c r="A162" s="6"/>
      <c r="B162" s="7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6.8" x14ac:dyDescent="0.45">
      <c r="A163" s="6"/>
      <c r="B163" s="7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6.8" x14ac:dyDescent="0.45">
      <c r="A164" s="6"/>
      <c r="B164" s="7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6.8" x14ac:dyDescent="0.45">
      <c r="A165" s="6"/>
      <c r="B165" s="7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6.8" x14ac:dyDescent="0.45">
      <c r="A166" s="6"/>
      <c r="B166" s="7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6.8" x14ac:dyDescent="0.45">
      <c r="A167" s="6"/>
      <c r="B167" s="7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6.8" x14ac:dyDescent="0.45">
      <c r="A168" s="6"/>
      <c r="B168" s="7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6.8" x14ac:dyDescent="0.45">
      <c r="A169" s="6"/>
      <c r="B169" s="7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6.8" x14ac:dyDescent="0.45">
      <c r="A170" s="6"/>
      <c r="B170" s="7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6.8" x14ac:dyDescent="0.45">
      <c r="A171" s="6"/>
      <c r="B171" s="7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6.8" x14ac:dyDescent="0.45">
      <c r="A172" s="6"/>
      <c r="B172" s="7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6.8" x14ac:dyDescent="0.45">
      <c r="A173" s="6"/>
      <c r="B173" s="7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6.8" x14ac:dyDescent="0.45">
      <c r="A174" s="6"/>
      <c r="B174" s="7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6.8" x14ac:dyDescent="0.45">
      <c r="A175" s="6"/>
      <c r="B175" s="7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6.8" x14ac:dyDescent="0.45">
      <c r="A176" s="6"/>
      <c r="B176" s="7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6.8" x14ac:dyDescent="0.45">
      <c r="A177" s="6"/>
      <c r="B177" s="7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6.8" x14ac:dyDescent="0.45">
      <c r="A178" s="6"/>
      <c r="B178" s="7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6.8" x14ac:dyDescent="0.45">
      <c r="A179" s="6"/>
      <c r="B179" s="7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6.8" x14ac:dyDescent="0.45">
      <c r="A180" s="6"/>
      <c r="B180" s="7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6.8" x14ac:dyDescent="0.45">
      <c r="A181" s="6"/>
      <c r="B181" s="7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6.8" x14ac:dyDescent="0.45">
      <c r="A182" s="6"/>
      <c r="B182" s="7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6.8" x14ac:dyDescent="0.45">
      <c r="A183" s="6"/>
      <c r="B183" s="7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6.8" x14ac:dyDescent="0.45">
      <c r="A184" s="6"/>
      <c r="B184" s="7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6.8" x14ac:dyDescent="0.45">
      <c r="A185" s="6"/>
      <c r="B185" s="7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6.8" x14ac:dyDescent="0.45">
      <c r="A186" s="6"/>
      <c r="B186" s="7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6.8" x14ac:dyDescent="0.45">
      <c r="A187" s="6"/>
      <c r="B187" s="7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6.8" x14ac:dyDescent="0.45">
      <c r="A188" s="6"/>
      <c r="B188" s="7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6.8" x14ac:dyDescent="0.45">
      <c r="A189" s="6"/>
      <c r="B189" s="7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6.8" x14ac:dyDescent="0.45">
      <c r="A190" s="6"/>
      <c r="B190" s="7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6.8" x14ac:dyDescent="0.45">
      <c r="A191" s="6"/>
      <c r="B191" s="7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6.8" x14ac:dyDescent="0.45">
      <c r="A192" s="6"/>
      <c r="B192" s="7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6.8" x14ac:dyDescent="0.45">
      <c r="A193" s="6"/>
      <c r="B193" s="7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6.8" x14ac:dyDescent="0.45">
      <c r="A194" s="6"/>
      <c r="B194" s="7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6.8" x14ac:dyDescent="0.45">
      <c r="A195" s="6"/>
      <c r="B195" s="7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6.8" x14ac:dyDescent="0.45">
      <c r="A196" s="6"/>
      <c r="B196" s="7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6.8" x14ac:dyDescent="0.45">
      <c r="A197" s="6"/>
      <c r="B197" s="7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6.8" x14ac:dyDescent="0.45">
      <c r="A198" s="6"/>
      <c r="B198" s="7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6.8" x14ac:dyDescent="0.45">
      <c r="A199" s="6"/>
      <c r="B199" s="7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6.8" x14ac:dyDescent="0.45">
      <c r="A200" s="6"/>
      <c r="B200" s="7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6.8" x14ac:dyDescent="0.45">
      <c r="A201" s="6"/>
      <c r="B201" s="7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6.8" x14ac:dyDescent="0.45">
      <c r="A202" s="6"/>
      <c r="B202" s="7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6.8" x14ac:dyDescent="0.45">
      <c r="A203" s="6"/>
      <c r="B203" s="7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6.8" x14ac:dyDescent="0.45">
      <c r="A204" s="6"/>
      <c r="B204" s="7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6.8" x14ac:dyDescent="0.45">
      <c r="A205" s="6"/>
      <c r="B205" s="7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6.8" x14ac:dyDescent="0.45">
      <c r="A206" s="6"/>
      <c r="B206" s="7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6.8" x14ac:dyDescent="0.45">
      <c r="A207" s="6"/>
      <c r="B207" s="7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6.8" x14ac:dyDescent="0.45">
      <c r="A208" s="6"/>
      <c r="B208" s="7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6.8" x14ac:dyDescent="0.45">
      <c r="A209" s="6"/>
      <c r="B209" s="7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6.8" x14ac:dyDescent="0.45">
      <c r="A210" s="6"/>
      <c r="B210" s="7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6.8" x14ac:dyDescent="0.45">
      <c r="A211" s="6"/>
      <c r="B211" s="7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6.8" x14ac:dyDescent="0.45">
      <c r="A212" s="6"/>
      <c r="B212" s="7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6.8" x14ac:dyDescent="0.45">
      <c r="A213" s="6"/>
      <c r="B213" s="7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6.8" x14ac:dyDescent="0.45">
      <c r="A214" s="6"/>
      <c r="B214" s="7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6.8" x14ac:dyDescent="0.45">
      <c r="A215" s="6"/>
      <c r="B215" s="7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6.8" x14ac:dyDescent="0.45">
      <c r="A216" s="6"/>
      <c r="B216" s="7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6.8" x14ac:dyDescent="0.45">
      <c r="A217" s="6"/>
      <c r="B217" s="7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6.8" x14ac:dyDescent="0.45">
      <c r="A218" s="6"/>
      <c r="B218" s="7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6.8" x14ac:dyDescent="0.45">
      <c r="A219" s="6"/>
      <c r="B219" s="7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6.8" x14ac:dyDescent="0.45">
      <c r="A220" s="6"/>
      <c r="B220" s="7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6.8" x14ac:dyDescent="0.45">
      <c r="A221" s="6"/>
      <c r="B221" s="7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6.8" x14ac:dyDescent="0.45">
      <c r="A222" s="6"/>
      <c r="B222" s="7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6.8" x14ac:dyDescent="0.45">
      <c r="A223" s="6"/>
      <c r="B223" s="7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6.8" x14ac:dyDescent="0.45">
      <c r="A224" s="6"/>
      <c r="B224" s="7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6.8" x14ac:dyDescent="0.45">
      <c r="A225" s="6"/>
      <c r="B225" s="7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6.8" x14ac:dyDescent="0.45">
      <c r="A226" s="6"/>
      <c r="B226" s="7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6.8" x14ac:dyDescent="0.45">
      <c r="A227" s="6"/>
      <c r="B227" s="7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6.8" x14ac:dyDescent="0.45">
      <c r="A228" s="6"/>
      <c r="B228" s="7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6.8" x14ac:dyDescent="0.45">
      <c r="A229" s="6"/>
      <c r="B229" s="7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6.8" x14ac:dyDescent="0.45">
      <c r="A230" s="6"/>
      <c r="B230" s="7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6.8" x14ac:dyDescent="0.45">
      <c r="A231" s="6"/>
      <c r="B231" s="7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6.8" x14ac:dyDescent="0.45">
      <c r="A232" s="6"/>
      <c r="B232" s="7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6.8" x14ac:dyDescent="0.45">
      <c r="A233" s="6"/>
      <c r="B233" s="7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6.8" x14ac:dyDescent="0.45">
      <c r="A234" s="6"/>
      <c r="B234" s="7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6.8" x14ac:dyDescent="0.45">
      <c r="A235" s="6"/>
      <c r="B235" s="7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6.8" x14ac:dyDescent="0.45">
      <c r="A236" s="6"/>
      <c r="B236" s="7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6.8" x14ac:dyDescent="0.45">
      <c r="A237" s="6"/>
      <c r="B237" s="7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6.8" x14ac:dyDescent="0.45">
      <c r="A238" s="6"/>
      <c r="B238" s="7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6.8" x14ac:dyDescent="0.45">
      <c r="A239" s="6"/>
      <c r="B239" s="7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6.8" x14ac:dyDescent="0.45">
      <c r="A240" s="6"/>
      <c r="B240" s="7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6.8" x14ac:dyDescent="0.45">
      <c r="A241" s="6"/>
      <c r="B241" s="7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6.8" x14ac:dyDescent="0.45">
      <c r="A242" s="6"/>
      <c r="B242" s="7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6.8" x14ac:dyDescent="0.45">
      <c r="A243" s="6"/>
      <c r="B243" s="7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6.8" x14ac:dyDescent="0.45">
      <c r="A244" s="6"/>
      <c r="B244" s="7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6.8" x14ac:dyDescent="0.45">
      <c r="A245" s="6"/>
      <c r="B245" s="7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6.8" x14ac:dyDescent="0.45">
      <c r="A246" s="6"/>
      <c r="B246" s="7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6.8" x14ac:dyDescent="0.45">
      <c r="A247" s="6"/>
      <c r="B247" s="7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6.8" x14ac:dyDescent="0.45">
      <c r="A248" s="6"/>
      <c r="B248" s="7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6.8" x14ac:dyDescent="0.45">
      <c r="A249" s="6"/>
      <c r="B249" s="7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6.8" x14ac:dyDescent="0.45">
      <c r="A250" s="6"/>
      <c r="B250" s="7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6.8" x14ac:dyDescent="0.45">
      <c r="A251" s="6"/>
      <c r="B251" s="7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6.8" x14ac:dyDescent="0.45">
      <c r="A252" s="6"/>
      <c r="B252" s="7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6.8" x14ac:dyDescent="0.45">
      <c r="A253" s="6"/>
      <c r="B253" s="7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6.8" x14ac:dyDescent="0.45">
      <c r="A254" s="6"/>
      <c r="B254" s="7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6.8" x14ac:dyDescent="0.45">
      <c r="A255" s="6"/>
      <c r="B255" s="7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6.8" x14ac:dyDescent="0.45">
      <c r="A256" s="6"/>
      <c r="B256" s="7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6.8" x14ac:dyDescent="0.45">
      <c r="A257" s="6"/>
      <c r="B257" s="7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6.8" x14ac:dyDescent="0.45">
      <c r="A258" s="6"/>
      <c r="B258" s="7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6.8" x14ac:dyDescent="0.45">
      <c r="A259" s="6"/>
      <c r="B259" s="7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6.8" x14ac:dyDescent="0.45">
      <c r="A260" s="6"/>
      <c r="B260" s="7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6.8" x14ac:dyDescent="0.45">
      <c r="A261" s="6"/>
      <c r="B261" s="7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6.8" x14ac:dyDescent="0.45">
      <c r="A262" s="6"/>
      <c r="B262" s="7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6.8" x14ac:dyDescent="0.45">
      <c r="A263" s="6"/>
      <c r="B263" s="7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6.8" x14ac:dyDescent="0.45">
      <c r="A264" s="6"/>
      <c r="B264" s="7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6.8" x14ac:dyDescent="0.45">
      <c r="A265" s="6"/>
      <c r="B265" s="7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6.8" x14ac:dyDescent="0.45">
      <c r="A266" s="6"/>
      <c r="B266" s="7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6.8" x14ac:dyDescent="0.45">
      <c r="A267" s="6"/>
      <c r="B267" s="7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6.8" x14ac:dyDescent="0.45">
      <c r="A268" s="6"/>
      <c r="B268" s="7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6.8" x14ac:dyDescent="0.45">
      <c r="A269" s="6"/>
      <c r="B269" s="7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6.8" x14ac:dyDescent="0.45">
      <c r="A270" s="6"/>
      <c r="B270" s="7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6.8" x14ac:dyDescent="0.45">
      <c r="A271" s="6"/>
      <c r="B271" s="7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6.8" x14ac:dyDescent="0.45">
      <c r="A272" s="6"/>
      <c r="B272" s="7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6.8" x14ac:dyDescent="0.45">
      <c r="A273" s="6"/>
      <c r="B273" s="7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6.8" x14ac:dyDescent="0.45">
      <c r="A274" s="6"/>
      <c r="B274" s="7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6.8" x14ac:dyDescent="0.45">
      <c r="A275" s="6"/>
      <c r="B275" s="7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6.8" x14ac:dyDescent="0.45">
      <c r="A276" s="6"/>
      <c r="B276" s="7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6.8" x14ac:dyDescent="0.45">
      <c r="A277" s="6"/>
      <c r="B277" s="7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6.8" x14ac:dyDescent="0.45">
      <c r="A278" s="6"/>
      <c r="B278" s="7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6.8" x14ac:dyDescent="0.45">
      <c r="A279" s="6"/>
      <c r="B279" s="7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6.8" x14ac:dyDescent="0.45">
      <c r="A280" s="6"/>
      <c r="B280" s="7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6.8" x14ac:dyDescent="0.45">
      <c r="A281" s="6"/>
      <c r="B281" s="7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6.8" x14ac:dyDescent="0.45">
      <c r="A282" s="6"/>
      <c r="B282" s="7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6.8" x14ac:dyDescent="0.45">
      <c r="A283" s="6"/>
      <c r="B283" s="7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6.8" x14ac:dyDescent="0.45">
      <c r="A284" s="6"/>
      <c r="B284" s="7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6.8" x14ac:dyDescent="0.45">
      <c r="A285" s="6"/>
      <c r="B285" s="7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6.8" x14ac:dyDescent="0.45">
      <c r="A286" s="6"/>
      <c r="B286" s="7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6.8" x14ac:dyDescent="0.45">
      <c r="A287" s="6"/>
      <c r="B287" s="7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6.8" x14ac:dyDescent="0.45">
      <c r="A288" s="6"/>
      <c r="B288" s="7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6.8" x14ac:dyDescent="0.45">
      <c r="A289" s="6"/>
      <c r="B289" s="7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6.8" x14ac:dyDescent="0.45">
      <c r="A290" s="6"/>
      <c r="B290" s="7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6.8" x14ac:dyDescent="0.45">
      <c r="A291" s="6"/>
      <c r="B291" s="7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6.8" x14ac:dyDescent="0.45">
      <c r="A292" s="6"/>
      <c r="B292" s="7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6.8" x14ac:dyDescent="0.45">
      <c r="A293" s="6"/>
      <c r="B293" s="7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6.8" x14ac:dyDescent="0.45">
      <c r="A294" s="6"/>
      <c r="B294" s="7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6.8" x14ac:dyDescent="0.45">
      <c r="A295" s="6"/>
      <c r="B295" s="7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6.8" x14ac:dyDescent="0.45">
      <c r="A296" s="6"/>
      <c r="B296" s="7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6.8" x14ac:dyDescent="0.45">
      <c r="A297" s="6"/>
      <c r="B297" s="7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6.8" x14ac:dyDescent="0.45">
      <c r="A298" s="6"/>
      <c r="B298" s="7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6.8" x14ac:dyDescent="0.45">
      <c r="A299" s="6"/>
      <c r="B299" s="7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6.8" x14ac:dyDescent="0.45">
      <c r="A300" s="6"/>
      <c r="B300" s="7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6.8" x14ac:dyDescent="0.45">
      <c r="A301" s="6"/>
      <c r="B301" s="7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6.8" x14ac:dyDescent="0.45">
      <c r="A302" s="6"/>
      <c r="B302" s="7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6.8" x14ac:dyDescent="0.45">
      <c r="A303" s="6"/>
      <c r="B303" s="7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6.8" x14ac:dyDescent="0.45">
      <c r="A304" s="6"/>
      <c r="B304" s="7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6.8" x14ac:dyDescent="0.45">
      <c r="A305" s="6"/>
      <c r="B305" s="7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6.8" x14ac:dyDescent="0.45">
      <c r="A306" s="6"/>
      <c r="B306" s="7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6.8" x14ac:dyDescent="0.45">
      <c r="A307" s="6"/>
      <c r="B307" s="7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6.8" x14ac:dyDescent="0.45">
      <c r="A308" s="6"/>
      <c r="B308" s="7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6.8" x14ac:dyDescent="0.45">
      <c r="A309" s="6"/>
      <c r="B309" s="7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6.8" x14ac:dyDescent="0.45">
      <c r="A310" s="6"/>
      <c r="B310" s="7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6.8" x14ac:dyDescent="0.45">
      <c r="A311" s="6"/>
      <c r="B311" s="7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6.8" x14ac:dyDescent="0.45">
      <c r="A312" s="6"/>
      <c r="B312" s="7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6.8" x14ac:dyDescent="0.45">
      <c r="A313" s="6"/>
      <c r="B313" s="7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6.8" x14ac:dyDescent="0.45">
      <c r="A314" s="6"/>
      <c r="B314" s="7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6.8" x14ac:dyDescent="0.45">
      <c r="A315" s="6"/>
      <c r="B315" s="7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6.8" x14ac:dyDescent="0.45">
      <c r="A316" s="6"/>
      <c r="B316" s="7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6.8" x14ac:dyDescent="0.45">
      <c r="A317" s="6"/>
      <c r="B317" s="7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6.8" x14ac:dyDescent="0.45">
      <c r="A318" s="6"/>
      <c r="B318" s="7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6.8" x14ac:dyDescent="0.45">
      <c r="A319" s="6"/>
      <c r="B319" s="7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6.8" x14ac:dyDescent="0.45">
      <c r="A320" s="6"/>
      <c r="B320" s="7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6.8" x14ac:dyDescent="0.45">
      <c r="A321" s="6"/>
      <c r="B321" s="7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6.8" x14ac:dyDescent="0.45">
      <c r="A322" s="6"/>
      <c r="B322" s="7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6.8" x14ac:dyDescent="0.45">
      <c r="A323" s="6"/>
      <c r="B323" s="7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6.8" x14ac:dyDescent="0.45">
      <c r="A324" s="6"/>
      <c r="B324" s="7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6.8" x14ac:dyDescent="0.45">
      <c r="A325" s="6"/>
      <c r="B325" s="7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6.8" x14ac:dyDescent="0.45">
      <c r="A326" s="6"/>
      <c r="B326" s="7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6.8" x14ac:dyDescent="0.45">
      <c r="A327" s="6"/>
      <c r="B327" s="7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6.8" x14ac:dyDescent="0.45">
      <c r="A328" s="6"/>
      <c r="B328" s="7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6.8" x14ac:dyDescent="0.45">
      <c r="A329" s="6"/>
      <c r="B329" s="7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6.8" x14ac:dyDescent="0.45">
      <c r="A330" s="6"/>
      <c r="B330" s="7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6.8" x14ac:dyDescent="0.45">
      <c r="A331" s="6"/>
      <c r="B331" s="7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6.8" x14ac:dyDescent="0.45">
      <c r="A332" s="6"/>
      <c r="B332" s="7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6.8" x14ac:dyDescent="0.45">
      <c r="A333" s="6"/>
      <c r="B333" s="7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6.8" x14ac:dyDescent="0.45">
      <c r="A334" s="6"/>
      <c r="B334" s="7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6.8" x14ac:dyDescent="0.45">
      <c r="A335" s="6"/>
      <c r="B335" s="7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6.8" x14ac:dyDescent="0.45">
      <c r="A336" s="6"/>
      <c r="B336" s="7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6.8" x14ac:dyDescent="0.45">
      <c r="A337" s="6"/>
      <c r="B337" s="7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6.8" x14ac:dyDescent="0.45">
      <c r="A338" s="6"/>
      <c r="B338" s="7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6.8" x14ac:dyDescent="0.45">
      <c r="A339" s="6"/>
      <c r="B339" s="7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6.8" x14ac:dyDescent="0.45">
      <c r="A340" s="6"/>
      <c r="B340" s="7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6.8" x14ac:dyDescent="0.45">
      <c r="A341" s="6"/>
      <c r="B341" s="7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6.8" x14ac:dyDescent="0.45">
      <c r="A342" s="6"/>
      <c r="B342" s="7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6.8" x14ac:dyDescent="0.45">
      <c r="A343" s="6"/>
      <c r="B343" s="7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6.8" x14ac:dyDescent="0.45">
      <c r="A344" s="6"/>
      <c r="B344" s="7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6.8" x14ac:dyDescent="0.45">
      <c r="A345" s="6"/>
      <c r="B345" s="7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6.8" x14ac:dyDescent="0.45">
      <c r="A346" s="6"/>
      <c r="B346" s="7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6.8" x14ac:dyDescent="0.45">
      <c r="A347" s="6"/>
      <c r="B347" s="7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6.8" x14ac:dyDescent="0.45">
      <c r="A348" s="6"/>
      <c r="B348" s="7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6.8" x14ac:dyDescent="0.45">
      <c r="A349" s="6"/>
      <c r="B349" s="7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6.8" x14ac:dyDescent="0.45">
      <c r="A350" s="6"/>
      <c r="B350" s="7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6.8" x14ac:dyDescent="0.45">
      <c r="A351" s="6"/>
      <c r="B351" s="7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6.8" x14ac:dyDescent="0.45">
      <c r="A352" s="6"/>
      <c r="B352" s="7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6.8" x14ac:dyDescent="0.45">
      <c r="A353" s="6"/>
      <c r="B353" s="7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6.8" x14ac:dyDescent="0.45">
      <c r="A354" s="6"/>
      <c r="B354" s="7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6.8" x14ac:dyDescent="0.45">
      <c r="A355" s="6"/>
      <c r="B355" s="7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6.8" x14ac:dyDescent="0.45">
      <c r="A356" s="6"/>
      <c r="B356" s="7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6.8" x14ac:dyDescent="0.45">
      <c r="A357" s="6"/>
      <c r="B357" s="7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6.8" x14ac:dyDescent="0.45">
      <c r="A358" s="6"/>
      <c r="B358" s="7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6.8" x14ac:dyDescent="0.45">
      <c r="A359" s="6"/>
      <c r="B359" s="7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6.8" x14ac:dyDescent="0.45">
      <c r="A360" s="6"/>
      <c r="B360" s="7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6.8" x14ac:dyDescent="0.45">
      <c r="A361" s="6"/>
      <c r="B361" s="7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6.8" x14ac:dyDescent="0.45">
      <c r="A362" s="6"/>
      <c r="B362" s="7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6.8" x14ac:dyDescent="0.45">
      <c r="A363" s="6"/>
      <c r="B363" s="7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6.8" x14ac:dyDescent="0.45">
      <c r="A364" s="6"/>
      <c r="B364" s="7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6.8" x14ac:dyDescent="0.45">
      <c r="A365" s="6"/>
      <c r="B365" s="7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6.8" x14ac:dyDescent="0.45">
      <c r="A366" s="6"/>
      <c r="B366" s="7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6.8" x14ac:dyDescent="0.45">
      <c r="A367" s="6"/>
      <c r="B367" s="7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6.8" x14ac:dyDescent="0.45">
      <c r="A368" s="6"/>
      <c r="B368" s="7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6.8" x14ac:dyDescent="0.45">
      <c r="A369" s="6"/>
      <c r="B369" s="7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6.8" x14ac:dyDescent="0.45">
      <c r="A370" s="6"/>
      <c r="B370" s="7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6.8" x14ac:dyDescent="0.45">
      <c r="A371" s="6"/>
      <c r="B371" s="7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6.8" x14ac:dyDescent="0.45">
      <c r="A372" s="6"/>
      <c r="B372" s="7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6.8" x14ac:dyDescent="0.45">
      <c r="A373" s="6"/>
      <c r="B373" s="7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6.8" x14ac:dyDescent="0.45">
      <c r="A374" s="6"/>
      <c r="B374" s="7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6.8" x14ac:dyDescent="0.45">
      <c r="A375" s="6"/>
      <c r="B375" s="7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6.8" x14ac:dyDescent="0.45">
      <c r="A376" s="6"/>
      <c r="B376" s="7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6.8" x14ac:dyDescent="0.45">
      <c r="A377" s="6"/>
      <c r="B377" s="7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6.8" x14ac:dyDescent="0.45">
      <c r="A378" s="6"/>
      <c r="B378" s="7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6.8" x14ac:dyDescent="0.45">
      <c r="A379" s="6"/>
      <c r="B379" s="7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6.8" x14ac:dyDescent="0.45">
      <c r="A380" s="6"/>
      <c r="B380" s="7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6.8" x14ac:dyDescent="0.45">
      <c r="A381" s="6"/>
      <c r="B381" s="7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6.8" x14ac:dyDescent="0.45">
      <c r="A382" s="6"/>
      <c r="B382" s="7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6.8" x14ac:dyDescent="0.45">
      <c r="A383" s="6"/>
      <c r="B383" s="7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6.8" x14ac:dyDescent="0.45">
      <c r="A384" s="6"/>
      <c r="B384" s="7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6.8" x14ac:dyDescent="0.45">
      <c r="A385" s="6"/>
      <c r="B385" s="7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6.8" x14ac:dyDescent="0.45">
      <c r="A386" s="6"/>
      <c r="B386" s="7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6.8" x14ac:dyDescent="0.45">
      <c r="A387" s="6"/>
      <c r="B387" s="7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6.8" x14ac:dyDescent="0.45">
      <c r="A388" s="6"/>
      <c r="B388" s="7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6.8" x14ac:dyDescent="0.45">
      <c r="A389" s="6"/>
      <c r="B389" s="7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6.8" x14ac:dyDescent="0.45">
      <c r="A390" s="6"/>
      <c r="B390" s="7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6.8" x14ac:dyDescent="0.45">
      <c r="A391" s="6"/>
      <c r="B391" s="7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6.8" x14ac:dyDescent="0.45">
      <c r="A392" s="6"/>
      <c r="B392" s="7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6.8" x14ac:dyDescent="0.45">
      <c r="A393" s="6"/>
      <c r="B393" s="7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6.8" x14ac:dyDescent="0.45">
      <c r="A394" s="6"/>
      <c r="B394" s="7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6.8" x14ac:dyDescent="0.45">
      <c r="A395" s="6"/>
      <c r="B395" s="7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6.8" x14ac:dyDescent="0.45">
      <c r="A396" s="6"/>
      <c r="B396" s="7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6.8" x14ac:dyDescent="0.45">
      <c r="A397" s="6"/>
      <c r="B397" s="7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6.8" x14ac:dyDescent="0.45">
      <c r="A398" s="6"/>
      <c r="B398" s="7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6.8" x14ac:dyDescent="0.45">
      <c r="A399" s="6"/>
      <c r="B399" s="7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6.8" x14ac:dyDescent="0.45">
      <c r="A400" s="6"/>
      <c r="B400" s="7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6.8" x14ac:dyDescent="0.45">
      <c r="A401" s="6"/>
      <c r="B401" s="7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6.8" x14ac:dyDescent="0.45">
      <c r="A402" s="6"/>
      <c r="B402" s="7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6.8" x14ac:dyDescent="0.45">
      <c r="A403" s="6"/>
      <c r="B403" s="7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6.8" x14ac:dyDescent="0.45">
      <c r="A404" s="6"/>
      <c r="B404" s="7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6.8" x14ac:dyDescent="0.45">
      <c r="A405" s="6"/>
      <c r="B405" s="7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6.8" x14ac:dyDescent="0.45">
      <c r="A406" s="6"/>
      <c r="B406" s="7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6.8" x14ac:dyDescent="0.45">
      <c r="A407" s="6"/>
      <c r="B407" s="7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6.8" x14ac:dyDescent="0.45">
      <c r="A408" s="6"/>
      <c r="B408" s="7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6.8" x14ac:dyDescent="0.45">
      <c r="A409" s="6"/>
      <c r="B409" s="7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6.8" x14ac:dyDescent="0.45">
      <c r="A410" s="6"/>
      <c r="B410" s="7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6.8" x14ac:dyDescent="0.45">
      <c r="A411" s="6"/>
      <c r="B411" s="7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6.8" x14ac:dyDescent="0.45">
      <c r="A412" s="6"/>
      <c r="B412" s="7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6.8" x14ac:dyDescent="0.45">
      <c r="A413" s="6"/>
      <c r="B413" s="7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6.8" x14ac:dyDescent="0.45">
      <c r="A414" s="6"/>
      <c r="B414" s="7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6.8" x14ac:dyDescent="0.45">
      <c r="A415" s="6"/>
      <c r="B415" s="7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6.8" x14ac:dyDescent="0.45">
      <c r="A416" s="6"/>
      <c r="B416" s="7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6.8" x14ac:dyDescent="0.45">
      <c r="A417" s="6"/>
      <c r="B417" s="7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6.8" x14ac:dyDescent="0.45">
      <c r="A418" s="6"/>
      <c r="B418" s="7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6.8" x14ac:dyDescent="0.45">
      <c r="A419" s="6"/>
      <c r="B419" s="7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6.8" x14ac:dyDescent="0.45">
      <c r="A420" s="6"/>
      <c r="B420" s="7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6.8" x14ac:dyDescent="0.45">
      <c r="A421" s="6"/>
      <c r="B421" s="7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6.8" x14ac:dyDescent="0.45">
      <c r="A422" s="6"/>
      <c r="B422" s="7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6.8" x14ac:dyDescent="0.45">
      <c r="A423" s="6"/>
      <c r="B423" s="7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6.8" x14ac:dyDescent="0.45">
      <c r="A424" s="6"/>
      <c r="B424" s="7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6.8" x14ac:dyDescent="0.45">
      <c r="A425" s="6"/>
      <c r="B425" s="7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6.8" x14ac:dyDescent="0.45">
      <c r="A426" s="6"/>
      <c r="B426" s="7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6.8" x14ac:dyDescent="0.45">
      <c r="A427" s="6"/>
      <c r="B427" s="7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6.8" x14ac:dyDescent="0.45">
      <c r="A428" s="6"/>
      <c r="B428" s="7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6.8" x14ac:dyDescent="0.45">
      <c r="A429" s="6"/>
      <c r="B429" s="7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6.8" x14ac:dyDescent="0.45">
      <c r="A430" s="6"/>
      <c r="B430" s="7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6.8" x14ac:dyDescent="0.45">
      <c r="A431" s="6"/>
      <c r="B431" s="7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6.8" x14ac:dyDescent="0.45">
      <c r="A432" s="6"/>
      <c r="B432" s="7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6.8" x14ac:dyDescent="0.45">
      <c r="A433" s="6"/>
      <c r="B433" s="7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6.8" x14ac:dyDescent="0.45">
      <c r="A434" s="6"/>
      <c r="B434" s="7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6.8" x14ac:dyDescent="0.45">
      <c r="A435" s="6"/>
      <c r="B435" s="7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6.8" x14ac:dyDescent="0.45">
      <c r="A436" s="6"/>
      <c r="B436" s="7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6.8" x14ac:dyDescent="0.45">
      <c r="A437" s="6"/>
      <c r="B437" s="7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6.8" x14ac:dyDescent="0.45">
      <c r="A438" s="6"/>
      <c r="B438" s="7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6.8" x14ac:dyDescent="0.45">
      <c r="A439" s="6"/>
      <c r="B439" s="7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6.8" x14ac:dyDescent="0.45">
      <c r="A440" s="6"/>
      <c r="B440" s="7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6.8" x14ac:dyDescent="0.45">
      <c r="A441" s="6"/>
      <c r="B441" s="7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6.8" x14ac:dyDescent="0.45">
      <c r="A442" s="6"/>
      <c r="B442" s="7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6.8" x14ac:dyDescent="0.45">
      <c r="A443" s="6"/>
      <c r="B443" s="7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6.8" x14ac:dyDescent="0.45">
      <c r="A444" s="6"/>
      <c r="B444" s="7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6.8" x14ac:dyDescent="0.45">
      <c r="A445" s="6"/>
      <c r="B445" s="7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6.8" x14ac:dyDescent="0.45">
      <c r="A446" s="6"/>
      <c r="B446" s="7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6.8" x14ac:dyDescent="0.45">
      <c r="A447" s="6"/>
      <c r="B447" s="7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6.8" x14ac:dyDescent="0.45">
      <c r="A448" s="6"/>
      <c r="B448" s="7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6.8" x14ac:dyDescent="0.45">
      <c r="A449" s="6"/>
      <c r="B449" s="7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6.8" x14ac:dyDescent="0.45">
      <c r="A450" s="6"/>
      <c r="B450" s="7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6.8" x14ac:dyDescent="0.45">
      <c r="A451" s="6"/>
      <c r="B451" s="7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6.8" x14ac:dyDescent="0.45">
      <c r="A452" s="6"/>
      <c r="B452" s="7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6.8" x14ac:dyDescent="0.45">
      <c r="A453" s="6"/>
      <c r="B453" s="7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6.8" x14ac:dyDescent="0.45">
      <c r="A454" s="6"/>
      <c r="B454" s="7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6.8" x14ac:dyDescent="0.45">
      <c r="A455" s="6"/>
      <c r="B455" s="7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6.8" x14ac:dyDescent="0.45">
      <c r="A456" s="6"/>
      <c r="B456" s="7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6.8" x14ac:dyDescent="0.45">
      <c r="A457" s="6"/>
      <c r="B457" s="7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6.8" x14ac:dyDescent="0.45">
      <c r="A458" s="6"/>
      <c r="B458" s="7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6.8" x14ac:dyDescent="0.45">
      <c r="A459" s="6"/>
      <c r="B459" s="7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6.8" x14ac:dyDescent="0.45">
      <c r="A460" s="6"/>
      <c r="B460" s="7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6.8" x14ac:dyDescent="0.45">
      <c r="A461" s="6"/>
      <c r="B461" s="7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6.8" x14ac:dyDescent="0.45">
      <c r="A462" s="6"/>
      <c r="B462" s="7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6.8" x14ac:dyDescent="0.45">
      <c r="A463" s="6"/>
      <c r="B463" s="7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6.8" x14ac:dyDescent="0.45">
      <c r="A464" s="6"/>
      <c r="B464" s="7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6.8" x14ac:dyDescent="0.45">
      <c r="A465" s="6"/>
      <c r="B465" s="7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6.8" x14ac:dyDescent="0.45">
      <c r="A466" s="6"/>
      <c r="B466" s="7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6.8" x14ac:dyDescent="0.45">
      <c r="A467" s="6"/>
      <c r="B467" s="7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6.8" x14ac:dyDescent="0.45">
      <c r="A468" s="6"/>
      <c r="B468" s="7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6.8" x14ac:dyDescent="0.45">
      <c r="A469" s="6"/>
      <c r="B469" s="7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6.8" x14ac:dyDescent="0.45">
      <c r="A470" s="6"/>
      <c r="B470" s="7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6.8" x14ac:dyDescent="0.45">
      <c r="A471" s="6"/>
      <c r="B471" s="7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6.8" x14ac:dyDescent="0.45">
      <c r="A472" s="6"/>
      <c r="B472" s="7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6.8" x14ac:dyDescent="0.45">
      <c r="A473" s="6"/>
      <c r="B473" s="7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6.8" x14ac:dyDescent="0.45">
      <c r="A474" s="6"/>
      <c r="B474" s="7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6.8" x14ac:dyDescent="0.45">
      <c r="A475" s="6"/>
      <c r="B475" s="7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6.8" x14ac:dyDescent="0.45">
      <c r="A476" s="6"/>
      <c r="B476" s="7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6.8" x14ac:dyDescent="0.45">
      <c r="A477" s="6"/>
      <c r="B477" s="7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6.8" x14ac:dyDescent="0.45">
      <c r="A478" s="6"/>
      <c r="B478" s="7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6.8" x14ac:dyDescent="0.45">
      <c r="A479" s="6"/>
      <c r="B479" s="7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6.8" x14ac:dyDescent="0.45">
      <c r="A480" s="6"/>
      <c r="B480" s="7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6.8" x14ac:dyDescent="0.45">
      <c r="A481" s="6"/>
      <c r="B481" s="7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6.8" x14ac:dyDescent="0.45">
      <c r="A482" s="6"/>
      <c r="B482" s="7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6.8" x14ac:dyDescent="0.45">
      <c r="A483" s="6"/>
      <c r="B483" s="7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6.8" x14ac:dyDescent="0.45">
      <c r="A484" s="6"/>
      <c r="B484" s="7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6.8" x14ac:dyDescent="0.45">
      <c r="A485" s="6"/>
      <c r="B485" s="7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6.8" x14ac:dyDescent="0.45">
      <c r="A486" s="6"/>
      <c r="B486" s="7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6.8" x14ac:dyDescent="0.45">
      <c r="A487" s="6"/>
      <c r="B487" s="7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6.8" x14ac:dyDescent="0.45">
      <c r="A488" s="6"/>
      <c r="B488" s="7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6.8" x14ac:dyDescent="0.45">
      <c r="A489" s="6"/>
      <c r="B489" s="7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6.8" x14ac:dyDescent="0.45">
      <c r="A490" s="6"/>
      <c r="B490" s="7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6.8" x14ac:dyDescent="0.45">
      <c r="A491" s="6"/>
      <c r="B491" s="7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6.8" x14ac:dyDescent="0.45">
      <c r="A492" s="6"/>
      <c r="B492" s="7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6.8" x14ac:dyDescent="0.45">
      <c r="A493" s="6"/>
      <c r="B493" s="7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6.8" x14ac:dyDescent="0.45">
      <c r="A494" s="6"/>
      <c r="B494" s="7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6.8" x14ac:dyDescent="0.45">
      <c r="A495" s="6"/>
      <c r="B495" s="7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6.8" x14ac:dyDescent="0.45">
      <c r="A496" s="6"/>
      <c r="B496" s="7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6.8" x14ac:dyDescent="0.45">
      <c r="A497" s="6"/>
      <c r="B497" s="7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6.8" x14ac:dyDescent="0.45">
      <c r="A498" s="6"/>
      <c r="B498" s="7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6.8" x14ac:dyDescent="0.45">
      <c r="A499" s="6"/>
      <c r="B499" s="7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6.8" x14ac:dyDescent="0.45">
      <c r="A500" s="6"/>
      <c r="B500" s="7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6.8" x14ac:dyDescent="0.45">
      <c r="A501" s="6"/>
      <c r="B501" s="7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6.8" x14ac:dyDescent="0.45">
      <c r="A502" s="6"/>
      <c r="B502" s="7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6.8" x14ac:dyDescent="0.45">
      <c r="A503" s="6"/>
      <c r="B503" s="7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6.8" x14ac:dyDescent="0.45">
      <c r="A504" s="6"/>
      <c r="B504" s="7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6.8" x14ac:dyDescent="0.45">
      <c r="A505" s="6"/>
      <c r="B505" s="7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6.8" x14ac:dyDescent="0.45">
      <c r="A506" s="6"/>
      <c r="B506" s="7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6.8" x14ac:dyDescent="0.45">
      <c r="A507" s="6"/>
      <c r="B507" s="7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6.8" x14ac:dyDescent="0.45">
      <c r="A508" s="6"/>
      <c r="B508" s="7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6.8" x14ac:dyDescent="0.45">
      <c r="A509" s="6"/>
      <c r="B509" s="7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6.8" x14ac:dyDescent="0.45">
      <c r="A510" s="6"/>
      <c r="B510" s="7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6.8" x14ac:dyDescent="0.45">
      <c r="A511" s="6"/>
      <c r="B511" s="7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6.8" x14ac:dyDescent="0.45">
      <c r="A512" s="6"/>
      <c r="B512" s="7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6.8" x14ac:dyDescent="0.45">
      <c r="A513" s="6"/>
      <c r="B513" s="7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6.8" x14ac:dyDescent="0.45">
      <c r="A514" s="6"/>
      <c r="B514" s="7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6.8" x14ac:dyDescent="0.45">
      <c r="A515" s="6"/>
      <c r="B515" s="7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6.8" x14ac:dyDescent="0.45">
      <c r="A516" s="6"/>
      <c r="B516" s="7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6.8" x14ac:dyDescent="0.45">
      <c r="A517" s="6"/>
      <c r="B517" s="7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6.8" x14ac:dyDescent="0.45">
      <c r="A518" s="6"/>
      <c r="B518" s="7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6.8" x14ac:dyDescent="0.45">
      <c r="A519" s="6"/>
      <c r="B519" s="7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6.8" x14ac:dyDescent="0.45">
      <c r="A520" s="6"/>
      <c r="B520" s="7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6.8" x14ac:dyDescent="0.45">
      <c r="A521" s="6"/>
      <c r="B521" s="7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6.8" x14ac:dyDescent="0.45">
      <c r="A522" s="6"/>
      <c r="B522" s="7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6.8" x14ac:dyDescent="0.45">
      <c r="A523" s="6"/>
      <c r="B523" s="7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6.8" x14ac:dyDescent="0.45">
      <c r="A524" s="6"/>
      <c r="B524" s="7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6.8" x14ac:dyDescent="0.45">
      <c r="A525" s="6"/>
      <c r="B525" s="7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6.8" x14ac:dyDescent="0.45">
      <c r="A526" s="6"/>
      <c r="B526" s="7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6.8" x14ac:dyDescent="0.45">
      <c r="A527" s="6"/>
      <c r="B527" s="7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6.8" x14ac:dyDescent="0.45">
      <c r="A528" s="6"/>
      <c r="B528" s="7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6.8" x14ac:dyDescent="0.45">
      <c r="A529" s="6"/>
      <c r="B529" s="7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6.8" x14ac:dyDescent="0.45">
      <c r="A530" s="6"/>
      <c r="B530" s="7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6.8" x14ac:dyDescent="0.45">
      <c r="A531" s="6"/>
      <c r="B531" s="7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6.8" x14ac:dyDescent="0.45">
      <c r="A532" s="6"/>
      <c r="B532" s="7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6.8" x14ac:dyDescent="0.45">
      <c r="A533" s="6"/>
      <c r="B533" s="7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6.8" x14ac:dyDescent="0.45">
      <c r="A534" s="6"/>
      <c r="B534" s="7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6.8" x14ac:dyDescent="0.45">
      <c r="A535" s="6"/>
      <c r="B535" s="7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6.8" x14ac:dyDescent="0.45">
      <c r="A536" s="6"/>
      <c r="B536" s="7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6.8" x14ac:dyDescent="0.45">
      <c r="A537" s="6"/>
      <c r="B537" s="7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6.8" x14ac:dyDescent="0.45">
      <c r="A538" s="6"/>
      <c r="B538" s="7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6.8" x14ac:dyDescent="0.45">
      <c r="A539" s="6"/>
      <c r="B539" s="7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6.8" x14ac:dyDescent="0.45">
      <c r="A540" s="6"/>
      <c r="B540" s="7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6.8" x14ac:dyDescent="0.45">
      <c r="A541" s="6"/>
      <c r="B541" s="7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6.8" x14ac:dyDescent="0.45">
      <c r="A542" s="6"/>
      <c r="B542" s="7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6.8" x14ac:dyDescent="0.45">
      <c r="A543" s="6"/>
      <c r="B543" s="7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6.8" x14ac:dyDescent="0.45">
      <c r="A544" s="6"/>
      <c r="B544" s="7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6.8" x14ac:dyDescent="0.45">
      <c r="A545" s="6"/>
      <c r="B545" s="7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6.8" x14ac:dyDescent="0.45">
      <c r="A546" s="6"/>
      <c r="B546" s="7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6.8" x14ac:dyDescent="0.45">
      <c r="A547" s="6"/>
      <c r="B547" s="7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6.8" x14ac:dyDescent="0.45">
      <c r="A548" s="6"/>
      <c r="B548" s="7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6.8" x14ac:dyDescent="0.45">
      <c r="A549" s="6"/>
      <c r="B549" s="7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6.8" x14ac:dyDescent="0.45">
      <c r="A550" s="6"/>
      <c r="B550" s="7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6.8" x14ac:dyDescent="0.45">
      <c r="A551" s="6"/>
      <c r="B551" s="7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6.8" x14ac:dyDescent="0.45">
      <c r="A552" s="6"/>
      <c r="B552" s="7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6.8" x14ac:dyDescent="0.45">
      <c r="A553" s="6"/>
      <c r="B553" s="7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6.8" x14ac:dyDescent="0.45">
      <c r="A554" s="6"/>
      <c r="B554" s="7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6.8" x14ac:dyDescent="0.45">
      <c r="A555" s="6"/>
      <c r="B555" s="7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6.8" x14ac:dyDescent="0.45">
      <c r="A556" s="6"/>
      <c r="B556" s="7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6.8" x14ac:dyDescent="0.45">
      <c r="A557" s="6"/>
      <c r="B557" s="7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6.8" x14ac:dyDescent="0.45">
      <c r="A558" s="6"/>
      <c r="B558" s="7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6.8" x14ac:dyDescent="0.45">
      <c r="A559" s="6"/>
      <c r="B559" s="7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6.8" x14ac:dyDescent="0.45">
      <c r="A560" s="6"/>
      <c r="B560" s="7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6.8" x14ac:dyDescent="0.45">
      <c r="A561" s="6"/>
      <c r="B561" s="7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6.8" x14ac:dyDescent="0.45">
      <c r="A562" s="6"/>
      <c r="B562" s="7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6.8" x14ac:dyDescent="0.45">
      <c r="A563" s="6"/>
      <c r="B563" s="7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6.8" x14ac:dyDescent="0.45">
      <c r="A564" s="6"/>
      <c r="B564" s="7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6.8" x14ac:dyDescent="0.45">
      <c r="A565" s="6"/>
      <c r="B565" s="7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6.8" x14ac:dyDescent="0.45">
      <c r="A566" s="6"/>
      <c r="B566" s="7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6.8" x14ac:dyDescent="0.45">
      <c r="A567" s="6"/>
      <c r="B567" s="7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6.8" x14ac:dyDescent="0.45">
      <c r="A568" s="6"/>
      <c r="B568" s="7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6.8" x14ac:dyDescent="0.45">
      <c r="A569" s="6"/>
      <c r="B569" s="7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6.8" x14ac:dyDescent="0.45">
      <c r="A570" s="6"/>
      <c r="B570" s="7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6.8" x14ac:dyDescent="0.45">
      <c r="A571" s="6"/>
      <c r="B571" s="7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6.8" x14ac:dyDescent="0.45">
      <c r="A572" s="6"/>
      <c r="B572" s="7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6.8" x14ac:dyDescent="0.45">
      <c r="A573" s="6"/>
      <c r="B573" s="7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6.8" x14ac:dyDescent="0.45">
      <c r="A574" s="6"/>
      <c r="B574" s="7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6.8" x14ac:dyDescent="0.45">
      <c r="A575" s="6"/>
      <c r="B575" s="7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6.8" x14ac:dyDescent="0.45">
      <c r="A576" s="6"/>
      <c r="B576" s="7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6.8" x14ac:dyDescent="0.45">
      <c r="A577" s="6"/>
      <c r="B577" s="7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6.8" x14ac:dyDescent="0.45">
      <c r="A578" s="6"/>
      <c r="B578" s="7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6.8" x14ac:dyDescent="0.45">
      <c r="A579" s="6"/>
      <c r="B579" s="7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6.8" x14ac:dyDescent="0.45">
      <c r="A580" s="6"/>
      <c r="B580" s="7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6.8" x14ac:dyDescent="0.45">
      <c r="A581" s="6"/>
      <c r="B581" s="7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6.8" x14ac:dyDescent="0.45">
      <c r="A582" s="6"/>
      <c r="B582" s="7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6.8" x14ac:dyDescent="0.45">
      <c r="A583" s="6"/>
      <c r="B583" s="7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6.8" x14ac:dyDescent="0.45">
      <c r="A584" s="6"/>
      <c r="B584" s="7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6.8" x14ac:dyDescent="0.45">
      <c r="A585" s="6"/>
      <c r="B585" s="7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6.8" x14ac:dyDescent="0.45">
      <c r="A586" s="6"/>
      <c r="B586" s="7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6.8" x14ac:dyDescent="0.45">
      <c r="A587" s="6"/>
      <c r="B587" s="7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6.8" x14ac:dyDescent="0.45">
      <c r="A588" s="6"/>
      <c r="B588" s="7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6.8" x14ac:dyDescent="0.45">
      <c r="A589" s="6"/>
      <c r="B589" s="7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6.8" x14ac:dyDescent="0.45">
      <c r="A590" s="6"/>
      <c r="B590" s="7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6.8" x14ac:dyDescent="0.45">
      <c r="A591" s="6"/>
      <c r="B591" s="7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6.8" x14ac:dyDescent="0.45">
      <c r="A592" s="6"/>
      <c r="B592" s="7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6.8" x14ac:dyDescent="0.45">
      <c r="A593" s="6"/>
      <c r="B593" s="7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6.8" x14ac:dyDescent="0.45">
      <c r="A594" s="6"/>
      <c r="B594" s="7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6.8" x14ac:dyDescent="0.45">
      <c r="A595" s="6"/>
      <c r="B595" s="7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6.8" x14ac:dyDescent="0.45">
      <c r="A596" s="6"/>
      <c r="B596" s="7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6.8" x14ac:dyDescent="0.45">
      <c r="A597" s="6"/>
      <c r="B597" s="7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6.8" x14ac:dyDescent="0.45">
      <c r="A598" s="6"/>
      <c r="B598" s="7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6.8" x14ac:dyDescent="0.45">
      <c r="A599" s="6"/>
      <c r="B599" s="7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6.8" x14ac:dyDescent="0.45">
      <c r="A600" s="6"/>
      <c r="B600" s="7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6.8" x14ac:dyDescent="0.45">
      <c r="A601" s="6"/>
      <c r="B601" s="7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6.8" x14ac:dyDescent="0.45">
      <c r="A602" s="6"/>
      <c r="B602" s="7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6.8" x14ac:dyDescent="0.45">
      <c r="A603" s="6"/>
      <c r="B603" s="7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6.8" x14ac:dyDescent="0.45">
      <c r="A604" s="6"/>
      <c r="B604" s="7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6.8" x14ac:dyDescent="0.45">
      <c r="A605" s="6"/>
      <c r="B605" s="7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6.8" x14ac:dyDescent="0.45">
      <c r="A606" s="6"/>
      <c r="B606" s="7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6.8" x14ac:dyDescent="0.45">
      <c r="A607" s="6"/>
      <c r="B607" s="7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6.8" x14ac:dyDescent="0.45">
      <c r="A608" s="6"/>
      <c r="B608" s="7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6.8" x14ac:dyDescent="0.45">
      <c r="A609" s="6"/>
      <c r="B609" s="7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6.8" x14ac:dyDescent="0.45">
      <c r="A610" s="6"/>
      <c r="B610" s="7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6.8" x14ac:dyDescent="0.45">
      <c r="A611" s="6"/>
      <c r="B611" s="7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6.8" x14ac:dyDescent="0.45">
      <c r="A612" s="6"/>
      <c r="B612" s="7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6.8" x14ac:dyDescent="0.45">
      <c r="A613" s="6"/>
      <c r="B613" s="7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6.8" x14ac:dyDescent="0.45">
      <c r="A614" s="6"/>
      <c r="B614" s="7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6.8" x14ac:dyDescent="0.45">
      <c r="A615" s="6"/>
      <c r="B615" s="7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6.8" x14ac:dyDescent="0.45">
      <c r="A616" s="6"/>
      <c r="B616" s="7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6.8" x14ac:dyDescent="0.45">
      <c r="A617" s="6"/>
      <c r="B617" s="7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6.8" x14ac:dyDescent="0.45">
      <c r="A618" s="6"/>
      <c r="B618" s="7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6.8" x14ac:dyDescent="0.45">
      <c r="A619" s="6"/>
      <c r="B619" s="7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6.8" x14ac:dyDescent="0.45">
      <c r="A620" s="6"/>
      <c r="B620" s="7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6.8" x14ac:dyDescent="0.45">
      <c r="A621" s="6"/>
      <c r="B621" s="7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6.8" x14ac:dyDescent="0.45">
      <c r="A622" s="6"/>
      <c r="B622" s="7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6.8" x14ac:dyDescent="0.45">
      <c r="A623" s="6"/>
      <c r="B623" s="7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6.8" x14ac:dyDescent="0.45">
      <c r="A624" s="6"/>
      <c r="B624" s="7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6.8" x14ac:dyDescent="0.45">
      <c r="A625" s="6"/>
      <c r="B625" s="7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6.8" x14ac:dyDescent="0.45">
      <c r="A626" s="6"/>
      <c r="B626" s="7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6.8" x14ac:dyDescent="0.45">
      <c r="A627" s="6"/>
      <c r="B627" s="7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6.8" x14ac:dyDescent="0.45">
      <c r="A628" s="6"/>
      <c r="B628" s="7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6.8" x14ac:dyDescent="0.45">
      <c r="A629" s="6"/>
      <c r="B629" s="7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6.8" x14ac:dyDescent="0.45">
      <c r="A630" s="6"/>
      <c r="B630" s="7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6.8" x14ac:dyDescent="0.45">
      <c r="A631" s="6"/>
      <c r="B631" s="7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6.8" x14ac:dyDescent="0.45">
      <c r="A632" s="6"/>
      <c r="B632" s="7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6.8" x14ac:dyDescent="0.45">
      <c r="A633" s="6"/>
      <c r="B633" s="7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6.8" x14ac:dyDescent="0.45">
      <c r="A634" s="6"/>
      <c r="B634" s="7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6.8" x14ac:dyDescent="0.45">
      <c r="A635" s="6"/>
      <c r="B635" s="7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6.8" x14ac:dyDescent="0.45">
      <c r="A636" s="6"/>
      <c r="B636" s="7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6.8" x14ac:dyDescent="0.45">
      <c r="A637" s="6"/>
      <c r="B637" s="7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6.8" x14ac:dyDescent="0.45">
      <c r="A638" s="6"/>
      <c r="B638" s="7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6.8" x14ac:dyDescent="0.45">
      <c r="A639" s="6"/>
      <c r="B639" s="7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6.8" x14ac:dyDescent="0.45">
      <c r="A640" s="6"/>
      <c r="B640" s="7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6.8" x14ac:dyDescent="0.45">
      <c r="A641" s="6"/>
      <c r="B641" s="7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6.8" x14ac:dyDescent="0.45">
      <c r="A642" s="6"/>
      <c r="B642" s="7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6.8" x14ac:dyDescent="0.45">
      <c r="A643" s="6"/>
      <c r="B643" s="7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6.8" x14ac:dyDescent="0.45">
      <c r="A644" s="6"/>
      <c r="B644" s="7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6.8" x14ac:dyDescent="0.45">
      <c r="A645" s="6"/>
      <c r="B645" s="7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6.8" x14ac:dyDescent="0.45">
      <c r="A646" s="6"/>
      <c r="B646" s="7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6.8" x14ac:dyDescent="0.45">
      <c r="A647" s="6"/>
      <c r="B647" s="7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6.8" x14ac:dyDescent="0.45">
      <c r="A648" s="6"/>
      <c r="B648" s="7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6.8" x14ac:dyDescent="0.45">
      <c r="A649" s="6"/>
      <c r="B649" s="7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6.8" x14ac:dyDescent="0.45">
      <c r="A650" s="6"/>
      <c r="B650" s="7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6.8" x14ac:dyDescent="0.45">
      <c r="A651" s="6"/>
      <c r="B651" s="7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6.8" x14ac:dyDescent="0.45">
      <c r="A652" s="6"/>
      <c r="B652" s="7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6.8" x14ac:dyDescent="0.45">
      <c r="A653" s="6"/>
      <c r="B653" s="7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6.8" x14ac:dyDescent="0.45">
      <c r="A654" s="6"/>
      <c r="B654" s="7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6.8" x14ac:dyDescent="0.45">
      <c r="A655" s="6"/>
      <c r="B655" s="7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6.8" x14ac:dyDescent="0.45">
      <c r="A656" s="6"/>
      <c r="B656" s="7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6.8" x14ac:dyDescent="0.45">
      <c r="A657" s="6"/>
      <c r="B657" s="7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6.8" x14ac:dyDescent="0.45">
      <c r="A658" s="6"/>
      <c r="B658" s="7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6.8" x14ac:dyDescent="0.45">
      <c r="A659" s="6"/>
      <c r="B659" s="7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6.8" x14ac:dyDescent="0.45">
      <c r="A660" s="6"/>
      <c r="B660" s="7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6.8" x14ac:dyDescent="0.45">
      <c r="A661" s="6"/>
      <c r="B661" s="7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6.8" x14ac:dyDescent="0.45">
      <c r="A662" s="6"/>
      <c r="B662" s="7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6.8" x14ac:dyDescent="0.45">
      <c r="A663" s="6"/>
      <c r="B663" s="7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6.8" x14ac:dyDescent="0.45">
      <c r="A664" s="6"/>
      <c r="B664" s="7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6.8" x14ac:dyDescent="0.45">
      <c r="A665" s="6"/>
      <c r="B665" s="7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6.8" x14ac:dyDescent="0.45">
      <c r="A666" s="6"/>
      <c r="B666" s="7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6.8" x14ac:dyDescent="0.45">
      <c r="A667" s="6"/>
      <c r="B667" s="7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6.8" x14ac:dyDescent="0.45">
      <c r="A668" s="6"/>
      <c r="B668" s="7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6.8" x14ac:dyDescent="0.45">
      <c r="A669" s="6"/>
      <c r="B669" s="7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6.8" x14ac:dyDescent="0.45">
      <c r="A670" s="6"/>
      <c r="B670" s="7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6.8" x14ac:dyDescent="0.45">
      <c r="A671" s="6"/>
      <c r="B671" s="7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6.8" x14ac:dyDescent="0.45">
      <c r="A672" s="6"/>
      <c r="B672" s="7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6.8" x14ac:dyDescent="0.45">
      <c r="A673" s="6"/>
      <c r="B673" s="7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6.8" x14ac:dyDescent="0.45">
      <c r="A674" s="6"/>
      <c r="B674" s="7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6.8" x14ac:dyDescent="0.45">
      <c r="A675" s="6"/>
      <c r="B675" s="7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6.8" x14ac:dyDescent="0.45">
      <c r="A676" s="6"/>
      <c r="B676" s="7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6.8" x14ac:dyDescent="0.45">
      <c r="A677" s="6"/>
      <c r="B677" s="7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6.8" x14ac:dyDescent="0.45">
      <c r="A678" s="6"/>
      <c r="B678" s="7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6.8" x14ac:dyDescent="0.45">
      <c r="A679" s="6"/>
      <c r="B679" s="7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6.8" x14ac:dyDescent="0.45">
      <c r="A680" s="6"/>
      <c r="B680" s="7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6.8" x14ac:dyDescent="0.45">
      <c r="A681" s="6"/>
      <c r="B681" s="7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6.8" x14ac:dyDescent="0.45">
      <c r="A682" s="6"/>
      <c r="B682" s="7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6.8" x14ac:dyDescent="0.45">
      <c r="A683" s="6"/>
      <c r="B683" s="7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6.8" x14ac:dyDescent="0.45">
      <c r="A684" s="6"/>
      <c r="B684" s="7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6.8" x14ac:dyDescent="0.45">
      <c r="A685" s="6"/>
      <c r="B685" s="7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6.8" x14ac:dyDescent="0.45">
      <c r="A686" s="6"/>
      <c r="B686" s="7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6.8" x14ac:dyDescent="0.45">
      <c r="A687" s="6"/>
      <c r="B687" s="7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6.8" x14ac:dyDescent="0.45">
      <c r="A688" s="6"/>
      <c r="B688" s="7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6.8" x14ac:dyDescent="0.45">
      <c r="A689" s="6"/>
      <c r="B689" s="7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6.8" x14ac:dyDescent="0.45">
      <c r="A690" s="6"/>
      <c r="B690" s="7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6.8" x14ac:dyDescent="0.45">
      <c r="A691" s="6"/>
      <c r="B691" s="7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6.8" x14ac:dyDescent="0.45">
      <c r="A692" s="6"/>
      <c r="B692" s="7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6.8" x14ac:dyDescent="0.45">
      <c r="A693" s="6"/>
      <c r="B693" s="7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6.8" x14ac:dyDescent="0.45">
      <c r="A694" s="6"/>
      <c r="B694" s="7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6.8" x14ac:dyDescent="0.45">
      <c r="A695" s="6"/>
      <c r="B695" s="7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6.8" x14ac:dyDescent="0.45">
      <c r="A696" s="6"/>
      <c r="B696" s="7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6.8" x14ac:dyDescent="0.45">
      <c r="A697" s="6"/>
      <c r="B697" s="7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6.8" x14ac:dyDescent="0.45">
      <c r="A698" s="6"/>
      <c r="B698" s="7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6.8" x14ac:dyDescent="0.45">
      <c r="A699" s="6"/>
      <c r="B699" s="7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6.8" x14ac:dyDescent="0.45">
      <c r="A700" s="6"/>
      <c r="B700" s="7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6.8" x14ac:dyDescent="0.45">
      <c r="A701" s="6"/>
      <c r="B701" s="7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6.8" x14ac:dyDescent="0.45">
      <c r="A702" s="6"/>
      <c r="B702" s="7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6.8" x14ac:dyDescent="0.45">
      <c r="A703" s="6"/>
      <c r="B703" s="7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6.8" x14ac:dyDescent="0.45">
      <c r="A704" s="6"/>
      <c r="B704" s="7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6.8" x14ac:dyDescent="0.45">
      <c r="A705" s="6"/>
      <c r="B705" s="7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6.8" x14ac:dyDescent="0.45">
      <c r="A706" s="6"/>
      <c r="B706" s="7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6.8" x14ac:dyDescent="0.45">
      <c r="A707" s="6"/>
      <c r="B707" s="7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6.8" x14ac:dyDescent="0.45">
      <c r="A708" s="6"/>
      <c r="B708" s="7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6.8" x14ac:dyDescent="0.45">
      <c r="A709" s="6"/>
      <c r="B709" s="7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6.8" x14ac:dyDescent="0.45">
      <c r="A710" s="6"/>
      <c r="B710" s="7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6.8" x14ac:dyDescent="0.45">
      <c r="A711" s="6"/>
      <c r="B711" s="7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6.8" x14ac:dyDescent="0.45">
      <c r="A712" s="6"/>
      <c r="B712" s="7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6.8" x14ac:dyDescent="0.45">
      <c r="A713" s="6"/>
      <c r="B713" s="7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6.8" x14ac:dyDescent="0.45">
      <c r="A714" s="6"/>
      <c r="B714" s="7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6.8" x14ac:dyDescent="0.45">
      <c r="A715" s="6"/>
      <c r="B715" s="7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6.8" x14ac:dyDescent="0.45">
      <c r="A716" s="6"/>
      <c r="B716" s="7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6.8" x14ac:dyDescent="0.45">
      <c r="A717" s="6"/>
      <c r="B717" s="7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6.8" x14ac:dyDescent="0.45">
      <c r="A718" s="6"/>
      <c r="B718" s="7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6.8" x14ac:dyDescent="0.45">
      <c r="A719" s="6"/>
      <c r="B719" s="7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6.8" x14ac:dyDescent="0.45">
      <c r="A720" s="6"/>
      <c r="B720" s="7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6.8" x14ac:dyDescent="0.45">
      <c r="A721" s="6"/>
      <c r="B721" s="7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6.8" x14ac:dyDescent="0.45">
      <c r="A722" s="6"/>
      <c r="B722" s="7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6.8" x14ac:dyDescent="0.45">
      <c r="A723" s="6"/>
      <c r="B723" s="7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6.8" x14ac:dyDescent="0.45">
      <c r="A724" s="6"/>
      <c r="B724" s="7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6.8" x14ac:dyDescent="0.45">
      <c r="A725" s="6"/>
      <c r="B725" s="7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6.8" x14ac:dyDescent="0.45">
      <c r="A726" s="6"/>
      <c r="B726" s="7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6.8" x14ac:dyDescent="0.45">
      <c r="A727" s="6"/>
      <c r="B727" s="7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6.8" x14ac:dyDescent="0.45">
      <c r="A728" s="6"/>
      <c r="B728" s="7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6.8" x14ac:dyDescent="0.45">
      <c r="A729" s="6"/>
      <c r="B729" s="7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6.8" x14ac:dyDescent="0.45">
      <c r="A730" s="6"/>
      <c r="B730" s="7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6.8" x14ac:dyDescent="0.45">
      <c r="A731" s="6"/>
      <c r="B731" s="7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6.8" x14ac:dyDescent="0.45">
      <c r="A732" s="6"/>
      <c r="B732" s="7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6.8" x14ac:dyDescent="0.45">
      <c r="A733" s="6"/>
      <c r="B733" s="7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6.8" x14ac:dyDescent="0.45">
      <c r="A734" s="6"/>
      <c r="B734" s="7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6.8" x14ac:dyDescent="0.45">
      <c r="A735" s="6"/>
      <c r="B735" s="7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6.8" x14ac:dyDescent="0.45">
      <c r="A736" s="6"/>
      <c r="B736" s="7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6.8" x14ac:dyDescent="0.45">
      <c r="A737" s="6"/>
      <c r="B737" s="7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6.8" x14ac:dyDescent="0.45">
      <c r="A738" s="6"/>
      <c r="B738" s="7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6.8" x14ac:dyDescent="0.45">
      <c r="A739" s="6"/>
      <c r="B739" s="7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6.8" x14ac:dyDescent="0.45">
      <c r="A740" s="6"/>
      <c r="B740" s="7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6.8" x14ac:dyDescent="0.45">
      <c r="A741" s="6"/>
      <c r="B741" s="7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6.8" x14ac:dyDescent="0.45">
      <c r="A742" s="6"/>
      <c r="B742" s="7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6.8" x14ac:dyDescent="0.45">
      <c r="A743" s="6"/>
      <c r="B743" s="7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6.8" x14ac:dyDescent="0.45">
      <c r="A744" s="6"/>
      <c r="B744" s="7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6.8" x14ac:dyDescent="0.45">
      <c r="A745" s="6"/>
      <c r="B745" s="7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6.8" x14ac:dyDescent="0.45">
      <c r="A746" s="6"/>
      <c r="B746" s="7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6.8" x14ac:dyDescent="0.45">
      <c r="A747" s="6"/>
      <c r="B747" s="7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6.8" x14ac:dyDescent="0.45">
      <c r="A748" s="6"/>
      <c r="B748" s="7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6.8" x14ac:dyDescent="0.45">
      <c r="A749" s="6"/>
      <c r="B749" s="7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6.8" x14ac:dyDescent="0.45">
      <c r="A750" s="6"/>
      <c r="B750" s="7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6.8" x14ac:dyDescent="0.45">
      <c r="A751" s="6"/>
      <c r="B751" s="7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6.8" x14ac:dyDescent="0.45">
      <c r="A752" s="6"/>
      <c r="B752" s="7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6.8" x14ac:dyDescent="0.45">
      <c r="A753" s="6"/>
      <c r="B753" s="7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6.8" x14ac:dyDescent="0.45">
      <c r="A754" s="6"/>
      <c r="B754" s="7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6.8" x14ac:dyDescent="0.45">
      <c r="A755" s="6"/>
      <c r="B755" s="7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6.8" x14ac:dyDescent="0.45">
      <c r="A756" s="6"/>
      <c r="B756" s="7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6.8" x14ac:dyDescent="0.45">
      <c r="A757" s="6"/>
      <c r="B757" s="7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6.8" x14ac:dyDescent="0.45">
      <c r="A758" s="6"/>
      <c r="B758" s="7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6.8" x14ac:dyDescent="0.45">
      <c r="A759" s="6"/>
      <c r="B759" s="7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6.8" x14ac:dyDescent="0.45">
      <c r="A760" s="6"/>
      <c r="B760" s="7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6.8" x14ac:dyDescent="0.45">
      <c r="A761" s="6"/>
      <c r="B761" s="7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6.8" x14ac:dyDescent="0.45">
      <c r="A762" s="6"/>
      <c r="B762" s="7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6.8" x14ac:dyDescent="0.45">
      <c r="A763" s="6"/>
      <c r="B763" s="7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6.8" x14ac:dyDescent="0.45">
      <c r="A764" s="6"/>
      <c r="B764" s="7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6.8" x14ac:dyDescent="0.45">
      <c r="A765" s="6"/>
      <c r="B765" s="7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6.8" x14ac:dyDescent="0.45">
      <c r="A766" s="6"/>
      <c r="B766" s="7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6.8" x14ac:dyDescent="0.45">
      <c r="A767" s="6"/>
      <c r="B767" s="7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6.8" x14ac:dyDescent="0.45">
      <c r="A768" s="6"/>
      <c r="B768" s="7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6.8" x14ac:dyDescent="0.45">
      <c r="A769" s="6"/>
      <c r="B769" s="7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6.8" x14ac:dyDescent="0.45">
      <c r="A770" s="6"/>
      <c r="B770" s="7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6.8" x14ac:dyDescent="0.45">
      <c r="A771" s="6"/>
      <c r="B771" s="7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6.8" x14ac:dyDescent="0.45">
      <c r="A772" s="6"/>
      <c r="B772" s="7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6.8" x14ac:dyDescent="0.45">
      <c r="A773" s="6"/>
      <c r="B773" s="7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6.8" x14ac:dyDescent="0.45">
      <c r="A774" s="6"/>
      <c r="B774" s="7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6.8" x14ac:dyDescent="0.45">
      <c r="A775" s="6"/>
      <c r="B775" s="7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6.8" x14ac:dyDescent="0.45">
      <c r="A776" s="6"/>
      <c r="B776" s="7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6.8" x14ac:dyDescent="0.45">
      <c r="A777" s="6"/>
      <c r="B777" s="7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6.8" x14ac:dyDescent="0.45">
      <c r="A778" s="6"/>
      <c r="B778" s="7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6.8" x14ac:dyDescent="0.45">
      <c r="A779" s="6"/>
      <c r="B779" s="7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6.8" x14ac:dyDescent="0.45">
      <c r="A780" s="6"/>
      <c r="B780" s="7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6.8" x14ac:dyDescent="0.45">
      <c r="A781" s="6"/>
      <c r="B781" s="7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6.8" x14ac:dyDescent="0.45">
      <c r="A782" s="6"/>
      <c r="B782" s="7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6.8" x14ac:dyDescent="0.45">
      <c r="A783" s="6"/>
      <c r="B783" s="7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6.8" x14ac:dyDescent="0.45">
      <c r="A784" s="6"/>
      <c r="B784" s="7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6.8" x14ac:dyDescent="0.45">
      <c r="A785" s="6"/>
      <c r="B785" s="7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6.8" x14ac:dyDescent="0.45">
      <c r="A786" s="6"/>
      <c r="B786" s="7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6.8" x14ac:dyDescent="0.45">
      <c r="A787" s="6"/>
      <c r="B787" s="7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6.8" x14ac:dyDescent="0.45">
      <c r="A788" s="6"/>
      <c r="B788" s="7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6.8" x14ac:dyDescent="0.45">
      <c r="A789" s="6"/>
      <c r="B789" s="7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6.8" x14ac:dyDescent="0.45">
      <c r="A790" s="6"/>
      <c r="B790" s="7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6.8" x14ac:dyDescent="0.45">
      <c r="A791" s="6"/>
      <c r="B791" s="7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6.8" x14ac:dyDescent="0.45">
      <c r="A792" s="6"/>
      <c r="B792" s="7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6.8" x14ac:dyDescent="0.45">
      <c r="A793" s="6"/>
      <c r="B793" s="7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6.8" x14ac:dyDescent="0.45">
      <c r="A794" s="6"/>
      <c r="B794" s="7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6.8" x14ac:dyDescent="0.45">
      <c r="A795" s="6"/>
      <c r="B795" s="7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6.8" x14ac:dyDescent="0.45">
      <c r="A796" s="6"/>
      <c r="B796" s="7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6.8" x14ac:dyDescent="0.45">
      <c r="A797" s="6"/>
      <c r="B797" s="7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6.8" x14ac:dyDescent="0.45">
      <c r="A798" s="6"/>
      <c r="B798" s="7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6.8" x14ac:dyDescent="0.45">
      <c r="A799" s="6"/>
      <c r="B799" s="7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6.8" x14ac:dyDescent="0.45">
      <c r="A800" s="6"/>
      <c r="B800" s="7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6.8" x14ac:dyDescent="0.45">
      <c r="A801" s="6"/>
      <c r="B801" s="7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6.8" x14ac:dyDescent="0.45">
      <c r="A802" s="6"/>
      <c r="B802" s="7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6.8" x14ac:dyDescent="0.45">
      <c r="A803" s="6"/>
      <c r="B803" s="7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6.8" x14ac:dyDescent="0.45">
      <c r="A804" s="6"/>
      <c r="B804" s="7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6.8" x14ac:dyDescent="0.45">
      <c r="A805" s="6"/>
      <c r="B805" s="7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6.8" x14ac:dyDescent="0.45">
      <c r="A806" s="6"/>
      <c r="B806" s="7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6.8" x14ac:dyDescent="0.45">
      <c r="A807" s="6"/>
      <c r="B807" s="7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6.8" x14ac:dyDescent="0.45">
      <c r="A808" s="6"/>
      <c r="B808" s="7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6.8" x14ac:dyDescent="0.45">
      <c r="A809" s="6"/>
      <c r="B809" s="7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6.8" x14ac:dyDescent="0.45">
      <c r="A810" s="6"/>
      <c r="B810" s="7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6.8" x14ac:dyDescent="0.45">
      <c r="A811" s="6"/>
      <c r="B811" s="7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6.8" x14ac:dyDescent="0.45">
      <c r="A812" s="6"/>
      <c r="B812" s="7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6.8" x14ac:dyDescent="0.45">
      <c r="A813" s="6"/>
      <c r="B813" s="7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6.8" x14ac:dyDescent="0.45">
      <c r="A814" s="6"/>
      <c r="B814" s="7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6.8" x14ac:dyDescent="0.45">
      <c r="A815" s="6"/>
      <c r="B815" s="7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6.8" x14ac:dyDescent="0.45">
      <c r="A816" s="6"/>
      <c r="B816" s="7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6.8" x14ac:dyDescent="0.45">
      <c r="A817" s="6"/>
      <c r="B817" s="7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6.8" x14ac:dyDescent="0.45">
      <c r="A818" s="6"/>
      <c r="B818" s="7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6.8" x14ac:dyDescent="0.45">
      <c r="A819" s="6"/>
      <c r="B819" s="7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6.8" x14ac:dyDescent="0.45">
      <c r="A820" s="6"/>
      <c r="B820" s="7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6.8" x14ac:dyDescent="0.45">
      <c r="A821" s="6"/>
      <c r="B821" s="7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6.8" x14ac:dyDescent="0.45">
      <c r="A822" s="6"/>
      <c r="B822" s="7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6.8" x14ac:dyDescent="0.45">
      <c r="A823" s="6"/>
      <c r="B823" s="7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6.8" x14ac:dyDescent="0.45">
      <c r="A824" s="6"/>
      <c r="B824" s="7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6.8" x14ac:dyDescent="0.45">
      <c r="A825" s="6"/>
      <c r="B825" s="7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6.8" x14ac:dyDescent="0.45">
      <c r="A826" s="6"/>
      <c r="B826" s="7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6.8" x14ac:dyDescent="0.45">
      <c r="A827" s="6"/>
      <c r="B827" s="7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6.8" x14ac:dyDescent="0.45">
      <c r="A828" s="6"/>
      <c r="B828" s="7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6.8" x14ac:dyDescent="0.45">
      <c r="A829" s="6"/>
      <c r="B829" s="7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6.8" x14ac:dyDescent="0.45">
      <c r="A830" s="6"/>
      <c r="B830" s="7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6.8" x14ac:dyDescent="0.45">
      <c r="A831" s="6"/>
      <c r="B831" s="7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6.8" x14ac:dyDescent="0.45">
      <c r="A832" s="6"/>
      <c r="B832" s="7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6.8" x14ac:dyDescent="0.45">
      <c r="A833" s="6"/>
      <c r="B833" s="7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6.8" x14ac:dyDescent="0.45">
      <c r="A834" s="6"/>
      <c r="B834" s="7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6.8" x14ac:dyDescent="0.45">
      <c r="A835" s="6"/>
      <c r="B835" s="7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6.8" x14ac:dyDescent="0.45">
      <c r="A836" s="6"/>
      <c r="B836" s="7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6.8" x14ac:dyDescent="0.45">
      <c r="A837" s="6"/>
      <c r="B837" s="7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6.8" x14ac:dyDescent="0.45">
      <c r="A838" s="6"/>
      <c r="B838" s="7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6.8" x14ac:dyDescent="0.45">
      <c r="A839" s="6"/>
      <c r="B839" s="7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6.8" x14ac:dyDescent="0.45">
      <c r="A840" s="6"/>
      <c r="B840" s="7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6.8" x14ac:dyDescent="0.45">
      <c r="A841" s="6"/>
      <c r="B841" s="7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6.8" x14ac:dyDescent="0.45">
      <c r="A842" s="6"/>
      <c r="B842" s="7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6.8" x14ac:dyDescent="0.45">
      <c r="A843" s="6"/>
      <c r="B843" s="7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6.8" x14ac:dyDescent="0.45">
      <c r="A844" s="6"/>
      <c r="B844" s="7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6.8" x14ac:dyDescent="0.45">
      <c r="A845" s="6"/>
      <c r="B845" s="7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6.8" x14ac:dyDescent="0.45">
      <c r="A846" s="6"/>
      <c r="B846" s="7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6.8" x14ac:dyDescent="0.45">
      <c r="A847" s="6"/>
      <c r="B847" s="7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6.8" x14ac:dyDescent="0.45">
      <c r="A848" s="6"/>
      <c r="B848" s="7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6.8" x14ac:dyDescent="0.45">
      <c r="A849" s="6"/>
      <c r="B849" s="7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6.8" x14ac:dyDescent="0.45">
      <c r="A850" s="6"/>
      <c r="B850" s="7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6.8" x14ac:dyDescent="0.45">
      <c r="A851" s="6"/>
      <c r="B851" s="7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6.8" x14ac:dyDescent="0.45">
      <c r="A852" s="6"/>
      <c r="B852" s="7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6.8" x14ac:dyDescent="0.45">
      <c r="A853" s="6"/>
      <c r="B853" s="7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6.8" x14ac:dyDescent="0.45">
      <c r="A854" s="6"/>
      <c r="B854" s="7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6.8" x14ac:dyDescent="0.45">
      <c r="A855" s="6"/>
      <c r="B855" s="7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6.8" x14ac:dyDescent="0.45">
      <c r="A856" s="6"/>
      <c r="B856" s="7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6.8" x14ac:dyDescent="0.45">
      <c r="A857" s="6"/>
      <c r="B857" s="7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6.8" x14ac:dyDescent="0.45">
      <c r="A858" s="6"/>
      <c r="B858" s="7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6.8" x14ac:dyDescent="0.45">
      <c r="A859" s="6"/>
      <c r="B859" s="7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6.8" x14ac:dyDescent="0.45">
      <c r="A860" s="6"/>
      <c r="B860" s="7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6.8" x14ac:dyDescent="0.45">
      <c r="A861" s="6"/>
      <c r="B861" s="7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6.8" x14ac:dyDescent="0.45">
      <c r="A862" s="6"/>
      <c r="B862" s="7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6.8" x14ac:dyDescent="0.45">
      <c r="A863" s="6"/>
      <c r="B863" s="7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6.8" x14ac:dyDescent="0.45">
      <c r="A864" s="6"/>
      <c r="B864" s="7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6.8" x14ac:dyDescent="0.45">
      <c r="A865" s="6"/>
      <c r="B865" s="7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6.8" x14ac:dyDescent="0.45">
      <c r="A866" s="6"/>
      <c r="B866" s="7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6.8" x14ac:dyDescent="0.45">
      <c r="A867" s="6"/>
      <c r="B867" s="7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6.8" x14ac:dyDescent="0.45">
      <c r="A868" s="6"/>
      <c r="B868" s="7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6.8" x14ac:dyDescent="0.45">
      <c r="A869" s="6"/>
      <c r="B869" s="7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6.8" x14ac:dyDescent="0.45">
      <c r="A870" s="6"/>
      <c r="B870" s="7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6.8" x14ac:dyDescent="0.45">
      <c r="A871" s="6"/>
      <c r="B871" s="7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6.8" x14ac:dyDescent="0.45">
      <c r="A872" s="6"/>
      <c r="B872" s="7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6.8" x14ac:dyDescent="0.45">
      <c r="A873" s="6"/>
      <c r="B873" s="7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6.8" x14ac:dyDescent="0.45">
      <c r="A874" s="6"/>
      <c r="B874" s="7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6.8" x14ac:dyDescent="0.45">
      <c r="A875" s="6"/>
      <c r="B875" s="7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6.8" x14ac:dyDescent="0.45">
      <c r="A876" s="6"/>
      <c r="B876" s="7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6.8" x14ac:dyDescent="0.45">
      <c r="A877" s="6"/>
      <c r="B877" s="7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6.8" x14ac:dyDescent="0.45">
      <c r="A878" s="6"/>
      <c r="B878" s="7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6.8" x14ac:dyDescent="0.45">
      <c r="A879" s="6"/>
      <c r="B879" s="7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6.8" x14ac:dyDescent="0.45">
      <c r="A880" s="6"/>
      <c r="B880" s="7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6.8" x14ac:dyDescent="0.45">
      <c r="A881" s="6"/>
      <c r="B881" s="7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6.8" x14ac:dyDescent="0.45">
      <c r="A882" s="6"/>
      <c r="B882" s="7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6.8" x14ac:dyDescent="0.45">
      <c r="A883" s="6"/>
      <c r="B883" s="7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6.8" x14ac:dyDescent="0.45">
      <c r="A884" s="6"/>
      <c r="B884" s="7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6.8" x14ac:dyDescent="0.45">
      <c r="A885" s="6"/>
      <c r="B885" s="7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6.8" x14ac:dyDescent="0.45">
      <c r="A886" s="6"/>
      <c r="B886" s="7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6.8" x14ac:dyDescent="0.45">
      <c r="A887" s="6"/>
      <c r="B887" s="7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6.8" x14ac:dyDescent="0.45">
      <c r="A888" s="6"/>
      <c r="B888" s="7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6.8" x14ac:dyDescent="0.45">
      <c r="A889" s="6"/>
      <c r="B889" s="7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6.8" x14ac:dyDescent="0.45">
      <c r="A890" s="6"/>
      <c r="B890" s="7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6.8" x14ac:dyDescent="0.45">
      <c r="A891" s="6"/>
      <c r="B891" s="7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6.8" x14ac:dyDescent="0.45">
      <c r="A892" s="6"/>
      <c r="B892" s="7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6.8" x14ac:dyDescent="0.45">
      <c r="A893" s="6"/>
      <c r="B893" s="7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6.8" x14ac:dyDescent="0.45">
      <c r="A894" s="6"/>
      <c r="B894" s="7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6.8" x14ac:dyDescent="0.45">
      <c r="A895" s="6"/>
      <c r="B895" s="7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6.8" x14ac:dyDescent="0.45">
      <c r="A896" s="6"/>
      <c r="B896" s="7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6.8" x14ac:dyDescent="0.45">
      <c r="A897" s="6"/>
      <c r="B897" s="7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6.8" x14ac:dyDescent="0.45">
      <c r="A898" s="6"/>
      <c r="B898" s="7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6.8" x14ac:dyDescent="0.45">
      <c r="A899" s="6"/>
      <c r="B899" s="7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6.8" x14ac:dyDescent="0.45">
      <c r="A900" s="6"/>
      <c r="B900" s="7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6.8" x14ac:dyDescent="0.45">
      <c r="A901" s="6"/>
      <c r="B901" s="7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6.8" x14ac:dyDescent="0.45">
      <c r="A902" s="6"/>
      <c r="B902" s="7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6.8" x14ac:dyDescent="0.45">
      <c r="A903" s="6"/>
      <c r="B903" s="7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6.8" x14ac:dyDescent="0.45">
      <c r="A904" s="6"/>
      <c r="B904" s="7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6.8" x14ac:dyDescent="0.45">
      <c r="A905" s="6"/>
      <c r="B905" s="7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6.8" x14ac:dyDescent="0.45">
      <c r="A906" s="6"/>
      <c r="B906" s="7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6.8" x14ac:dyDescent="0.45">
      <c r="A907" s="6"/>
      <c r="B907" s="7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6.8" x14ac:dyDescent="0.45">
      <c r="A908" s="6"/>
      <c r="B908" s="7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6.8" x14ac:dyDescent="0.45">
      <c r="A909" s="6"/>
      <c r="B909" s="7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6.8" x14ac:dyDescent="0.45">
      <c r="A910" s="6"/>
      <c r="B910" s="7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6.8" x14ac:dyDescent="0.45">
      <c r="A911" s="6"/>
      <c r="B911" s="7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6.8" x14ac:dyDescent="0.45">
      <c r="A912" s="6"/>
      <c r="B912" s="7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6.8" x14ac:dyDescent="0.45">
      <c r="A913" s="6"/>
      <c r="B913" s="7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6.8" x14ac:dyDescent="0.45">
      <c r="A914" s="6"/>
      <c r="B914" s="7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6.8" x14ac:dyDescent="0.45">
      <c r="A915" s="6"/>
      <c r="B915" s="7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6.8" x14ac:dyDescent="0.45">
      <c r="A916" s="6"/>
      <c r="B916" s="7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6.8" x14ac:dyDescent="0.45">
      <c r="A917" s="6"/>
      <c r="B917" s="7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6.8" x14ac:dyDescent="0.45">
      <c r="A918" s="6"/>
      <c r="B918" s="7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6.8" x14ac:dyDescent="0.45">
      <c r="A919" s="6"/>
      <c r="B919" s="7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6.8" x14ac:dyDescent="0.45">
      <c r="A920" s="6"/>
      <c r="B920" s="7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6.8" x14ac:dyDescent="0.45">
      <c r="A921" s="6"/>
      <c r="B921" s="7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6.8" x14ac:dyDescent="0.45">
      <c r="A922" s="6"/>
      <c r="B922" s="7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6.8" x14ac:dyDescent="0.45">
      <c r="A923" s="6"/>
      <c r="B923" s="7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6.8" x14ac:dyDescent="0.45">
      <c r="A924" s="6"/>
      <c r="B924" s="7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6.8" x14ac:dyDescent="0.45">
      <c r="A925" s="6"/>
      <c r="B925" s="7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6.8" x14ac:dyDescent="0.45">
      <c r="A926" s="6"/>
      <c r="B926" s="7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6.8" x14ac:dyDescent="0.45">
      <c r="A927" s="6"/>
      <c r="B927" s="7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6.8" x14ac:dyDescent="0.45">
      <c r="A928" s="6"/>
      <c r="B928" s="7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6.8" x14ac:dyDescent="0.45">
      <c r="A929" s="6"/>
      <c r="B929" s="7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6.8" x14ac:dyDescent="0.45">
      <c r="A930" s="6"/>
      <c r="B930" s="7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6.8" x14ac:dyDescent="0.45">
      <c r="A931" s="6"/>
      <c r="B931" s="7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6.8" x14ac:dyDescent="0.45">
      <c r="A932" s="6"/>
      <c r="B932" s="7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6.8" x14ac:dyDescent="0.45">
      <c r="A933" s="6"/>
      <c r="B933" s="7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6.8" x14ac:dyDescent="0.45">
      <c r="A934" s="6"/>
      <c r="B934" s="7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6.8" x14ac:dyDescent="0.45">
      <c r="A935" s="6"/>
      <c r="B935" s="7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6.8" x14ac:dyDescent="0.45">
      <c r="A936" s="6"/>
      <c r="B936" s="7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6.8" x14ac:dyDescent="0.45">
      <c r="A937" s="6"/>
      <c r="B937" s="7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6.8" x14ac:dyDescent="0.45">
      <c r="A938" s="6"/>
      <c r="B938" s="7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6.8" x14ac:dyDescent="0.45">
      <c r="A939" s="6"/>
      <c r="B939" s="7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6.8" x14ac:dyDescent="0.45">
      <c r="A940" s="6"/>
      <c r="B940" s="7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6.8" x14ac:dyDescent="0.45">
      <c r="A941" s="6"/>
      <c r="B941" s="7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6.8" x14ac:dyDescent="0.45">
      <c r="A942" s="6"/>
      <c r="B942" s="7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6.8" x14ac:dyDescent="0.45">
      <c r="A943" s="6"/>
      <c r="B943" s="7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6.8" x14ac:dyDescent="0.45">
      <c r="A944" s="6"/>
      <c r="B944" s="7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6.8" x14ac:dyDescent="0.45">
      <c r="A945" s="6"/>
      <c r="B945" s="7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6.8" x14ac:dyDescent="0.45">
      <c r="A946" s="6"/>
      <c r="B946" s="7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6.8" x14ac:dyDescent="0.45">
      <c r="A947" s="6"/>
      <c r="B947" s="7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6.8" x14ac:dyDescent="0.45">
      <c r="A948" s="6"/>
      <c r="B948" s="7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6.8" x14ac:dyDescent="0.45">
      <c r="A949" s="6"/>
      <c r="B949" s="7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6.8" x14ac:dyDescent="0.45">
      <c r="A950" s="6"/>
      <c r="B950" s="7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6.8" x14ac:dyDescent="0.45">
      <c r="A951" s="6"/>
      <c r="B951" s="7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6.8" x14ac:dyDescent="0.45">
      <c r="A952" s="6"/>
      <c r="B952" s="7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6.8" x14ac:dyDescent="0.45">
      <c r="A953" s="6"/>
      <c r="B953" s="7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6.8" x14ac:dyDescent="0.45">
      <c r="A954" s="6"/>
      <c r="B954" s="7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6.8" x14ac:dyDescent="0.45">
      <c r="A955" s="6"/>
      <c r="B955" s="7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6.8" x14ac:dyDescent="0.45">
      <c r="A956" s="6"/>
      <c r="B956" s="7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6.8" x14ac:dyDescent="0.45">
      <c r="A957" s="6"/>
      <c r="B957" s="7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6.8" x14ac:dyDescent="0.45">
      <c r="A958" s="6"/>
      <c r="B958" s="7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6.8" x14ac:dyDescent="0.45">
      <c r="A959" s="6"/>
      <c r="B959" s="7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6.8" x14ac:dyDescent="0.45">
      <c r="A960" s="6"/>
      <c r="B960" s="7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6.8" x14ac:dyDescent="0.45">
      <c r="A961" s="6"/>
      <c r="B961" s="7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6.8" x14ac:dyDescent="0.45">
      <c r="A962" s="6"/>
      <c r="B962" s="7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6.8" x14ac:dyDescent="0.45">
      <c r="A963" s="6"/>
      <c r="B963" s="7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6.8" x14ac:dyDescent="0.45">
      <c r="A964" s="6"/>
      <c r="B964" s="7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6.8" x14ac:dyDescent="0.45">
      <c r="A965" s="6"/>
      <c r="B965" s="7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6.8" x14ac:dyDescent="0.45">
      <c r="A966" s="6"/>
      <c r="B966" s="7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6.8" x14ac:dyDescent="0.45">
      <c r="A967" s="6"/>
      <c r="B967" s="7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6.8" x14ac:dyDescent="0.45">
      <c r="A968" s="6"/>
      <c r="B968" s="7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6.8" x14ac:dyDescent="0.45">
      <c r="A969" s="6"/>
      <c r="B969" s="7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6.8" x14ac:dyDescent="0.45">
      <c r="A970" s="6"/>
      <c r="B970" s="7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6.8" x14ac:dyDescent="0.45">
      <c r="A971" s="6"/>
      <c r="B971" s="7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6.8" x14ac:dyDescent="0.45">
      <c r="A972" s="6"/>
      <c r="B972" s="7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6.8" x14ac:dyDescent="0.45">
      <c r="A973" s="6"/>
      <c r="B973" s="7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6.8" x14ac:dyDescent="0.45">
      <c r="A974" s="6"/>
      <c r="B974" s="7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6.8" x14ac:dyDescent="0.45">
      <c r="A975" s="6"/>
      <c r="B975" s="7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6.8" x14ac:dyDescent="0.45">
      <c r="A976" s="6"/>
      <c r="B976" s="7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6.8" x14ac:dyDescent="0.45">
      <c r="A977" s="6"/>
      <c r="B977" s="7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6.8" x14ac:dyDescent="0.45">
      <c r="A978" s="6"/>
      <c r="B978" s="7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6.8" x14ac:dyDescent="0.45">
      <c r="A979" s="6"/>
      <c r="B979" s="7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6.8" x14ac:dyDescent="0.45">
      <c r="A980" s="6"/>
      <c r="B980" s="7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6.8" x14ac:dyDescent="0.45">
      <c r="A981" s="6"/>
      <c r="B981" s="7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6.8" x14ac:dyDescent="0.45">
      <c r="A982" s="6"/>
      <c r="B982" s="7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6.8" x14ac:dyDescent="0.45">
      <c r="A983" s="6"/>
      <c r="B983" s="7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6.8" x14ac:dyDescent="0.45">
      <c r="A984" s="6"/>
      <c r="B984" s="7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6.8" x14ac:dyDescent="0.45">
      <c r="A985" s="6"/>
      <c r="B985" s="7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6.8" x14ac:dyDescent="0.45">
      <c r="A986" s="6"/>
      <c r="B986" s="7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6.8" x14ac:dyDescent="0.45">
      <c r="A987" s="6"/>
      <c r="B987" s="7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6.8" x14ac:dyDescent="0.45">
      <c r="A988" s="6"/>
      <c r="B988" s="7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6.8" x14ac:dyDescent="0.45">
      <c r="A989" s="6"/>
      <c r="B989" s="7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6.8" x14ac:dyDescent="0.45">
      <c r="A990" s="6"/>
      <c r="B990" s="7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6.8" x14ac:dyDescent="0.45">
      <c r="A991" s="6"/>
      <c r="B991" s="7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6.8" x14ac:dyDescent="0.45">
      <c r="A992" s="6"/>
      <c r="B992" s="7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6.8" x14ac:dyDescent="0.45">
      <c r="A993" s="6"/>
      <c r="B993" s="7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6.8" x14ac:dyDescent="0.45">
      <c r="A994" s="6"/>
      <c r="B994" s="7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6.8" x14ac:dyDescent="0.45">
      <c r="A995" s="6"/>
      <c r="B995" s="7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6.8" x14ac:dyDescent="0.45">
      <c r="A996" s="6"/>
      <c r="B996" s="7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6.8" x14ac:dyDescent="0.45">
      <c r="A997" s="6"/>
      <c r="B997" s="7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6.8" x14ac:dyDescent="0.45">
      <c r="A998" s="6"/>
      <c r="B998" s="7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6.8" x14ac:dyDescent="0.45">
      <c r="A999" s="6"/>
      <c r="B999" s="7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6.8" x14ac:dyDescent="0.45">
      <c r="A1000" s="6"/>
      <c r="B1000" s="7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6.8" x14ac:dyDescent="0.45">
      <c r="A1001" s="6"/>
      <c r="B1001" s="7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ht="16.8" x14ac:dyDescent="0.45">
      <c r="A1002" s="6"/>
      <c r="B1002" s="7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spans="1:26" ht="16.8" x14ac:dyDescent="0.45">
      <c r="A1003" s="6"/>
      <c r="B1003" s="7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spans="1:26" ht="16.8" x14ac:dyDescent="0.45">
      <c r="A1004" s="6"/>
      <c r="B1004" s="7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spans="1:26" ht="16.8" x14ac:dyDescent="0.45">
      <c r="A1005" s="6"/>
      <c r="B1005" s="7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spans="1:26" ht="16.8" x14ac:dyDescent="0.45">
      <c r="A1006" s="6"/>
      <c r="B1006" s="7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spans="1:26" ht="16.8" x14ac:dyDescent="0.45">
      <c r="A1007" s="6"/>
      <c r="B1007" s="7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spans="1:26" ht="16.8" x14ac:dyDescent="0.45">
      <c r="A1008" s="6"/>
      <c r="B1008" s="7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spans="1:26" ht="16.8" x14ac:dyDescent="0.45">
      <c r="A1009" s="6"/>
      <c r="B1009" s="7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spans="1:26" ht="16.8" x14ac:dyDescent="0.45">
      <c r="A1010" s="6"/>
      <c r="B1010" s="7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spans="1:26" ht="16.8" x14ac:dyDescent="0.45">
      <c r="A1011" s="6"/>
      <c r="B1011" s="7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spans="1:26" ht="16.8" x14ac:dyDescent="0.45">
      <c r="A1012" s="6"/>
      <c r="B1012" s="7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spans="1:26" ht="16.8" x14ac:dyDescent="0.45">
      <c r="A1013" s="6"/>
      <c r="B1013" s="7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spans="1:26" ht="16.8" x14ac:dyDescent="0.45">
      <c r="A1014" s="6"/>
      <c r="B1014" s="7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 spans="1:26" ht="16.8" x14ac:dyDescent="0.45">
      <c r="A1015" s="6"/>
      <c r="B1015" s="7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spans="1:26" ht="16.8" x14ac:dyDescent="0.45">
      <c r="A1016" s="6"/>
      <c r="B1016" s="7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spans="1:26" ht="16.8" x14ac:dyDescent="0.45">
      <c r="A1017" s="6"/>
      <c r="B1017" s="7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 spans="1:26" ht="16.8" x14ac:dyDescent="0.45">
      <c r="A1018" s="6"/>
      <c r="B1018" s="7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 spans="1:26" ht="16.8" x14ac:dyDescent="0.45">
      <c r="A1019" s="6"/>
      <c r="B1019" s="7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 spans="1:26" ht="16.8" x14ac:dyDescent="0.45">
      <c r="A1020" s="6"/>
      <c r="B1020" s="7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 spans="1:26" ht="16.8" x14ac:dyDescent="0.45">
      <c r="A1021" s="6"/>
      <c r="B1021" s="7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 spans="1:26" ht="16.8" x14ac:dyDescent="0.45">
      <c r="A1022" s="6"/>
      <c r="B1022" s="7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 spans="1:26" ht="16.8" x14ac:dyDescent="0.45">
      <c r="A1023" s="6"/>
      <c r="B1023" s="7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 spans="1:26" ht="16.8" x14ac:dyDescent="0.45">
      <c r="A1024" s="6"/>
      <c r="B1024" s="7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 spans="1:26" ht="16.8" x14ac:dyDescent="0.45">
      <c r="A1025" s="6"/>
      <c r="B1025" s="7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 spans="1:26" ht="16.8" x14ac:dyDescent="0.45">
      <c r="A1026" s="6"/>
      <c r="B1026" s="7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 spans="1:26" ht="16.8" x14ac:dyDescent="0.45">
      <c r="A1027" s="6"/>
      <c r="B1027" s="7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 spans="1:26" ht="16.8" x14ac:dyDescent="0.45">
      <c r="A1028" s="6"/>
      <c r="B1028" s="7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 spans="1:26" ht="16.8" x14ac:dyDescent="0.45">
      <c r="A1029" s="6"/>
      <c r="B1029" s="7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 spans="1:26" ht="16.8" x14ac:dyDescent="0.45">
      <c r="A1030" s="6"/>
      <c r="B1030" s="7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 spans="1:26" ht="16.8" x14ac:dyDescent="0.45">
      <c r="A1031" s="6"/>
      <c r="B1031" s="7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 spans="1:26" ht="16.8" x14ac:dyDescent="0.45">
      <c r="A1032" s="6"/>
      <c r="B1032" s="7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 spans="1:26" ht="16.8" x14ac:dyDescent="0.45">
      <c r="A1033" s="6"/>
      <c r="B1033" s="7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 spans="1:26" ht="16.8" x14ac:dyDescent="0.45">
      <c r="A1034" s="6"/>
      <c r="B1034" s="7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 spans="1:26" ht="16.8" x14ac:dyDescent="0.45">
      <c r="A1035" s="6"/>
      <c r="B1035" s="7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 spans="1:26" ht="16.8" x14ac:dyDescent="0.45">
      <c r="A1036" s="6"/>
      <c r="B1036" s="7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 spans="1:26" ht="16.8" x14ac:dyDescent="0.45">
      <c r="A1037" s="6"/>
      <c r="B1037" s="7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 spans="1:26" ht="16.8" x14ac:dyDescent="0.45">
      <c r="A1038" s="6"/>
      <c r="B1038" s="7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 spans="1:26" ht="16.8" x14ac:dyDescent="0.45">
      <c r="A1039" s="6"/>
      <c r="B1039" s="7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 spans="1:26" ht="16.8" x14ac:dyDescent="0.45">
      <c r="A1040" s="6"/>
      <c r="B1040" s="7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 spans="1:26" ht="16.8" x14ac:dyDescent="0.45">
      <c r="A1041" s="6"/>
      <c r="B1041" s="7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 spans="1:26" ht="16.8" x14ac:dyDescent="0.45">
      <c r="A1042" s="6"/>
      <c r="B1042" s="7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 spans="1:26" ht="16.8" x14ac:dyDescent="0.45">
      <c r="A1043" s="6"/>
      <c r="B1043" s="7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 spans="1:26" ht="16.8" x14ac:dyDescent="0.45">
      <c r="A1044" s="6"/>
      <c r="B1044" s="7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 spans="1:26" ht="16.8" x14ac:dyDescent="0.45">
      <c r="A1045" s="6"/>
      <c r="B1045" s="7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 spans="1:26" ht="16.8" x14ac:dyDescent="0.45">
      <c r="A1046" s="6"/>
      <c r="B1046" s="7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 spans="1:26" ht="16.8" x14ac:dyDescent="0.45">
      <c r="A1047" s="6"/>
      <c r="B1047" s="7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 spans="1:26" ht="16.8" x14ac:dyDescent="0.45">
      <c r="A1048" s="6"/>
      <c r="B1048" s="7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 spans="1:26" ht="16.8" x14ac:dyDescent="0.45">
      <c r="A1049" s="6"/>
      <c r="B1049" s="7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 spans="1:26" ht="16.8" x14ac:dyDescent="0.45">
      <c r="A1050" s="6"/>
      <c r="B1050" s="7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 spans="1:26" ht="16.8" x14ac:dyDescent="0.45">
      <c r="A1051" s="6"/>
      <c r="B1051" s="7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 spans="1:26" ht="16.8" x14ac:dyDescent="0.45">
      <c r="A1052" s="6"/>
      <c r="B1052" s="7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 spans="1:26" ht="16.8" x14ac:dyDescent="0.45">
      <c r="A1053" s="6"/>
      <c r="B1053" s="7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 spans="1:26" ht="16.8" x14ac:dyDescent="0.45">
      <c r="A1054" s="6"/>
      <c r="B1054" s="7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 spans="1:26" ht="16.8" x14ac:dyDescent="0.45">
      <c r="A1055" s="6"/>
      <c r="B1055" s="7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 spans="1:26" ht="16.8" x14ac:dyDescent="0.45">
      <c r="A1056" s="6"/>
      <c r="B1056" s="7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 spans="1:26" ht="16.8" x14ac:dyDescent="0.45">
      <c r="A1057" s="6"/>
      <c r="B1057" s="7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 spans="1:26" ht="16.8" x14ac:dyDescent="0.45">
      <c r="A1058" s="6"/>
      <c r="B1058" s="7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 spans="1:26" ht="16.8" x14ac:dyDescent="0.45">
      <c r="A1059" s="6"/>
      <c r="B1059" s="7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 spans="1:26" ht="16.8" x14ac:dyDescent="0.45">
      <c r="A1060" s="6"/>
      <c r="B1060" s="7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 spans="1:26" ht="16.8" x14ac:dyDescent="0.45">
      <c r="A1061" s="6"/>
      <c r="B1061" s="7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 spans="1:26" ht="16.8" x14ac:dyDescent="0.45">
      <c r="A1062" s="6"/>
      <c r="B1062" s="7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 spans="1:26" ht="16.8" x14ac:dyDescent="0.45">
      <c r="A1063" s="6"/>
      <c r="B1063" s="7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 spans="1:26" ht="16.8" x14ac:dyDescent="0.45">
      <c r="A1064" s="6"/>
      <c r="B1064" s="7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 spans="1:26" ht="16.8" x14ac:dyDescent="0.45">
      <c r="A1065" s="6"/>
      <c r="B1065" s="7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 spans="1:26" ht="16.8" x14ac:dyDescent="0.45">
      <c r="A1066" s="6"/>
      <c r="B1066" s="7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 spans="1:26" ht="16.8" x14ac:dyDescent="0.45">
      <c r="A1067" s="6"/>
      <c r="B1067" s="7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 spans="1:26" ht="16.8" x14ac:dyDescent="0.45">
      <c r="A1068" s="6"/>
      <c r="B1068" s="7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 spans="1:26" ht="16.8" x14ac:dyDescent="0.45">
      <c r="A1069" s="6"/>
      <c r="B1069" s="7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 spans="1:26" ht="16.8" x14ac:dyDescent="0.45">
      <c r="A1070" s="6"/>
      <c r="B1070" s="7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 spans="1:26" ht="16.8" x14ac:dyDescent="0.45">
      <c r="A1071" s="6"/>
      <c r="B1071" s="7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 spans="1:26" ht="16.8" x14ac:dyDescent="0.45">
      <c r="A1072" s="6"/>
      <c r="B1072" s="7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 spans="1:26" ht="16.8" x14ac:dyDescent="0.45">
      <c r="A1073" s="6"/>
      <c r="B1073" s="7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 spans="1:26" ht="16.8" x14ac:dyDescent="0.45">
      <c r="A1074" s="6"/>
      <c r="B1074" s="7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 spans="1:26" ht="16.8" x14ac:dyDescent="0.45">
      <c r="A1075" s="6"/>
      <c r="B1075" s="7"/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 spans="1:26" ht="16.8" x14ac:dyDescent="0.45">
      <c r="A1076" s="6"/>
      <c r="B1076" s="7"/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 spans="1:26" ht="16.8" x14ac:dyDescent="0.45">
      <c r="A1077" s="6"/>
      <c r="B1077" s="7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 spans="1:26" ht="16.8" x14ac:dyDescent="0.45">
      <c r="A1078" s="6"/>
      <c r="B1078" s="7"/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 spans="1:26" ht="16.8" x14ac:dyDescent="0.45">
      <c r="A1079" s="6"/>
      <c r="B1079" s="7"/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 spans="1:26" ht="16.8" x14ac:dyDescent="0.45">
      <c r="A1080" s="6"/>
      <c r="B1080" s="7"/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 spans="1:26" ht="16.8" x14ac:dyDescent="0.45">
      <c r="A1081" s="6"/>
      <c r="B1081" s="7"/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 spans="1:26" ht="16.8" x14ac:dyDescent="0.45">
      <c r="A1082" s="6"/>
      <c r="B1082" s="7"/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 spans="1:26" ht="16.8" x14ac:dyDescent="0.45">
      <c r="A1083" s="6"/>
      <c r="B1083" s="7"/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 spans="1:26" ht="16.8" x14ac:dyDescent="0.45">
      <c r="A1084" s="6"/>
      <c r="B1084" s="7"/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 spans="1:26" ht="16.8" x14ac:dyDescent="0.45">
      <c r="A1085" s="6"/>
      <c r="B1085" s="7"/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 spans="1:26" ht="16.8" x14ac:dyDescent="0.45">
      <c r="A1086" s="6"/>
      <c r="B1086" s="7"/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 spans="1:26" ht="16.8" x14ac:dyDescent="0.45">
      <c r="A1087" s="6"/>
      <c r="B1087" s="7"/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 spans="1:26" ht="16.8" x14ac:dyDescent="0.45">
      <c r="A1088" s="6"/>
      <c r="B1088" s="7"/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 spans="1:26" ht="16.8" x14ac:dyDescent="0.45">
      <c r="A1089" s="6"/>
      <c r="B1089" s="7"/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  <row r="1090" spans="1:26" ht="16.8" x14ac:dyDescent="0.45">
      <c r="A1090" s="6"/>
      <c r="B1090" s="7"/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</row>
    <row r="1091" spans="1:26" ht="16.8" x14ac:dyDescent="0.45">
      <c r="A1091" s="6"/>
      <c r="B1091" s="7"/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</row>
    <row r="1092" spans="1:26" ht="16.8" x14ac:dyDescent="0.45">
      <c r="A1092" s="6"/>
      <c r="B1092" s="7"/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</row>
    <row r="1093" spans="1:26" ht="16.8" x14ac:dyDescent="0.45">
      <c r="A1093" s="6"/>
      <c r="B1093" s="7"/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 spans="1:26" ht="16.8" x14ac:dyDescent="0.45">
      <c r="A1094" s="6"/>
      <c r="B1094" s="7"/>
      <c r="C1094" s="6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</row>
    <row r="1095" spans="1:26" ht="16.8" x14ac:dyDescent="0.45">
      <c r="A1095" s="6"/>
      <c r="B1095" s="7"/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</row>
    <row r="1096" spans="1:26" ht="16.8" x14ac:dyDescent="0.45">
      <c r="A1096" s="6"/>
      <c r="B1096" s="7"/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</row>
    <row r="1097" spans="1:26" ht="16.8" x14ac:dyDescent="0.45">
      <c r="A1097" s="6"/>
      <c r="B1097" s="7"/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</row>
    <row r="1098" spans="1:26" ht="16.8" x14ac:dyDescent="0.45">
      <c r="A1098" s="6"/>
      <c r="B1098" s="7"/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</row>
    <row r="1099" spans="1:26" ht="16.8" x14ac:dyDescent="0.45">
      <c r="A1099" s="6"/>
      <c r="B1099" s="7"/>
      <c r="C1099" s="6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</row>
    <row r="1100" spans="1:26" ht="16.8" x14ac:dyDescent="0.45">
      <c r="A1100" s="6"/>
      <c r="B1100" s="7"/>
      <c r="C1100" s="6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</row>
    <row r="1101" spans="1:26" ht="16.8" x14ac:dyDescent="0.45">
      <c r="A1101" s="6"/>
      <c r="B1101" s="7"/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</row>
    <row r="1102" spans="1:26" ht="16.8" x14ac:dyDescent="0.45">
      <c r="A1102" s="6"/>
      <c r="B1102" s="7"/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</row>
    <row r="1103" spans="1:26" ht="16.8" x14ac:dyDescent="0.45">
      <c r="A1103" s="6"/>
      <c r="B1103" s="7"/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</row>
    <row r="1104" spans="1:26" ht="16.8" x14ac:dyDescent="0.45">
      <c r="A1104" s="6"/>
      <c r="B1104" s="7"/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</row>
    <row r="1105" spans="1:26" ht="16.8" x14ac:dyDescent="0.45">
      <c r="A1105" s="6"/>
      <c r="B1105" s="7"/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</row>
    <row r="1106" spans="1:26" ht="16.8" x14ac:dyDescent="0.45">
      <c r="A1106" s="6"/>
      <c r="B1106" s="7"/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</row>
    <row r="1107" spans="1:26" ht="16.8" x14ac:dyDescent="0.45">
      <c r="A1107" s="6"/>
      <c r="B1107" s="7"/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 spans="1:26" ht="16.8" x14ac:dyDescent="0.45">
      <c r="A1108" s="6"/>
      <c r="B1108" s="7"/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</row>
    <row r="1109" spans="1:26" ht="16.8" x14ac:dyDescent="0.45">
      <c r="A1109" s="6"/>
      <c r="B1109" s="7"/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</row>
    <row r="1110" spans="1:26" ht="16.8" x14ac:dyDescent="0.45">
      <c r="A1110" s="6"/>
      <c r="B1110" s="7"/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</row>
    <row r="1111" spans="1:26" ht="16.8" x14ac:dyDescent="0.45">
      <c r="A1111" s="6"/>
      <c r="B1111" s="7"/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</row>
    <row r="1112" spans="1:26" ht="16.8" x14ac:dyDescent="0.45">
      <c r="A1112" s="6"/>
      <c r="B1112" s="7"/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</row>
    <row r="1113" spans="1:26" ht="16.8" x14ac:dyDescent="0.45">
      <c r="A1113" s="6"/>
      <c r="B1113" s="7"/>
      <c r="C1113" s="6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</row>
    <row r="1114" spans="1:26" ht="16.8" x14ac:dyDescent="0.45">
      <c r="A1114" s="6"/>
      <c r="B1114" s="7"/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</row>
    <row r="1115" spans="1:26" ht="16.8" x14ac:dyDescent="0.45">
      <c r="A1115" s="6"/>
      <c r="B1115" s="7"/>
      <c r="C1115" s="6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</row>
    <row r="1116" spans="1:26" ht="16.8" x14ac:dyDescent="0.45">
      <c r="A1116" s="6"/>
      <c r="B1116" s="7"/>
      <c r="C1116" s="6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</row>
    <row r="1117" spans="1:26" ht="16.8" x14ac:dyDescent="0.45">
      <c r="A1117" s="6"/>
      <c r="B1117" s="7"/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</row>
    <row r="1118" spans="1:26" ht="16.8" x14ac:dyDescent="0.45">
      <c r="A1118" s="6"/>
      <c r="B1118" s="7"/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</row>
    <row r="1119" spans="1:26" ht="16.8" x14ac:dyDescent="0.45">
      <c r="A1119" s="6"/>
      <c r="B1119" s="7"/>
      <c r="C1119" s="6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</row>
    <row r="1120" spans="1:26" ht="16.8" x14ac:dyDescent="0.45">
      <c r="A1120" s="6"/>
      <c r="B1120" s="7"/>
      <c r="C1120" s="6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</row>
    <row r="1121" spans="1:26" ht="16.8" x14ac:dyDescent="0.45">
      <c r="A1121" s="6"/>
      <c r="B1121" s="7"/>
      <c r="C1121" s="6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</row>
    <row r="1122" spans="1:26" ht="16.8" x14ac:dyDescent="0.45">
      <c r="A1122" s="6"/>
      <c r="B1122" s="7"/>
      <c r="C1122" s="6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</row>
    <row r="1123" spans="1:26" ht="16.8" x14ac:dyDescent="0.45">
      <c r="A1123" s="6"/>
      <c r="B1123" s="7"/>
      <c r="C1123" s="6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</row>
    <row r="1124" spans="1:26" ht="16.8" x14ac:dyDescent="0.45">
      <c r="A1124" s="6"/>
      <c r="B1124" s="7"/>
      <c r="C1124" s="6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</row>
    <row r="1125" spans="1:26" ht="16.8" x14ac:dyDescent="0.45">
      <c r="A1125" s="6"/>
      <c r="B1125" s="7"/>
      <c r="C1125" s="6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</row>
    <row r="1126" spans="1:26" ht="16.8" x14ac:dyDescent="0.45">
      <c r="A1126" s="6"/>
      <c r="B1126" s="7"/>
      <c r="C1126" s="6"/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</row>
    <row r="1127" spans="1:26" ht="16.8" x14ac:dyDescent="0.45">
      <c r="A1127" s="6"/>
      <c r="B1127" s="7"/>
      <c r="C1127" s="6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</row>
    <row r="1128" spans="1:26" ht="16.8" x14ac:dyDescent="0.45">
      <c r="A1128" s="6"/>
      <c r="B1128" s="7"/>
      <c r="C1128" s="6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</row>
    <row r="1129" spans="1:26" ht="16.8" x14ac:dyDescent="0.45">
      <c r="A1129" s="6"/>
      <c r="B1129" s="7"/>
      <c r="C1129" s="6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</row>
    <row r="1130" spans="1:26" ht="16.8" x14ac:dyDescent="0.45">
      <c r="A1130" s="6"/>
      <c r="B1130" s="7"/>
      <c r="C1130" s="6"/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</row>
    <row r="1131" spans="1:26" ht="16.8" x14ac:dyDescent="0.45">
      <c r="A1131" s="6"/>
      <c r="B1131" s="7"/>
      <c r="C1131" s="6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</row>
    <row r="1132" spans="1:26" ht="16.8" x14ac:dyDescent="0.45">
      <c r="A1132" s="6"/>
      <c r="B1132" s="7"/>
      <c r="C1132" s="6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</row>
    <row r="1133" spans="1:26" ht="16.8" x14ac:dyDescent="0.45">
      <c r="A1133" s="6"/>
      <c r="B1133" s="7"/>
      <c r="C1133" s="6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</row>
    <row r="1134" spans="1:26" ht="16.8" x14ac:dyDescent="0.45">
      <c r="A1134" s="6"/>
      <c r="B1134" s="7"/>
      <c r="C1134" s="6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</row>
    <row r="1135" spans="1:26" ht="16.8" x14ac:dyDescent="0.45">
      <c r="A1135" s="6"/>
      <c r="B1135" s="7"/>
      <c r="C1135" s="6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</row>
    <row r="1136" spans="1:26" ht="16.8" x14ac:dyDescent="0.45">
      <c r="A1136" s="6"/>
      <c r="B1136" s="7"/>
      <c r="C1136" s="6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</row>
    <row r="1137" spans="1:26" ht="16.8" x14ac:dyDescent="0.45">
      <c r="A1137" s="6"/>
      <c r="B1137" s="7"/>
      <c r="C1137" s="6"/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</row>
    <row r="1138" spans="1:26" ht="16.8" x14ac:dyDescent="0.45">
      <c r="A1138" s="6"/>
      <c r="B1138" s="7"/>
      <c r="C1138" s="6"/>
      <c r="D1138" s="6"/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</row>
    <row r="1139" spans="1:26" ht="16.8" x14ac:dyDescent="0.45">
      <c r="A1139" s="6"/>
      <c r="B1139" s="7"/>
      <c r="C1139" s="6"/>
      <c r="D1139" s="6"/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</row>
    <row r="1140" spans="1:26" ht="16.8" x14ac:dyDescent="0.45">
      <c r="A1140" s="6"/>
      <c r="B1140" s="7"/>
      <c r="C1140" s="6"/>
      <c r="D1140" s="6"/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</row>
    <row r="1141" spans="1:26" ht="16.8" x14ac:dyDescent="0.45">
      <c r="A1141" s="6"/>
      <c r="B1141" s="7"/>
      <c r="C1141" s="6"/>
      <c r="D1141" s="6"/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</row>
    <row r="1142" spans="1:26" ht="16.8" x14ac:dyDescent="0.45">
      <c r="A1142" s="6"/>
      <c r="B1142" s="7"/>
      <c r="C1142" s="6"/>
      <c r="D1142" s="6"/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</row>
    <row r="1143" spans="1:26" ht="16.8" x14ac:dyDescent="0.45">
      <c r="A1143" s="6"/>
      <c r="B1143" s="7"/>
      <c r="C1143" s="6"/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</row>
    <row r="1144" spans="1:26" ht="16.8" x14ac:dyDescent="0.45">
      <c r="A1144" s="6"/>
      <c r="B1144" s="7"/>
      <c r="C1144" s="6"/>
      <c r="D1144" s="6"/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</row>
    <row r="1145" spans="1:26" ht="16.8" x14ac:dyDescent="0.45">
      <c r="A1145" s="6"/>
      <c r="B1145" s="7"/>
      <c r="C1145" s="6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</row>
    <row r="1146" spans="1:26" ht="16.8" x14ac:dyDescent="0.45">
      <c r="A1146" s="6"/>
      <c r="B1146" s="7"/>
      <c r="C1146" s="6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</row>
    <row r="1147" spans="1:26" ht="16.8" x14ac:dyDescent="0.45">
      <c r="A1147" s="6"/>
      <c r="B1147" s="7"/>
      <c r="C1147" s="6"/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</row>
    <row r="1148" spans="1:26" ht="16.8" x14ac:dyDescent="0.45">
      <c r="A1148" s="6"/>
      <c r="B1148" s="7"/>
      <c r="C1148" s="6"/>
      <c r="D1148" s="6"/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</row>
    <row r="1149" spans="1:26" ht="16.8" x14ac:dyDescent="0.45">
      <c r="A1149" s="6"/>
      <c r="B1149" s="7"/>
      <c r="C1149" s="6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</row>
    <row r="1150" spans="1:26" ht="16.8" x14ac:dyDescent="0.45">
      <c r="A1150" s="6"/>
      <c r="B1150" s="7"/>
      <c r="C1150" s="6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</row>
    <row r="1151" spans="1:26" ht="16.8" x14ac:dyDescent="0.45">
      <c r="A1151" s="6"/>
      <c r="B1151" s="7"/>
      <c r="C1151" s="6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</row>
    <row r="1152" spans="1:26" ht="16.8" x14ac:dyDescent="0.45">
      <c r="A1152" s="6"/>
      <c r="B1152" s="7"/>
      <c r="C1152" s="6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</row>
    <row r="1153" spans="1:26" ht="16.8" x14ac:dyDescent="0.45">
      <c r="A1153" s="6"/>
      <c r="B1153" s="7"/>
      <c r="C1153" s="6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</row>
    <row r="1154" spans="1:26" ht="16.8" x14ac:dyDescent="0.45">
      <c r="A1154" s="6"/>
      <c r="B1154" s="7"/>
      <c r="C1154" s="6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</row>
    <row r="1155" spans="1:26" ht="16.8" x14ac:dyDescent="0.45">
      <c r="A1155" s="6"/>
      <c r="B1155" s="7"/>
      <c r="C1155" s="6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</row>
    <row r="1156" spans="1:26" ht="16.8" x14ac:dyDescent="0.45">
      <c r="A1156" s="6"/>
      <c r="B1156" s="7"/>
      <c r="C1156" s="6"/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</row>
    <row r="1157" spans="1:26" ht="16.8" x14ac:dyDescent="0.45">
      <c r="A1157" s="6"/>
      <c r="B1157" s="7"/>
      <c r="C1157" s="6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</row>
    <row r="1158" spans="1:26" ht="16.8" x14ac:dyDescent="0.45">
      <c r="A1158" s="6"/>
      <c r="B1158" s="7"/>
      <c r="C1158" s="6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</row>
    <row r="1159" spans="1:26" ht="16.8" x14ac:dyDescent="0.45">
      <c r="A1159" s="6"/>
      <c r="B1159" s="7"/>
      <c r="C1159" s="6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</row>
    <row r="1160" spans="1:26" ht="16.8" x14ac:dyDescent="0.45">
      <c r="A1160" s="6"/>
      <c r="B1160" s="7"/>
      <c r="C1160" s="6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</row>
    <row r="1161" spans="1:26" ht="16.8" x14ac:dyDescent="0.45">
      <c r="A1161" s="6"/>
      <c r="B1161" s="7"/>
      <c r="C1161" s="6"/>
      <c r="D1161" s="6"/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</row>
    <row r="1162" spans="1:26" ht="16.8" x14ac:dyDescent="0.45">
      <c r="A1162" s="6"/>
      <c r="B1162" s="7"/>
      <c r="C1162" s="6"/>
      <c r="D1162" s="6"/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</row>
    <row r="1163" spans="1:26" ht="16.8" x14ac:dyDescent="0.45">
      <c r="A1163" s="6"/>
      <c r="B1163" s="7"/>
      <c r="C1163" s="6"/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</row>
    <row r="1164" spans="1:26" ht="16.8" x14ac:dyDescent="0.45">
      <c r="A1164" s="6"/>
      <c r="B1164" s="7"/>
      <c r="C1164" s="6"/>
      <c r="D1164" s="6"/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</row>
    <row r="1165" spans="1:26" ht="16.8" x14ac:dyDescent="0.45">
      <c r="A1165" s="6"/>
      <c r="B1165" s="7"/>
      <c r="C1165" s="6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</row>
    <row r="1166" spans="1:26" ht="16.8" x14ac:dyDescent="0.45">
      <c r="A1166" s="6"/>
      <c r="B1166" s="7"/>
      <c r="C1166" s="6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</row>
    <row r="1167" spans="1:26" ht="16.8" x14ac:dyDescent="0.45">
      <c r="A1167" s="6"/>
      <c r="B1167" s="7"/>
      <c r="C1167" s="6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</row>
    <row r="1168" spans="1:26" ht="16.8" x14ac:dyDescent="0.45">
      <c r="A1168" s="6"/>
      <c r="B1168" s="7"/>
      <c r="C1168" s="6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</row>
    <row r="1169" spans="1:26" ht="16.8" x14ac:dyDescent="0.45">
      <c r="A1169" s="6"/>
      <c r="B1169" s="7"/>
      <c r="C1169" s="6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</row>
    <row r="1170" spans="1:26" ht="16.8" x14ac:dyDescent="0.45">
      <c r="A1170" s="6"/>
      <c r="B1170" s="7"/>
      <c r="C1170" s="6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</row>
    <row r="1171" spans="1:26" ht="16.8" x14ac:dyDescent="0.45">
      <c r="A1171" s="6"/>
      <c r="B1171" s="7"/>
      <c r="C1171" s="6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</row>
    <row r="1172" spans="1:26" ht="16.8" x14ac:dyDescent="0.45">
      <c r="A1172" s="6"/>
      <c r="B1172" s="7"/>
      <c r="C1172" s="6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</row>
    <row r="1173" spans="1:26" ht="16.8" x14ac:dyDescent="0.45">
      <c r="A1173" s="6"/>
      <c r="B1173" s="7"/>
      <c r="C1173" s="6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</row>
    <row r="1174" spans="1:26" ht="16.8" x14ac:dyDescent="0.45">
      <c r="A1174" s="6"/>
      <c r="B1174" s="7"/>
      <c r="C1174" s="6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</row>
    <row r="1175" spans="1:26" ht="16.8" x14ac:dyDescent="0.45">
      <c r="A1175" s="6"/>
      <c r="B1175" s="7"/>
      <c r="C1175" s="6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</row>
    <row r="1176" spans="1:26" ht="16.8" x14ac:dyDescent="0.45">
      <c r="A1176" s="6"/>
      <c r="B1176" s="7"/>
      <c r="C1176" s="6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</row>
    <row r="1177" spans="1:26" ht="16.8" x14ac:dyDescent="0.45">
      <c r="A1177" s="6"/>
      <c r="B1177" s="7"/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</row>
    <row r="1178" spans="1:26" ht="16.8" x14ac:dyDescent="0.45">
      <c r="A1178" s="6"/>
      <c r="B1178" s="7"/>
      <c r="C1178" s="6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</row>
    <row r="1179" spans="1:26" ht="16.8" x14ac:dyDescent="0.45">
      <c r="A1179" s="6"/>
      <c r="B1179" s="7"/>
      <c r="C1179" s="6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</row>
    <row r="1180" spans="1:26" ht="16.8" x14ac:dyDescent="0.45">
      <c r="A1180" s="6"/>
      <c r="B1180" s="7"/>
      <c r="C1180" s="6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</row>
    <row r="1181" spans="1:26" ht="16.8" x14ac:dyDescent="0.45">
      <c r="A1181" s="6"/>
      <c r="B1181" s="7"/>
      <c r="C1181" s="6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</row>
    <row r="1182" spans="1:26" ht="16.8" x14ac:dyDescent="0.45">
      <c r="A1182" s="6"/>
      <c r="B1182" s="7"/>
      <c r="C1182" s="6"/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</row>
    <row r="1183" spans="1:26" ht="16.8" x14ac:dyDescent="0.45">
      <c r="A1183" s="6"/>
      <c r="B1183" s="7"/>
      <c r="C1183" s="6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</row>
    <row r="1184" spans="1:26" ht="16.8" x14ac:dyDescent="0.45">
      <c r="A1184" s="6"/>
      <c r="B1184" s="7"/>
      <c r="C1184" s="6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</row>
    <row r="1185" spans="1:26" ht="16.8" x14ac:dyDescent="0.45">
      <c r="A1185" s="6"/>
      <c r="B1185" s="7"/>
      <c r="C1185" s="6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</row>
    <row r="1186" spans="1:26" ht="16.8" x14ac:dyDescent="0.45">
      <c r="A1186" s="6"/>
      <c r="B1186" s="7"/>
      <c r="C1186" s="6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</row>
    <row r="1187" spans="1:26" ht="16.8" x14ac:dyDescent="0.45">
      <c r="A1187" s="6"/>
      <c r="B1187" s="7"/>
      <c r="C1187" s="6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</row>
    <row r="1188" spans="1:26" ht="16.8" x14ac:dyDescent="0.45">
      <c r="A1188" s="6"/>
      <c r="B1188" s="7"/>
      <c r="C1188" s="6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</row>
    <row r="1189" spans="1:26" ht="16.8" x14ac:dyDescent="0.45">
      <c r="A1189" s="6"/>
      <c r="B1189" s="7"/>
      <c r="C1189" s="6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</row>
    <row r="1190" spans="1:26" ht="16.8" x14ac:dyDescent="0.45">
      <c r="A1190" s="6"/>
      <c r="B1190" s="7"/>
      <c r="C1190" s="6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</row>
    <row r="1191" spans="1:26" ht="16.8" x14ac:dyDescent="0.45">
      <c r="A1191" s="6"/>
      <c r="B1191" s="7"/>
      <c r="C1191" s="6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</row>
    <row r="1192" spans="1:26" ht="16.8" x14ac:dyDescent="0.45">
      <c r="A1192" s="6"/>
      <c r="B1192" s="7"/>
      <c r="C1192" s="6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</row>
    <row r="1193" spans="1:26" ht="16.8" x14ac:dyDescent="0.45">
      <c r="A1193" s="6"/>
      <c r="B1193" s="7"/>
      <c r="C1193" s="6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</row>
    <row r="1194" spans="1:26" ht="16.8" x14ac:dyDescent="0.45">
      <c r="A1194" s="6"/>
      <c r="B1194" s="7"/>
      <c r="C1194" s="6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</row>
    <row r="1195" spans="1:26" ht="16.8" x14ac:dyDescent="0.45">
      <c r="A1195" s="6"/>
      <c r="B1195" s="7"/>
      <c r="C1195" s="6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</row>
    <row r="1196" spans="1:26" ht="16.8" x14ac:dyDescent="0.45">
      <c r="A1196" s="6"/>
      <c r="B1196" s="7"/>
      <c r="C1196" s="6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</row>
    <row r="1197" spans="1:26" ht="16.8" x14ac:dyDescent="0.45">
      <c r="A1197" s="6"/>
      <c r="B1197" s="7"/>
      <c r="C1197" s="6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</row>
    <row r="1198" spans="1:26" ht="16.8" x14ac:dyDescent="0.45">
      <c r="A1198" s="6"/>
      <c r="B1198" s="7"/>
      <c r="C1198" s="6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</row>
    <row r="1199" spans="1:26" ht="16.8" x14ac:dyDescent="0.45">
      <c r="A1199" s="6"/>
      <c r="B1199" s="7"/>
      <c r="C1199" s="6"/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</row>
    <row r="1200" spans="1:26" ht="16.8" x14ac:dyDescent="0.45">
      <c r="A1200" s="6"/>
      <c r="B1200" s="7"/>
      <c r="C1200" s="6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</row>
    <row r="1201" spans="1:26" ht="16.8" x14ac:dyDescent="0.45">
      <c r="A1201" s="6"/>
      <c r="B1201" s="7"/>
      <c r="C1201" s="6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</row>
    <row r="1202" spans="1:26" ht="16.8" x14ac:dyDescent="0.45">
      <c r="A1202" s="6"/>
      <c r="B1202" s="7"/>
      <c r="C1202" s="6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</row>
    <row r="1203" spans="1:26" ht="16.8" x14ac:dyDescent="0.45">
      <c r="A1203" s="6"/>
      <c r="B1203" s="7"/>
      <c r="C1203" s="6"/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</row>
    <row r="1204" spans="1:26" ht="16.8" x14ac:dyDescent="0.45">
      <c r="A1204" s="6"/>
      <c r="B1204" s="7"/>
      <c r="C1204" s="6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</row>
    <row r="1205" spans="1:26" ht="16.8" x14ac:dyDescent="0.45">
      <c r="A1205" s="6"/>
      <c r="B1205" s="7"/>
      <c r="C1205" s="6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</row>
    <row r="1206" spans="1:26" ht="16.8" x14ac:dyDescent="0.45">
      <c r="A1206" s="6"/>
      <c r="B1206" s="7"/>
      <c r="C1206" s="6"/>
      <c r="D1206" s="6"/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</row>
    <row r="1207" spans="1:26" ht="16.8" x14ac:dyDescent="0.45">
      <c r="A1207" s="6"/>
      <c r="B1207" s="7"/>
      <c r="C1207" s="6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</row>
    <row r="1208" spans="1:26" ht="16.8" x14ac:dyDescent="0.45">
      <c r="A1208" s="6"/>
      <c r="B1208" s="7"/>
      <c r="C1208" s="6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</row>
    <row r="1209" spans="1:26" ht="16.8" x14ac:dyDescent="0.45">
      <c r="A1209" s="6"/>
      <c r="B1209" s="7"/>
      <c r="C1209" s="6"/>
      <c r="D1209" s="6"/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</row>
    <row r="1210" spans="1:26" ht="16.8" x14ac:dyDescent="0.45">
      <c r="A1210" s="6"/>
      <c r="B1210" s="7"/>
      <c r="C1210" s="6"/>
      <c r="D1210" s="6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</row>
    <row r="1211" spans="1:26" ht="16.8" x14ac:dyDescent="0.45">
      <c r="A1211" s="6"/>
      <c r="B1211" s="7"/>
      <c r="C1211" s="6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</row>
    <row r="1212" spans="1:26" ht="16.8" x14ac:dyDescent="0.45">
      <c r="A1212" s="6"/>
      <c r="B1212" s="7"/>
      <c r="C1212" s="6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</row>
    <row r="1213" spans="1:26" ht="16.8" x14ac:dyDescent="0.45">
      <c r="A1213" s="6"/>
      <c r="B1213" s="7"/>
      <c r="C1213" s="6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</row>
    <row r="1214" spans="1:26" ht="16.8" x14ac:dyDescent="0.45">
      <c r="A1214" s="6"/>
      <c r="B1214" s="7"/>
      <c r="C1214" s="6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</row>
    <row r="1215" spans="1:26" ht="16.8" x14ac:dyDescent="0.45">
      <c r="A1215" s="6"/>
      <c r="B1215" s="7"/>
      <c r="C1215" s="6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</row>
    <row r="1216" spans="1:26" ht="16.8" x14ac:dyDescent="0.45">
      <c r="A1216" s="6"/>
      <c r="B1216" s="7"/>
      <c r="C1216" s="6"/>
      <c r="D1216" s="6"/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</row>
    <row r="1217" spans="1:26" ht="16.8" x14ac:dyDescent="0.45">
      <c r="A1217" s="6"/>
      <c r="B1217" s="7"/>
      <c r="C1217" s="6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</row>
    <row r="1218" spans="1:26" ht="16.8" x14ac:dyDescent="0.45">
      <c r="A1218" s="6"/>
      <c r="B1218" s="7"/>
      <c r="C1218" s="6"/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</row>
    <row r="1219" spans="1:26" ht="16.8" x14ac:dyDescent="0.45">
      <c r="A1219" s="6"/>
      <c r="B1219" s="7"/>
      <c r="C1219" s="6"/>
      <c r="D1219" s="6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</row>
    <row r="1220" spans="1:26" ht="16.8" x14ac:dyDescent="0.45">
      <c r="A1220" s="6"/>
      <c r="B1220" s="7"/>
      <c r="C1220" s="6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</row>
    <row r="1221" spans="1:26" ht="16.8" x14ac:dyDescent="0.45">
      <c r="A1221" s="6"/>
      <c r="B1221" s="7"/>
      <c r="C1221" s="6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</row>
    <row r="1222" spans="1:26" ht="16.8" x14ac:dyDescent="0.45">
      <c r="A1222" s="6"/>
      <c r="B1222" s="7"/>
      <c r="C1222" s="6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</row>
    <row r="1223" spans="1:26" ht="16.8" x14ac:dyDescent="0.45">
      <c r="A1223" s="6"/>
      <c r="B1223" s="7"/>
      <c r="C1223" s="6"/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</row>
    <row r="1224" spans="1:26" ht="16.8" x14ac:dyDescent="0.45">
      <c r="A1224" s="6"/>
      <c r="B1224" s="7"/>
      <c r="C1224" s="6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</row>
    <row r="1225" spans="1:26" ht="16.8" x14ac:dyDescent="0.45">
      <c r="A1225" s="6"/>
      <c r="B1225" s="7"/>
      <c r="C1225" s="6"/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</row>
    <row r="1226" spans="1:26" ht="16.8" x14ac:dyDescent="0.45">
      <c r="A1226" s="6"/>
      <c r="B1226" s="7"/>
      <c r="C1226" s="6"/>
      <c r="D1226" s="6"/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</row>
    <row r="1227" spans="1:26" ht="16.8" x14ac:dyDescent="0.45">
      <c r="A1227" s="6"/>
      <c r="B1227" s="7"/>
      <c r="C1227" s="6"/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</row>
    <row r="1228" spans="1:26" ht="16.8" x14ac:dyDescent="0.45">
      <c r="A1228" s="6"/>
      <c r="B1228" s="7"/>
      <c r="C1228" s="6"/>
      <c r="D1228" s="6"/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</row>
    <row r="1229" spans="1:26" ht="16.8" x14ac:dyDescent="0.45">
      <c r="A1229" s="6"/>
      <c r="B1229" s="7"/>
      <c r="C1229" s="6"/>
      <c r="D1229" s="6"/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</row>
    <row r="1230" spans="1:26" ht="16.8" x14ac:dyDescent="0.45">
      <c r="A1230" s="6"/>
      <c r="B1230" s="7"/>
      <c r="C1230" s="6"/>
      <c r="D1230" s="6"/>
      <c r="E1230" s="6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</row>
    <row r="1231" spans="1:26" ht="16.8" x14ac:dyDescent="0.45">
      <c r="A1231" s="6"/>
      <c r="B1231" s="7"/>
      <c r="C1231" s="6"/>
      <c r="D1231" s="6"/>
      <c r="E1231" s="6"/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</row>
    <row r="1232" spans="1:26" ht="16.8" x14ac:dyDescent="0.45">
      <c r="A1232" s="6"/>
      <c r="B1232" s="7"/>
      <c r="C1232" s="6"/>
      <c r="D1232" s="6"/>
      <c r="E1232" s="6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</row>
    <row r="1233" spans="1:26" ht="16.8" x14ac:dyDescent="0.45">
      <c r="A1233" s="6"/>
      <c r="B1233" s="7"/>
      <c r="C1233" s="6"/>
      <c r="D1233" s="6"/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</row>
    <row r="1234" spans="1:26" ht="16.8" x14ac:dyDescent="0.45">
      <c r="A1234" s="6"/>
      <c r="B1234" s="7"/>
      <c r="C1234" s="6"/>
      <c r="D1234" s="6"/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</row>
    <row r="1235" spans="1:26" ht="16.8" x14ac:dyDescent="0.45">
      <c r="A1235" s="6"/>
      <c r="B1235" s="7"/>
      <c r="C1235" s="6"/>
      <c r="D1235" s="6"/>
      <c r="E1235" s="6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</row>
    <row r="1236" spans="1:26" ht="16.8" x14ac:dyDescent="0.45">
      <c r="A1236" s="6"/>
      <c r="B1236" s="7"/>
      <c r="C1236" s="6"/>
      <c r="D1236" s="6"/>
      <c r="E1236" s="6"/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</row>
    <row r="1237" spans="1:26" ht="16.8" x14ac:dyDescent="0.45">
      <c r="A1237" s="6"/>
      <c r="B1237" s="7"/>
      <c r="C1237" s="6"/>
      <c r="D1237" s="6"/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</row>
    <row r="1238" spans="1:26" ht="16.8" x14ac:dyDescent="0.45">
      <c r="A1238" s="6"/>
      <c r="B1238" s="7"/>
      <c r="C1238" s="6"/>
      <c r="D1238" s="6"/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</row>
    <row r="1239" spans="1:26" ht="16.8" x14ac:dyDescent="0.45">
      <c r="A1239" s="6"/>
      <c r="B1239" s="7"/>
      <c r="C1239" s="6"/>
      <c r="D1239" s="6"/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</row>
    <row r="1240" spans="1:26" ht="16.8" x14ac:dyDescent="0.45">
      <c r="A1240" s="6"/>
      <c r="B1240" s="7"/>
      <c r="C1240" s="6"/>
      <c r="D1240" s="6"/>
      <c r="E1240" s="6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</row>
    <row r="1241" spans="1:26" ht="16.8" x14ac:dyDescent="0.45">
      <c r="A1241" s="6"/>
      <c r="B1241" s="7"/>
      <c r="C1241" s="6"/>
      <c r="D1241" s="6"/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</row>
    <row r="1242" spans="1:26" ht="16.8" x14ac:dyDescent="0.45">
      <c r="A1242" s="6"/>
      <c r="B1242" s="7"/>
      <c r="C1242" s="6"/>
      <c r="D1242" s="6"/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</row>
    <row r="1243" spans="1:26" ht="16.8" x14ac:dyDescent="0.45">
      <c r="A1243" s="6"/>
      <c r="B1243" s="7"/>
      <c r="C1243" s="6"/>
      <c r="D1243" s="6"/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</row>
    <row r="1244" spans="1:26" ht="16.8" x14ac:dyDescent="0.45">
      <c r="A1244" s="6"/>
      <c r="B1244" s="7"/>
      <c r="C1244" s="6"/>
      <c r="D1244" s="6"/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</row>
    <row r="1245" spans="1:26" ht="16.8" x14ac:dyDescent="0.45">
      <c r="A1245" s="6"/>
      <c r="B1245" s="7"/>
      <c r="C1245" s="6"/>
      <c r="D1245" s="6"/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</row>
    <row r="1246" spans="1:26" ht="16.8" x14ac:dyDescent="0.45">
      <c r="A1246" s="6"/>
      <c r="B1246" s="7"/>
      <c r="C1246" s="6"/>
      <c r="D1246" s="6"/>
      <c r="E1246" s="6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</row>
    <row r="1247" spans="1:26" ht="16.8" x14ac:dyDescent="0.45">
      <c r="A1247" s="6"/>
      <c r="B1247" s="7"/>
      <c r="C1247" s="6"/>
      <c r="D1247" s="6"/>
      <c r="E1247" s="6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</row>
    <row r="1248" spans="1:26" ht="16.8" x14ac:dyDescent="0.45">
      <c r="A1248" s="6"/>
      <c r="B1248" s="7"/>
      <c r="C1248" s="6"/>
      <c r="D1248" s="6"/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</row>
    <row r="1249" spans="1:26" ht="16.8" x14ac:dyDescent="0.45">
      <c r="A1249" s="6"/>
      <c r="B1249" s="7"/>
      <c r="C1249" s="6"/>
      <c r="D1249" s="6"/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</row>
    <row r="1250" spans="1:26" ht="16.8" x14ac:dyDescent="0.45">
      <c r="A1250" s="6"/>
      <c r="B1250" s="7"/>
      <c r="C1250" s="6"/>
      <c r="D1250" s="6"/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</row>
    <row r="1251" spans="1:26" ht="16.8" x14ac:dyDescent="0.45">
      <c r="A1251" s="6"/>
      <c r="B1251" s="7"/>
      <c r="C1251" s="6"/>
      <c r="D1251" s="6"/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</row>
    <row r="1252" spans="1:26" ht="16.8" x14ac:dyDescent="0.45">
      <c r="A1252" s="6"/>
      <c r="B1252" s="7"/>
      <c r="C1252" s="6"/>
      <c r="D1252" s="6"/>
      <c r="E1252" s="6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</row>
    <row r="1253" spans="1:26" ht="16.8" x14ac:dyDescent="0.45">
      <c r="A1253" s="6"/>
      <c r="B1253" s="7"/>
      <c r="C1253" s="6"/>
      <c r="D1253" s="6"/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</row>
    <row r="1254" spans="1:26" ht="16.8" x14ac:dyDescent="0.45">
      <c r="A1254" s="6"/>
      <c r="B1254" s="7"/>
      <c r="C1254" s="6"/>
      <c r="D1254" s="6"/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</row>
    <row r="1255" spans="1:26" ht="16.8" x14ac:dyDescent="0.45">
      <c r="A1255" s="6"/>
      <c r="B1255" s="7"/>
      <c r="C1255" s="6"/>
      <c r="D1255" s="6"/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</row>
    <row r="1256" spans="1:26" ht="16.8" x14ac:dyDescent="0.45">
      <c r="A1256" s="6"/>
      <c r="B1256" s="7"/>
      <c r="C1256" s="6"/>
      <c r="D1256" s="6"/>
      <c r="E1256" s="6"/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</row>
    <row r="1257" spans="1:26" ht="16.8" x14ac:dyDescent="0.45">
      <c r="A1257" s="6"/>
      <c r="B1257" s="7"/>
      <c r="C1257" s="6"/>
      <c r="D1257" s="6"/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</row>
    <row r="1258" spans="1:26" ht="16.8" x14ac:dyDescent="0.45">
      <c r="A1258" s="6"/>
      <c r="B1258" s="7"/>
      <c r="C1258" s="6"/>
      <c r="D1258" s="6"/>
      <c r="E1258" s="6"/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</row>
    <row r="1259" spans="1:26" ht="16.8" x14ac:dyDescent="0.45">
      <c r="A1259" s="6"/>
      <c r="B1259" s="7"/>
      <c r="C1259" s="6"/>
      <c r="D1259" s="6"/>
      <c r="E1259" s="6"/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</row>
    <row r="1260" spans="1:26" ht="16.8" x14ac:dyDescent="0.45">
      <c r="A1260" s="6"/>
      <c r="B1260" s="7"/>
      <c r="C1260" s="6"/>
      <c r="D1260" s="6"/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</row>
    <row r="1261" spans="1:26" ht="16.8" x14ac:dyDescent="0.45">
      <c r="A1261" s="6"/>
      <c r="B1261" s="7"/>
      <c r="C1261" s="6"/>
      <c r="D1261" s="6"/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</row>
    <row r="1262" spans="1:26" ht="16.8" x14ac:dyDescent="0.45">
      <c r="A1262" s="6"/>
      <c r="B1262" s="7"/>
      <c r="C1262" s="6"/>
      <c r="D1262" s="6"/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</row>
    <row r="1263" spans="1:26" ht="16.8" x14ac:dyDescent="0.45">
      <c r="A1263" s="6"/>
      <c r="B1263" s="7"/>
      <c r="C1263" s="6"/>
      <c r="D1263" s="6"/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</row>
    <row r="1264" spans="1:26" ht="16.8" x14ac:dyDescent="0.45">
      <c r="A1264" s="6"/>
      <c r="B1264" s="7"/>
      <c r="C1264" s="6"/>
      <c r="D1264" s="6"/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</row>
    <row r="1265" spans="1:26" ht="16.8" x14ac:dyDescent="0.45">
      <c r="A1265" s="6"/>
      <c r="B1265" s="7"/>
      <c r="C1265" s="6"/>
      <c r="D1265" s="6"/>
      <c r="E1265" s="6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</row>
    <row r="1266" spans="1:26" ht="16.8" x14ac:dyDescent="0.45">
      <c r="A1266" s="6"/>
      <c r="B1266" s="7"/>
      <c r="C1266" s="6"/>
      <c r="D1266" s="6"/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</row>
    <row r="1267" spans="1:26" ht="16.8" x14ac:dyDescent="0.45">
      <c r="A1267" s="6"/>
      <c r="B1267" s="7"/>
      <c r="C1267" s="6"/>
      <c r="D1267" s="6"/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</row>
    <row r="1268" spans="1:26" ht="16.8" x14ac:dyDescent="0.45">
      <c r="A1268" s="6"/>
      <c r="B1268" s="7"/>
      <c r="C1268" s="6"/>
      <c r="D1268" s="6"/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</row>
    <row r="1269" spans="1:26" ht="16.8" x14ac:dyDescent="0.45">
      <c r="A1269" s="6"/>
      <c r="B1269" s="7"/>
      <c r="C1269" s="6"/>
      <c r="D1269" s="6"/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</row>
    <row r="1270" spans="1:26" ht="16.8" x14ac:dyDescent="0.45">
      <c r="A1270" s="6"/>
      <c r="B1270" s="7"/>
      <c r="C1270" s="6"/>
      <c r="D1270" s="6"/>
      <c r="E1270" s="6"/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</row>
    <row r="1271" spans="1:26" ht="16.8" x14ac:dyDescent="0.45">
      <c r="A1271" s="6"/>
      <c r="B1271" s="7"/>
      <c r="C1271" s="6"/>
      <c r="D1271" s="6"/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</row>
    <row r="1272" spans="1:26" ht="16.8" x14ac:dyDescent="0.45">
      <c r="A1272" s="6"/>
      <c r="B1272" s="7"/>
      <c r="C1272" s="6"/>
      <c r="D1272" s="6"/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</row>
    <row r="1273" spans="1:26" ht="16.8" x14ac:dyDescent="0.45">
      <c r="A1273" s="6"/>
      <c r="B1273" s="7"/>
      <c r="C1273" s="6"/>
      <c r="D1273" s="6"/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</row>
    <row r="1274" spans="1:26" ht="16.8" x14ac:dyDescent="0.45">
      <c r="A1274" s="6"/>
      <c r="B1274" s="7"/>
      <c r="C1274" s="6"/>
      <c r="D1274" s="6"/>
      <c r="E1274" s="6"/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</row>
    <row r="1275" spans="1:26" ht="16.8" x14ac:dyDescent="0.45">
      <c r="A1275" s="6"/>
      <c r="B1275" s="7"/>
      <c r="C1275" s="6"/>
      <c r="D1275" s="6"/>
      <c r="E1275" s="6"/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</row>
    <row r="1276" spans="1:26" ht="16.8" x14ac:dyDescent="0.45">
      <c r="A1276" s="6"/>
      <c r="B1276" s="7"/>
      <c r="C1276" s="6"/>
      <c r="D1276" s="6"/>
      <c r="E1276" s="6"/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</row>
    <row r="1277" spans="1:26" ht="16.8" x14ac:dyDescent="0.45">
      <c r="A1277" s="6"/>
      <c r="B1277" s="7"/>
      <c r="C1277" s="6"/>
      <c r="D1277" s="6"/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</row>
    <row r="1278" spans="1:26" ht="16.8" x14ac:dyDescent="0.45">
      <c r="A1278" s="6"/>
      <c r="B1278" s="7"/>
      <c r="C1278" s="6"/>
      <c r="D1278" s="6"/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</row>
    <row r="1279" spans="1:26" ht="16.8" x14ac:dyDescent="0.45">
      <c r="A1279" s="6"/>
      <c r="B1279" s="7"/>
      <c r="C1279" s="6"/>
      <c r="D1279" s="6"/>
      <c r="E1279" s="6"/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</row>
    <row r="1280" spans="1:26" ht="16.8" x14ac:dyDescent="0.45">
      <c r="A1280" s="6"/>
      <c r="B1280" s="7"/>
      <c r="C1280" s="6"/>
      <c r="D1280" s="6"/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</row>
    <row r="1281" spans="1:26" ht="16.8" x14ac:dyDescent="0.45">
      <c r="A1281" s="6"/>
      <c r="B1281" s="7"/>
      <c r="C1281" s="6"/>
      <c r="D1281" s="6"/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</row>
    <row r="1282" spans="1:26" ht="16.8" x14ac:dyDescent="0.45">
      <c r="A1282" s="6"/>
      <c r="B1282" s="7"/>
      <c r="C1282" s="6"/>
      <c r="D1282" s="6"/>
      <c r="E1282" s="6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</row>
    <row r="1283" spans="1:26" ht="16.8" x14ac:dyDescent="0.45">
      <c r="A1283" s="6"/>
      <c r="B1283" s="7"/>
      <c r="C1283" s="6"/>
      <c r="D1283" s="6"/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</row>
    <row r="1284" spans="1:26" ht="16.8" x14ac:dyDescent="0.45">
      <c r="A1284" s="6"/>
      <c r="B1284" s="7"/>
      <c r="C1284" s="6"/>
      <c r="D1284" s="6"/>
      <c r="E1284" s="6"/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</row>
    <row r="1285" spans="1:26" ht="16.8" x14ac:dyDescent="0.45">
      <c r="A1285" s="6"/>
      <c r="B1285" s="7"/>
      <c r="C1285" s="6"/>
      <c r="D1285" s="6"/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</row>
    <row r="1286" spans="1:26" ht="16.8" x14ac:dyDescent="0.45">
      <c r="A1286" s="6"/>
      <c r="B1286" s="7"/>
      <c r="C1286" s="6"/>
      <c r="D1286" s="6"/>
      <c r="E1286" s="6"/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</row>
    <row r="1287" spans="1:26" ht="16.8" x14ac:dyDescent="0.45">
      <c r="A1287" s="6"/>
      <c r="B1287" s="7"/>
      <c r="C1287" s="6"/>
      <c r="D1287" s="6"/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</row>
    <row r="1288" spans="1:26" ht="16.8" x14ac:dyDescent="0.45">
      <c r="A1288" s="6"/>
      <c r="B1288" s="7"/>
      <c r="C1288" s="6"/>
      <c r="D1288" s="6"/>
      <c r="E1288" s="6"/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</row>
    <row r="1289" spans="1:26" ht="16.8" x14ac:dyDescent="0.45">
      <c r="A1289" s="6"/>
      <c r="B1289" s="7"/>
      <c r="C1289" s="6"/>
      <c r="D1289" s="6"/>
      <c r="E1289" s="6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</row>
    <row r="1290" spans="1:26" ht="16.8" x14ac:dyDescent="0.45">
      <c r="A1290" s="6"/>
      <c r="B1290" s="7"/>
      <c r="C1290" s="6"/>
      <c r="D1290" s="6"/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</row>
    <row r="1291" spans="1:26" ht="16.8" x14ac:dyDescent="0.45">
      <c r="A1291" s="6"/>
      <c r="B1291" s="7"/>
      <c r="C1291" s="6"/>
      <c r="D1291" s="6"/>
      <c r="E1291" s="6"/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</row>
    <row r="1292" spans="1:26" ht="16.8" x14ac:dyDescent="0.45">
      <c r="A1292" s="6"/>
      <c r="B1292" s="7"/>
      <c r="C1292" s="6"/>
      <c r="D1292" s="6"/>
      <c r="E1292" s="6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</row>
    <row r="1293" spans="1:26" ht="16.8" x14ac:dyDescent="0.45">
      <c r="A1293" s="6"/>
      <c r="B1293" s="7"/>
      <c r="C1293" s="6"/>
      <c r="D1293" s="6"/>
      <c r="E1293" s="6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</row>
    <row r="1294" spans="1:26" ht="16.8" x14ac:dyDescent="0.45">
      <c r="A1294" s="6"/>
      <c r="B1294" s="7"/>
      <c r="C1294" s="6"/>
      <c r="D1294" s="6"/>
      <c r="E1294" s="6"/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</row>
    <row r="1295" spans="1:26" ht="16.8" x14ac:dyDescent="0.45">
      <c r="A1295" s="6"/>
      <c r="B1295" s="7"/>
      <c r="C1295" s="6"/>
      <c r="D1295" s="6"/>
      <c r="E1295" s="6"/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</row>
    <row r="1296" spans="1:26" ht="16.8" x14ac:dyDescent="0.45">
      <c r="A1296" s="6"/>
      <c r="B1296" s="7"/>
      <c r="C1296" s="6"/>
      <c r="D1296" s="6"/>
      <c r="E1296" s="6"/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</row>
    <row r="1297" spans="1:26" ht="16.8" x14ac:dyDescent="0.45">
      <c r="A1297" s="6"/>
      <c r="B1297" s="7"/>
      <c r="C1297" s="6"/>
      <c r="D1297" s="6"/>
      <c r="E1297" s="6"/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</row>
    <row r="1298" spans="1:26" ht="16.8" x14ac:dyDescent="0.45">
      <c r="A1298" s="6"/>
      <c r="B1298" s="7"/>
      <c r="C1298" s="6"/>
      <c r="D1298" s="6"/>
      <c r="E1298" s="6"/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</row>
    <row r="1299" spans="1:26" ht="16.8" x14ac:dyDescent="0.45">
      <c r="A1299" s="6"/>
      <c r="B1299" s="7"/>
      <c r="C1299" s="6"/>
      <c r="D1299" s="6"/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</row>
    <row r="1300" spans="1:26" ht="16.8" x14ac:dyDescent="0.45">
      <c r="A1300" s="6"/>
      <c r="B1300" s="7"/>
      <c r="C1300" s="6"/>
      <c r="D1300" s="6"/>
      <c r="E1300" s="6"/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</row>
    <row r="1301" spans="1:26" ht="16.8" x14ac:dyDescent="0.45">
      <c r="A1301" s="6"/>
      <c r="B1301" s="7"/>
      <c r="C1301" s="6"/>
      <c r="D1301" s="6"/>
      <c r="E1301" s="6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</row>
    <row r="1302" spans="1:26" ht="16.8" x14ac:dyDescent="0.45">
      <c r="A1302" s="6"/>
      <c r="B1302" s="7"/>
      <c r="C1302" s="6"/>
      <c r="D1302" s="6"/>
      <c r="E1302" s="6"/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</row>
    <row r="1303" spans="1:26" ht="16.8" x14ac:dyDescent="0.45">
      <c r="A1303" s="6"/>
      <c r="B1303" s="7"/>
      <c r="C1303" s="6"/>
      <c r="D1303" s="6"/>
      <c r="E1303" s="6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</row>
    <row r="1304" spans="1:26" ht="16.8" x14ac:dyDescent="0.45">
      <c r="A1304" s="6"/>
      <c r="B1304" s="7"/>
      <c r="C1304" s="6"/>
      <c r="D1304" s="6"/>
      <c r="E1304" s="6"/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</row>
    <row r="1305" spans="1:26" ht="16.8" x14ac:dyDescent="0.45">
      <c r="A1305" s="6"/>
      <c r="B1305" s="7"/>
      <c r="C1305" s="6"/>
      <c r="D1305" s="6"/>
      <c r="E1305" s="6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</row>
    <row r="1306" spans="1:26" ht="16.8" x14ac:dyDescent="0.45">
      <c r="A1306" s="6"/>
      <c r="B1306" s="7"/>
      <c r="C1306" s="6"/>
      <c r="D1306" s="6"/>
      <c r="E1306" s="6"/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</row>
    <row r="1307" spans="1:26" ht="16.8" x14ac:dyDescent="0.45">
      <c r="A1307" s="6"/>
      <c r="B1307" s="7"/>
      <c r="C1307" s="6"/>
      <c r="D1307" s="6"/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</row>
    <row r="1308" spans="1:26" ht="16.8" x14ac:dyDescent="0.45">
      <c r="A1308" s="6"/>
      <c r="B1308" s="7"/>
      <c r="C1308" s="6"/>
      <c r="D1308" s="6"/>
      <c r="E1308" s="6"/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</row>
    <row r="1309" spans="1:26" ht="16.8" x14ac:dyDescent="0.45">
      <c r="A1309" s="6"/>
      <c r="B1309" s="7"/>
      <c r="C1309" s="6"/>
      <c r="D1309" s="6"/>
      <c r="E1309" s="6"/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</row>
    <row r="1310" spans="1:26" ht="16.8" x14ac:dyDescent="0.45">
      <c r="A1310" s="6"/>
      <c r="B1310" s="7"/>
      <c r="C1310" s="6"/>
      <c r="D1310" s="6"/>
      <c r="E1310" s="6"/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</row>
    <row r="1311" spans="1:26" ht="16.8" x14ac:dyDescent="0.45">
      <c r="A1311" s="6"/>
      <c r="B1311" s="7"/>
      <c r="C1311" s="6"/>
      <c r="D1311" s="6"/>
      <c r="E1311" s="6"/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</row>
    <row r="1312" spans="1:26" ht="16.8" x14ac:dyDescent="0.45">
      <c r="A1312" s="6"/>
      <c r="B1312" s="7"/>
      <c r="C1312" s="6"/>
      <c r="D1312" s="6"/>
      <c r="E1312" s="6"/>
      <c r="F1312" s="6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</row>
    <row r="1313" spans="1:26" ht="16.8" x14ac:dyDescent="0.45">
      <c r="A1313" s="6"/>
      <c r="B1313" s="7"/>
      <c r="C1313" s="6"/>
      <c r="D1313" s="6"/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</row>
    <row r="1314" spans="1:26" ht="16.8" x14ac:dyDescent="0.45">
      <c r="A1314" s="6"/>
      <c r="B1314" s="7"/>
      <c r="C1314" s="6"/>
      <c r="D1314" s="6"/>
      <c r="E1314" s="6"/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</row>
    <row r="1315" spans="1:26" ht="16.8" x14ac:dyDescent="0.45">
      <c r="A1315" s="6"/>
      <c r="B1315" s="7"/>
      <c r="C1315" s="6"/>
      <c r="D1315" s="6"/>
      <c r="E1315" s="6"/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</row>
    <row r="1316" spans="1:26" ht="16.8" x14ac:dyDescent="0.45">
      <c r="A1316" s="6"/>
      <c r="B1316" s="7"/>
      <c r="C1316" s="6"/>
      <c r="D1316" s="6"/>
      <c r="E1316" s="6"/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</row>
    <row r="1317" spans="1:26" ht="16.8" x14ac:dyDescent="0.45">
      <c r="A1317" s="6"/>
      <c r="B1317" s="7"/>
      <c r="C1317" s="6"/>
      <c r="D1317" s="6"/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</row>
    <row r="1318" spans="1:26" ht="16.8" x14ac:dyDescent="0.45">
      <c r="A1318" s="6"/>
      <c r="B1318" s="7"/>
      <c r="C1318" s="6"/>
      <c r="D1318" s="6"/>
      <c r="E1318" s="6"/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</row>
    <row r="1319" spans="1:26" ht="16.8" x14ac:dyDescent="0.45">
      <c r="A1319" s="6"/>
      <c r="B1319" s="7"/>
      <c r="C1319" s="6"/>
      <c r="D1319" s="6"/>
      <c r="E1319" s="6"/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</row>
    <row r="1320" spans="1:26" ht="16.8" x14ac:dyDescent="0.45">
      <c r="A1320" s="6"/>
      <c r="B1320" s="7"/>
      <c r="C1320" s="6"/>
      <c r="D1320" s="6"/>
      <c r="E1320" s="6"/>
      <c r="F1320" s="6"/>
      <c r="G1320" s="6"/>
      <c r="H1320" s="6"/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</row>
    <row r="1321" spans="1:26" ht="16.8" x14ac:dyDescent="0.45">
      <c r="A1321" s="6"/>
      <c r="B1321" s="7"/>
      <c r="C1321" s="6"/>
      <c r="D1321" s="6"/>
      <c r="E1321" s="6"/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</row>
    <row r="1322" spans="1:26" ht="16.8" x14ac:dyDescent="0.45">
      <c r="A1322" s="6"/>
      <c r="B1322" s="7"/>
      <c r="C1322" s="6"/>
      <c r="D1322" s="6"/>
      <c r="E1322" s="6"/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</row>
    <row r="1323" spans="1:26" ht="16.8" x14ac:dyDescent="0.45">
      <c r="A1323" s="6"/>
      <c r="B1323" s="7"/>
      <c r="C1323" s="6"/>
      <c r="D1323" s="6"/>
      <c r="E1323" s="6"/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</row>
    <row r="1324" spans="1:26" ht="16.8" x14ac:dyDescent="0.45">
      <c r="A1324" s="6"/>
      <c r="B1324" s="7"/>
      <c r="C1324" s="6"/>
      <c r="D1324" s="6"/>
      <c r="E1324" s="6"/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</row>
    <row r="1325" spans="1:26" ht="16.8" x14ac:dyDescent="0.45">
      <c r="A1325" s="6"/>
      <c r="B1325" s="7"/>
      <c r="C1325" s="6"/>
      <c r="D1325" s="6"/>
      <c r="E1325" s="6"/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</row>
    <row r="1326" spans="1:26" ht="16.8" x14ac:dyDescent="0.45">
      <c r="A1326" s="6"/>
      <c r="B1326" s="7"/>
      <c r="C1326" s="6"/>
      <c r="D1326" s="6"/>
      <c r="E1326" s="6"/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</row>
    <row r="1327" spans="1:26" ht="16.8" x14ac:dyDescent="0.45">
      <c r="A1327" s="6"/>
      <c r="B1327" s="7"/>
      <c r="C1327" s="6"/>
      <c r="D1327" s="6"/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</row>
    <row r="1328" spans="1:26" ht="16.8" x14ac:dyDescent="0.45">
      <c r="A1328" s="6"/>
      <c r="B1328" s="7"/>
      <c r="C1328" s="6"/>
      <c r="D1328" s="6"/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</row>
    <row r="1329" spans="1:26" ht="16.8" x14ac:dyDescent="0.45">
      <c r="A1329" s="6"/>
      <c r="B1329" s="7"/>
      <c r="C1329" s="6"/>
      <c r="D1329" s="6"/>
      <c r="E1329" s="6"/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</row>
    <row r="1330" spans="1:26" ht="16.8" x14ac:dyDescent="0.45">
      <c r="A1330" s="6"/>
      <c r="B1330" s="7"/>
      <c r="C1330" s="6"/>
      <c r="D1330" s="6"/>
      <c r="E1330" s="6"/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</row>
    <row r="1331" spans="1:26" ht="16.8" x14ac:dyDescent="0.45">
      <c r="A1331" s="6"/>
      <c r="B1331" s="7"/>
      <c r="C1331" s="6"/>
      <c r="D1331" s="6"/>
      <c r="E1331" s="6"/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</row>
    <row r="1332" spans="1:26" ht="16.8" x14ac:dyDescent="0.45">
      <c r="A1332" s="6"/>
      <c r="B1332" s="7"/>
      <c r="C1332" s="6"/>
      <c r="D1332" s="6"/>
      <c r="E1332" s="6"/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</row>
    <row r="1333" spans="1:26" ht="16.8" x14ac:dyDescent="0.45">
      <c r="A1333" s="6"/>
      <c r="B1333" s="7"/>
      <c r="C1333" s="6"/>
      <c r="D1333" s="6"/>
      <c r="E1333" s="6"/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</row>
    <row r="1334" spans="1:26" ht="16.8" x14ac:dyDescent="0.45">
      <c r="A1334" s="6"/>
      <c r="B1334" s="7"/>
      <c r="C1334" s="6"/>
      <c r="D1334" s="6"/>
      <c r="E1334" s="6"/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</row>
    <row r="1335" spans="1:26" ht="16.8" x14ac:dyDescent="0.45">
      <c r="A1335" s="6"/>
      <c r="B1335" s="7"/>
      <c r="C1335" s="6"/>
      <c r="D1335" s="6"/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</row>
    <row r="1336" spans="1:26" ht="16.8" x14ac:dyDescent="0.45">
      <c r="A1336" s="6"/>
      <c r="B1336" s="7"/>
      <c r="C1336" s="6"/>
      <c r="D1336" s="6"/>
      <c r="E1336" s="6"/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</row>
    <row r="1337" spans="1:26" ht="16.8" x14ac:dyDescent="0.45">
      <c r="A1337" s="6"/>
      <c r="B1337" s="7"/>
      <c r="C1337" s="6"/>
      <c r="D1337" s="6"/>
      <c r="E1337" s="6"/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</row>
    <row r="1338" spans="1:26" ht="16.8" x14ac:dyDescent="0.45">
      <c r="A1338" s="6"/>
      <c r="B1338" s="7"/>
      <c r="C1338" s="6"/>
      <c r="D1338" s="6"/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</row>
    <row r="1339" spans="1:26" ht="16.8" x14ac:dyDescent="0.45">
      <c r="A1339" s="6"/>
      <c r="B1339" s="7"/>
      <c r="C1339" s="6"/>
      <c r="D1339" s="6"/>
      <c r="E1339" s="6"/>
      <c r="F1339" s="6"/>
      <c r="G1339" s="6"/>
      <c r="H1339" s="6"/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</row>
    <row r="1340" spans="1:26" ht="16.8" x14ac:dyDescent="0.45">
      <c r="A1340" s="6"/>
      <c r="B1340" s="7"/>
      <c r="C1340" s="6"/>
      <c r="D1340" s="6"/>
      <c r="E1340" s="6"/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</row>
    <row r="1341" spans="1:26" ht="16.8" x14ac:dyDescent="0.45">
      <c r="A1341" s="6"/>
      <c r="B1341" s="7"/>
      <c r="C1341" s="6"/>
      <c r="D1341" s="6"/>
      <c r="E1341" s="6"/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</row>
    <row r="1342" spans="1:26" ht="16.8" x14ac:dyDescent="0.45">
      <c r="A1342" s="6"/>
      <c r="B1342" s="7"/>
      <c r="C1342" s="6"/>
      <c r="D1342" s="6"/>
      <c r="E1342" s="6"/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</row>
    <row r="1343" spans="1:26" ht="16.8" x14ac:dyDescent="0.45">
      <c r="A1343" s="6"/>
      <c r="B1343" s="7"/>
      <c r="C1343" s="6"/>
      <c r="D1343" s="6"/>
      <c r="E1343" s="6"/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</row>
    <row r="1344" spans="1:26" ht="16.8" x14ac:dyDescent="0.45">
      <c r="A1344" s="6"/>
      <c r="B1344" s="7"/>
      <c r="C1344" s="6"/>
      <c r="D1344" s="6"/>
      <c r="E1344" s="6"/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</row>
    <row r="1345" spans="1:26" ht="16.8" x14ac:dyDescent="0.45">
      <c r="A1345" s="6"/>
      <c r="B1345" s="7"/>
      <c r="C1345" s="6"/>
      <c r="D1345" s="6"/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</row>
    <row r="1346" spans="1:26" ht="16.8" x14ac:dyDescent="0.45">
      <c r="A1346" s="6"/>
      <c r="B1346" s="7"/>
      <c r="C1346" s="6"/>
      <c r="D1346" s="6"/>
      <c r="E1346" s="6"/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</row>
    <row r="1347" spans="1:26" ht="16.8" x14ac:dyDescent="0.45">
      <c r="A1347" s="6"/>
      <c r="B1347" s="7"/>
      <c r="C1347" s="6"/>
      <c r="D1347" s="6"/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</row>
    <row r="1348" spans="1:26" ht="16.8" x14ac:dyDescent="0.45">
      <c r="A1348" s="6"/>
      <c r="B1348" s="7"/>
      <c r="C1348" s="6"/>
      <c r="D1348" s="6"/>
      <c r="E1348" s="6"/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</row>
    <row r="1349" spans="1:26" ht="16.8" x14ac:dyDescent="0.45">
      <c r="A1349" s="6"/>
      <c r="B1349" s="7"/>
      <c r="C1349" s="6"/>
      <c r="D1349" s="6"/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</row>
    <row r="1350" spans="1:26" ht="16.8" x14ac:dyDescent="0.45">
      <c r="A1350" s="6"/>
      <c r="B1350" s="7"/>
      <c r="C1350" s="6"/>
      <c r="D1350" s="6"/>
      <c r="E1350" s="6"/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</row>
    <row r="1351" spans="1:26" ht="16.8" x14ac:dyDescent="0.45">
      <c r="A1351" s="6"/>
      <c r="B1351" s="7"/>
      <c r="C1351" s="6"/>
      <c r="D1351" s="6"/>
      <c r="E1351" s="6"/>
      <c r="F1351" s="6"/>
      <c r="G1351" s="6"/>
      <c r="H1351" s="6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</row>
    <row r="1352" spans="1:26" ht="16.8" x14ac:dyDescent="0.45">
      <c r="A1352" s="6"/>
      <c r="B1352" s="7"/>
      <c r="C1352" s="6"/>
      <c r="D1352" s="6"/>
      <c r="E1352" s="6"/>
      <c r="F1352" s="6"/>
      <c r="G1352" s="6"/>
      <c r="H1352" s="6"/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</row>
    <row r="1353" spans="1:26" ht="16.8" x14ac:dyDescent="0.45">
      <c r="A1353" s="6"/>
      <c r="B1353" s="7"/>
      <c r="C1353" s="6"/>
      <c r="D1353" s="6"/>
      <c r="E1353" s="6"/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</row>
    <row r="1354" spans="1:26" ht="16.8" x14ac:dyDescent="0.45">
      <c r="A1354" s="6"/>
      <c r="B1354" s="7"/>
      <c r="C1354" s="6"/>
      <c r="D1354" s="6"/>
      <c r="E1354" s="6"/>
      <c r="F1354" s="6"/>
      <c r="G1354" s="6"/>
      <c r="H1354" s="6"/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</row>
    <row r="1355" spans="1:26" ht="16.8" x14ac:dyDescent="0.45">
      <c r="A1355" s="6"/>
      <c r="B1355" s="7"/>
      <c r="C1355" s="6"/>
      <c r="D1355" s="6"/>
      <c r="E1355" s="6"/>
      <c r="F1355" s="6"/>
      <c r="G1355" s="6"/>
      <c r="H1355" s="6"/>
      <c r="I1355" s="6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</row>
    <row r="1356" spans="1:26" ht="16.8" x14ac:dyDescent="0.45">
      <c r="A1356" s="6"/>
      <c r="B1356" s="7"/>
      <c r="C1356" s="6"/>
      <c r="D1356" s="6"/>
      <c r="E1356" s="6"/>
      <c r="F1356" s="6"/>
      <c r="G1356" s="6"/>
      <c r="H1356" s="6"/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</row>
    <row r="1357" spans="1:26" ht="16.8" x14ac:dyDescent="0.45">
      <c r="A1357" s="6"/>
      <c r="B1357" s="7"/>
      <c r="C1357" s="6"/>
      <c r="D1357" s="6"/>
      <c r="E1357" s="6"/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</row>
    <row r="1358" spans="1:26" ht="16.8" x14ac:dyDescent="0.45">
      <c r="A1358" s="6"/>
      <c r="B1358" s="7"/>
      <c r="C1358" s="6"/>
      <c r="D1358" s="6"/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</row>
    <row r="1359" spans="1:26" ht="16.8" x14ac:dyDescent="0.45">
      <c r="A1359" s="6"/>
      <c r="B1359" s="7"/>
      <c r="C1359" s="6"/>
      <c r="D1359" s="6"/>
      <c r="E1359" s="6"/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</row>
    <row r="1360" spans="1:26" ht="16.8" x14ac:dyDescent="0.45">
      <c r="A1360" s="6"/>
      <c r="B1360" s="7"/>
      <c r="C1360" s="6"/>
      <c r="D1360" s="6"/>
      <c r="E1360" s="6"/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</row>
    <row r="1361" spans="1:26" ht="16.8" x14ac:dyDescent="0.45">
      <c r="A1361" s="6"/>
      <c r="B1361" s="7"/>
      <c r="C1361" s="6"/>
      <c r="D1361" s="6"/>
      <c r="E1361" s="6"/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</row>
    <row r="1362" spans="1:26" ht="16.8" x14ac:dyDescent="0.45">
      <c r="A1362" s="6"/>
      <c r="B1362" s="7"/>
      <c r="C1362" s="6"/>
      <c r="D1362" s="6"/>
      <c r="E1362" s="6"/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</row>
    <row r="1363" spans="1:26" ht="16.8" x14ac:dyDescent="0.45">
      <c r="A1363" s="6"/>
      <c r="B1363" s="7"/>
      <c r="C1363" s="6"/>
      <c r="D1363" s="6"/>
      <c r="E1363" s="6"/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</row>
    <row r="1364" spans="1:26" ht="16.8" x14ac:dyDescent="0.45">
      <c r="A1364" s="6"/>
      <c r="B1364" s="7"/>
      <c r="C1364" s="6"/>
      <c r="D1364" s="6"/>
      <c r="E1364" s="6"/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</row>
    <row r="1365" spans="1:26" ht="16.8" x14ac:dyDescent="0.45">
      <c r="A1365" s="6"/>
      <c r="B1365" s="7"/>
      <c r="C1365" s="6"/>
      <c r="D1365" s="6"/>
      <c r="E1365" s="6"/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</row>
    <row r="1366" spans="1:26" ht="16.8" x14ac:dyDescent="0.45">
      <c r="A1366" s="6"/>
      <c r="B1366" s="7"/>
      <c r="C1366" s="6"/>
      <c r="D1366" s="6"/>
      <c r="E1366" s="6"/>
      <c r="F1366" s="6"/>
      <c r="G1366" s="6"/>
      <c r="H1366" s="6"/>
      <c r="I1366" s="6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</row>
    <row r="1367" spans="1:26" ht="16.8" x14ac:dyDescent="0.45">
      <c r="A1367" s="6"/>
      <c r="B1367" s="7"/>
      <c r="C1367" s="6"/>
      <c r="D1367" s="6"/>
      <c r="E1367" s="6"/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</row>
    <row r="1368" spans="1:26" ht="16.8" x14ac:dyDescent="0.45">
      <c r="A1368" s="6"/>
      <c r="B1368" s="7"/>
      <c r="C1368" s="6"/>
      <c r="D1368" s="6"/>
      <c r="E1368" s="6"/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</row>
    <row r="1369" spans="1:26" ht="16.8" x14ac:dyDescent="0.45">
      <c r="A1369" s="6"/>
      <c r="B1369" s="7"/>
      <c r="C1369" s="6"/>
      <c r="D1369" s="6"/>
      <c r="E1369" s="6"/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</row>
    <row r="1370" spans="1:26" ht="16.8" x14ac:dyDescent="0.45">
      <c r="A1370" s="6"/>
      <c r="B1370" s="7"/>
      <c r="C1370" s="6"/>
      <c r="D1370" s="6"/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</row>
    <row r="1371" spans="1:26" ht="16.8" x14ac:dyDescent="0.45">
      <c r="A1371" s="6"/>
      <c r="B1371" s="7"/>
      <c r="C1371" s="6"/>
      <c r="D1371" s="6"/>
      <c r="E1371" s="6"/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</row>
    <row r="1372" spans="1:26" ht="16.8" x14ac:dyDescent="0.45">
      <c r="A1372" s="6"/>
      <c r="B1372" s="7"/>
      <c r="C1372" s="6"/>
      <c r="D1372" s="6"/>
      <c r="E1372" s="6"/>
      <c r="F1372" s="6"/>
      <c r="G1372" s="6"/>
      <c r="H1372" s="6"/>
      <c r="I1372" s="6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</row>
    <row r="1373" spans="1:26" ht="16.8" x14ac:dyDescent="0.45">
      <c r="A1373" s="6"/>
      <c r="B1373" s="7"/>
      <c r="C1373" s="6"/>
      <c r="D1373" s="6"/>
      <c r="E1373" s="6"/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</row>
    <row r="1374" spans="1:26" ht="16.8" x14ac:dyDescent="0.45">
      <c r="A1374" s="6"/>
      <c r="B1374" s="7"/>
      <c r="C1374" s="6"/>
      <c r="D1374" s="6"/>
      <c r="E1374" s="6"/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</row>
    <row r="1375" spans="1:26" ht="16.8" x14ac:dyDescent="0.45">
      <c r="A1375" s="6"/>
      <c r="B1375" s="7"/>
      <c r="C1375" s="6"/>
      <c r="D1375" s="6"/>
      <c r="E1375" s="6"/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</row>
    <row r="1376" spans="1:26" ht="16.8" x14ac:dyDescent="0.45">
      <c r="A1376" s="6"/>
      <c r="B1376" s="7"/>
      <c r="C1376" s="6"/>
      <c r="D1376" s="6"/>
      <c r="E1376" s="6"/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</row>
    <row r="1377" spans="1:26" ht="16.8" x14ac:dyDescent="0.45">
      <c r="A1377" s="6"/>
      <c r="B1377" s="7"/>
      <c r="C1377" s="6"/>
      <c r="D1377" s="6"/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</row>
    <row r="1378" spans="1:26" ht="16.8" x14ac:dyDescent="0.45">
      <c r="A1378" s="6"/>
      <c r="B1378" s="7"/>
      <c r="C1378" s="6"/>
      <c r="D1378" s="6"/>
      <c r="E1378" s="6"/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</row>
    <row r="1379" spans="1:26" ht="16.8" x14ac:dyDescent="0.45">
      <c r="A1379" s="6"/>
      <c r="B1379" s="7"/>
      <c r="C1379" s="6"/>
      <c r="D1379" s="6"/>
      <c r="E1379" s="6"/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</row>
    <row r="1380" spans="1:26" ht="16.8" x14ac:dyDescent="0.45">
      <c r="A1380" s="6"/>
      <c r="B1380" s="7"/>
      <c r="C1380" s="6"/>
      <c r="D1380" s="6"/>
      <c r="E1380" s="6"/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</row>
    <row r="1381" spans="1:26" ht="16.8" x14ac:dyDescent="0.45">
      <c r="A1381" s="6"/>
      <c r="B1381" s="7"/>
      <c r="C1381" s="6"/>
      <c r="D1381" s="6"/>
      <c r="E1381" s="6"/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</row>
    <row r="1382" spans="1:26" ht="16.8" x14ac:dyDescent="0.45">
      <c r="A1382" s="6"/>
      <c r="B1382" s="7"/>
      <c r="C1382" s="6"/>
      <c r="D1382" s="6"/>
      <c r="E1382" s="6"/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</row>
    <row r="1383" spans="1:26" ht="16.8" x14ac:dyDescent="0.45">
      <c r="A1383" s="6"/>
      <c r="B1383" s="7"/>
      <c r="C1383" s="6"/>
      <c r="D1383" s="6"/>
      <c r="E1383" s="6"/>
      <c r="F1383" s="6"/>
      <c r="G1383" s="6"/>
      <c r="H1383" s="6"/>
      <c r="I1383" s="6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</row>
    <row r="1384" spans="1:26" ht="16.8" x14ac:dyDescent="0.45">
      <c r="A1384" s="6"/>
      <c r="B1384" s="7"/>
      <c r="C1384" s="6"/>
      <c r="D1384" s="6"/>
      <c r="E1384" s="6"/>
      <c r="F1384" s="6"/>
      <c r="G1384" s="6"/>
      <c r="H1384" s="6"/>
      <c r="I1384" s="6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</row>
    <row r="1385" spans="1:26" ht="16.8" x14ac:dyDescent="0.45">
      <c r="A1385" s="6"/>
      <c r="B1385" s="7"/>
      <c r="C1385" s="6"/>
      <c r="D1385" s="6"/>
      <c r="E1385" s="6"/>
      <c r="F1385" s="6"/>
      <c r="G1385" s="6"/>
      <c r="H1385" s="6"/>
      <c r="I1385" s="6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</row>
    <row r="1386" spans="1:26" ht="16.8" x14ac:dyDescent="0.45">
      <c r="A1386" s="6"/>
      <c r="B1386" s="7"/>
      <c r="C1386" s="6"/>
      <c r="D1386" s="6"/>
      <c r="E1386" s="6"/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</row>
    <row r="1387" spans="1:26" ht="16.8" x14ac:dyDescent="0.45">
      <c r="A1387" s="6"/>
      <c r="B1387" s="7"/>
      <c r="C1387" s="6"/>
      <c r="D1387" s="6"/>
      <c r="E1387" s="6"/>
      <c r="F1387" s="6"/>
      <c r="G1387" s="6"/>
      <c r="H1387" s="6"/>
      <c r="I1387" s="6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</row>
    <row r="1388" spans="1:26" ht="16.8" x14ac:dyDescent="0.45">
      <c r="A1388" s="6"/>
      <c r="B1388" s="7"/>
      <c r="C1388" s="6"/>
      <c r="D1388" s="6"/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</row>
    <row r="1389" spans="1:26" ht="16.8" x14ac:dyDescent="0.45">
      <c r="A1389" s="6"/>
      <c r="B1389" s="7"/>
      <c r="C1389" s="6"/>
      <c r="D1389" s="6"/>
      <c r="E1389" s="6"/>
      <c r="F1389" s="6"/>
      <c r="G1389" s="6"/>
      <c r="H1389" s="6"/>
      <c r="I1389" s="6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</row>
    <row r="1390" spans="1:26" ht="16.8" x14ac:dyDescent="0.45">
      <c r="A1390" s="6"/>
      <c r="B1390" s="7"/>
      <c r="C1390" s="6"/>
      <c r="D1390" s="6"/>
      <c r="E1390" s="6"/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</row>
    <row r="1391" spans="1:26" ht="16.8" x14ac:dyDescent="0.45">
      <c r="A1391" s="6"/>
      <c r="B1391" s="7"/>
      <c r="C1391" s="6"/>
      <c r="D1391" s="6"/>
      <c r="E1391" s="6"/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</row>
    <row r="1392" spans="1:26" ht="16.8" x14ac:dyDescent="0.45">
      <c r="A1392" s="6"/>
      <c r="B1392" s="7"/>
      <c r="C1392" s="6"/>
      <c r="D1392" s="6"/>
      <c r="E1392" s="6"/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</row>
    <row r="1393" spans="1:26" ht="16.8" x14ac:dyDescent="0.45">
      <c r="A1393" s="6"/>
      <c r="B1393" s="7"/>
      <c r="C1393" s="6"/>
      <c r="D1393" s="6"/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</row>
    <row r="1394" spans="1:26" ht="16.8" x14ac:dyDescent="0.45">
      <c r="A1394" s="6"/>
      <c r="B1394" s="7"/>
      <c r="C1394" s="6"/>
      <c r="D1394" s="6"/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</row>
    <row r="1395" spans="1:26" ht="16.8" x14ac:dyDescent="0.45">
      <c r="A1395" s="6"/>
      <c r="B1395" s="7"/>
      <c r="C1395" s="6"/>
      <c r="D1395" s="6"/>
      <c r="E1395" s="6"/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</row>
    <row r="1396" spans="1:26" ht="16.8" x14ac:dyDescent="0.45">
      <c r="A1396" s="6"/>
      <c r="B1396" s="7"/>
      <c r="C1396" s="6"/>
      <c r="D1396" s="6"/>
      <c r="E1396" s="6"/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</row>
    <row r="1397" spans="1:26" ht="16.8" x14ac:dyDescent="0.45">
      <c r="A1397" s="6"/>
      <c r="B1397" s="7"/>
      <c r="C1397" s="6"/>
      <c r="D1397" s="6"/>
      <c r="E1397" s="6"/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</row>
    <row r="1398" spans="1:26" ht="16.8" x14ac:dyDescent="0.45">
      <c r="A1398" s="6"/>
      <c r="B1398" s="7"/>
      <c r="C1398" s="6"/>
      <c r="D1398" s="6"/>
      <c r="E1398" s="6"/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</row>
    <row r="1399" spans="1:26" ht="16.8" x14ac:dyDescent="0.45">
      <c r="A1399" s="6"/>
      <c r="B1399" s="7"/>
      <c r="C1399" s="6"/>
      <c r="D1399" s="6"/>
      <c r="E1399" s="6"/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</row>
    <row r="1400" spans="1:26" ht="16.8" x14ac:dyDescent="0.45">
      <c r="A1400" s="6"/>
      <c r="B1400" s="7"/>
      <c r="C1400" s="6"/>
      <c r="D1400" s="6"/>
      <c r="E1400" s="6"/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</row>
    <row r="1401" spans="1:26" ht="16.8" x14ac:dyDescent="0.45">
      <c r="A1401" s="6"/>
      <c r="B1401" s="7"/>
      <c r="C1401" s="6"/>
      <c r="D1401" s="6"/>
      <c r="E1401" s="6"/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</row>
    <row r="1402" spans="1:26" ht="16.8" x14ac:dyDescent="0.45">
      <c r="A1402" s="6"/>
      <c r="B1402" s="7"/>
      <c r="C1402" s="6"/>
      <c r="D1402" s="6"/>
      <c r="E1402" s="6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</row>
    <row r="1403" spans="1:26" ht="16.8" x14ac:dyDescent="0.45">
      <c r="A1403" s="6"/>
      <c r="B1403" s="7"/>
      <c r="C1403" s="6"/>
      <c r="D1403" s="6"/>
      <c r="E1403" s="6"/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</row>
    <row r="1404" spans="1:26" ht="16.8" x14ac:dyDescent="0.45">
      <c r="A1404" s="6"/>
      <c r="B1404" s="7"/>
      <c r="C1404" s="6"/>
      <c r="D1404" s="6"/>
      <c r="E1404" s="6"/>
      <c r="F1404" s="6"/>
      <c r="G1404" s="6"/>
      <c r="H1404" s="6"/>
      <c r="I1404" s="6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</row>
    <row r="1405" spans="1:26" ht="16.8" x14ac:dyDescent="0.45">
      <c r="A1405" s="6"/>
      <c r="B1405" s="7"/>
      <c r="C1405" s="6"/>
      <c r="D1405" s="6"/>
      <c r="E1405" s="6"/>
      <c r="F1405" s="6"/>
      <c r="G1405" s="6"/>
      <c r="H1405" s="6"/>
      <c r="I1405" s="6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</row>
    <row r="1406" spans="1:26" ht="16.8" x14ac:dyDescent="0.45">
      <c r="A1406" s="6"/>
      <c r="B1406" s="7"/>
      <c r="C1406" s="6"/>
      <c r="D1406" s="6"/>
      <c r="E1406" s="6"/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</row>
    <row r="1407" spans="1:26" ht="16.8" x14ac:dyDescent="0.45">
      <c r="A1407" s="6"/>
      <c r="B1407" s="7"/>
      <c r="C1407" s="6"/>
      <c r="D1407" s="6"/>
      <c r="E1407" s="6"/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</row>
    <row r="1408" spans="1:26" ht="16.8" x14ac:dyDescent="0.45">
      <c r="A1408" s="6"/>
      <c r="B1408" s="7"/>
      <c r="C1408" s="6"/>
      <c r="D1408" s="6"/>
      <c r="E1408" s="6"/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</row>
    <row r="1409" spans="1:26" ht="16.8" x14ac:dyDescent="0.45">
      <c r="A1409" s="6"/>
      <c r="B1409" s="7"/>
      <c r="C1409" s="6"/>
      <c r="D1409" s="6"/>
      <c r="E1409" s="6"/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</row>
    <row r="1410" spans="1:26" ht="16.8" x14ac:dyDescent="0.45">
      <c r="A1410" s="6"/>
      <c r="B1410" s="7"/>
      <c r="C1410" s="6"/>
      <c r="D1410" s="6"/>
      <c r="E1410" s="6"/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</row>
    <row r="1411" spans="1:26" ht="16.8" x14ac:dyDescent="0.45">
      <c r="A1411" s="6"/>
      <c r="B1411" s="7"/>
      <c r="C1411" s="6"/>
      <c r="D1411" s="6"/>
      <c r="E1411" s="6"/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</row>
    <row r="1412" spans="1:26" ht="16.8" x14ac:dyDescent="0.45">
      <c r="A1412" s="6"/>
      <c r="B1412" s="7"/>
      <c r="C1412" s="6"/>
      <c r="D1412" s="6"/>
      <c r="E1412" s="6"/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</row>
    <row r="1413" spans="1:26" ht="16.8" x14ac:dyDescent="0.45">
      <c r="A1413" s="6"/>
      <c r="B1413" s="7"/>
      <c r="C1413" s="6"/>
      <c r="D1413" s="6"/>
      <c r="E1413" s="6"/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</row>
    <row r="1414" spans="1:26" ht="16.8" x14ac:dyDescent="0.45">
      <c r="A1414" s="6"/>
      <c r="B1414" s="7"/>
      <c r="C1414" s="6"/>
      <c r="D1414" s="6"/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</row>
    <row r="1415" spans="1:26" ht="16.8" x14ac:dyDescent="0.45">
      <c r="A1415" s="6"/>
      <c r="B1415" s="7"/>
      <c r="C1415" s="6"/>
      <c r="D1415" s="6"/>
      <c r="E1415" s="6"/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</row>
    <row r="1416" spans="1:26" ht="16.8" x14ac:dyDescent="0.45">
      <c r="A1416" s="6"/>
      <c r="B1416" s="7"/>
      <c r="C1416" s="6"/>
      <c r="D1416" s="6"/>
      <c r="E1416" s="6"/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</row>
    <row r="1417" spans="1:26" ht="16.8" x14ac:dyDescent="0.45">
      <c r="A1417" s="6"/>
      <c r="B1417" s="7"/>
      <c r="C1417" s="6"/>
      <c r="D1417" s="6"/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</row>
    <row r="1418" spans="1:26" ht="16.8" x14ac:dyDescent="0.45">
      <c r="A1418" s="6"/>
      <c r="B1418" s="7"/>
      <c r="C1418" s="6"/>
      <c r="D1418" s="6"/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</row>
    <row r="1419" spans="1:26" ht="16.8" x14ac:dyDescent="0.45">
      <c r="A1419" s="6"/>
      <c r="B1419" s="7"/>
      <c r="C1419" s="6"/>
      <c r="D1419" s="6"/>
      <c r="E1419" s="6"/>
      <c r="F1419" s="6"/>
      <c r="G1419" s="6"/>
      <c r="H1419" s="6"/>
      <c r="I1419" s="6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</row>
    <row r="1420" spans="1:26" ht="16.8" x14ac:dyDescent="0.45">
      <c r="A1420" s="6"/>
      <c r="B1420" s="7"/>
      <c r="C1420" s="6"/>
      <c r="D1420" s="6"/>
      <c r="E1420" s="6"/>
      <c r="F1420" s="6"/>
      <c r="G1420" s="6"/>
      <c r="H1420" s="6"/>
      <c r="I1420" s="6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</row>
    <row r="1421" spans="1:26" ht="16.8" x14ac:dyDescent="0.45">
      <c r="A1421" s="6"/>
      <c r="B1421" s="7"/>
      <c r="C1421" s="6"/>
      <c r="D1421" s="6"/>
      <c r="E1421" s="6"/>
      <c r="F1421" s="6"/>
      <c r="G1421" s="6"/>
      <c r="H1421" s="6"/>
      <c r="I1421" s="6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</row>
    <row r="1422" spans="1:26" ht="16.8" x14ac:dyDescent="0.45">
      <c r="A1422" s="6"/>
      <c r="B1422" s="7"/>
      <c r="C1422" s="6"/>
      <c r="D1422" s="6"/>
      <c r="E1422" s="6"/>
      <c r="F1422" s="6"/>
      <c r="G1422" s="6"/>
      <c r="H1422" s="6"/>
      <c r="I1422" s="6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</row>
    <row r="1423" spans="1:26" ht="16.8" x14ac:dyDescent="0.45">
      <c r="A1423" s="6"/>
      <c r="B1423" s="7"/>
      <c r="C1423" s="6"/>
      <c r="D1423" s="6"/>
      <c r="E1423" s="6"/>
      <c r="F1423" s="6"/>
      <c r="G1423" s="6"/>
      <c r="H1423" s="6"/>
      <c r="I1423" s="6"/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</row>
    <row r="1424" spans="1:26" ht="16.8" x14ac:dyDescent="0.45">
      <c r="A1424" s="6"/>
      <c r="B1424" s="7"/>
      <c r="C1424" s="6"/>
      <c r="D1424" s="6"/>
      <c r="E1424" s="6"/>
      <c r="F1424" s="6"/>
      <c r="G1424" s="6"/>
      <c r="H1424" s="6"/>
      <c r="I1424" s="6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</row>
    <row r="1425" spans="1:26" ht="16.8" x14ac:dyDescent="0.45">
      <c r="A1425" s="6"/>
      <c r="B1425" s="7"/>
      <c r="C1425" s="6"/>
      <c r="D1425" s="6"/>
      <c r="E1425" s="6"/>
      <c r="F1425" s="6"/>
      <c r="G1425" s="6"/>
      <c r="H1425" s="6"/>
      <c r="I1425" s="6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</row>
    <row r="1426" spans="1:26" ht="16.8" x14ac:dyDescent="0.45">
      <c r="A1426" s="6"/>
      <c r="B1426" s="7"/>
      <c r="C1426" s="6"/>
      <c r="D1426" s="6"/>
      <c r="E1426" s="6"/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</row>
    <row r="1427" spans="1:26" ht="16.8" x14ac:dyDescent="0.45">
      <c r="A1427" s="6"/>
      <c r="B1427" s="7"/>
      <c r="C1427" s="6"/>
      <c r="D1427" s="6"/>
      <c r="E1427" s="6"/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</row>
    <row r="1428" spans="1:26" ht="16.8" x14ac:dyDescent="0.45">
      <c r="A1428" s="6"/>
      <c r="B1428" s="7"/>
      <c r="C1428" s="6"/>
      <c r="D1428" s="6"/>
      <c r="E1428" s="6"/>
      <c r="F1428" s="6"/>
      <c r="G1428" s="6"/>
      <c r="H1428" s="6"/>
      <c r="I1428" s="6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</row>
    <row r="1429" spans="1:26" ht="16.8" x14ac:dyDescent="0.45">
      <c r="A1429" s="6"/>
      <c r="B1429" s="7"/>
      <c r="C1429" s="6"/>
      <c r="D1429" s="6"/>
      <c r="E1429" s="6"/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</row>
    <row r="1430" spans="1:26" ht="16.8" x14ac:dyDescent="0.45">
      <c r="A1430" s="6"/>
      <c r="B1430" s="7"/>
      <c r="C1430" s="6"/>
      <c r="D1430" s="6"/>
      <c r="E1430" s="6"/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</row>
    <row r="1431" spans="1:26" ht="16.8" x14ac:dyDescent="0.45">
      <c r="A1431" s="6"/>
      <c r="B1431" s="7"/>
      <c r="C1431" s="6"/>
      <c r="D1431" s="6"/>
      <c r="E1431" s="6"/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</row>
    <row r="1432" spans="1:26" ht="16.8" x14ac:dyDescent="0.45">
      <c r="A1432" s="6"/>
      <c r="B1432" s="7"/>
      <c r="C1432" s="6"/>
      <c r="D1432" s="6"/>
      <c r="E1432" s="6"/>
      <c r="F1432" s="6"/>
      <c r="G1432" s="6"/>
      <c r="H1432" s="6"/>
      <c r="I1432" s="6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</row>
    <row r="1433" spans="1:26" ht="16.8" x14ac:dyDescent="0.45">
      <c r="A1433" s="6"/>
      <c r="B1433" s="7"/>
      <c r="C1433" s="6"/>
      <c r="D1433" s="6"/>
      <c r="E1433" s="6"/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</row>
    <row r="1434" spans="1:26" ht="16.8" x14ac:dyDescent="0.45">
      <c r="A1434" s="6"/>
      <c r="B1434" s="7"/>
      <c r="C1434" s="6"/>
      <c r="D1434" s="6"/>
      <c r="E1434" s="6"/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</row>
    <row r="1435" spans="1:26" ht="16.8" x14ac:dyDescent="0.45">
      <c r="A1435" s="6"/>
      <c r="B1435" s="7"/>
      <c r="C1435" s="6"/>
      <c r="D1435" s="6"/>
      <c r="E1435" s="6"/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</row>
    <row r="1436" spans="1:26" ht="16.8" x14ac:dyDescent="0.45">
      <c r="A1436" s="6"/>
      <c r="B1436" s="7"/>
      <c r="C1436" s="6"/>
      <c r="D1436" s="6"/>
      <c r="E1436" s="6"/>
      <c r="F1436" s="6"/>
      <c r="G1436" s="6"/>
      <c r="H1436" s="6"/>
      <c r="I1436" s="6"/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</row>
    <row r="1437" spans="1:26" ht="16.8" x14ac:dyDescent="0.45">
      <c r="A1437" s="6"/>
      <c r="B1437" s="7"/>
      <c r="C1437" s="6"/>
      <c r="D1437" s="6"/>
      <c r="E1437" s="6"/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</row>
    <row r="1438" spans="1:26" ht="16.8" x14ac:dyDescent="0.45">
      <c r="A1438" s="6"/>
      <c r="B1438" s="7"/>
      <c r="C1438" s="6"/>
      <c r="D1438" s="6"/>
      <c r="E1438" s="6"/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</row>
    <row r="1439" spans="1:26" ht="16.8" x14ac:dyDescent="0.45">
      <c r="A1439" s="6"/>
      <c r="B1439" s="7"/>
      <c r="C1439" s="6"/>
      <c r="D1439" s="6"/>
      <c r="E1439" s="6"/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</row>
    <row r="1440" spans="1:26" ht="16.8" x14ac:dyDescent="0.45">
      <c r="A1440" s="6"/>
      <c r="B1440" s="7"/>
      <c r="C1440" s="6"/>
      <c r="D1440" s="6"/>
      <c r="E1440" s="6"/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</row>
    <row r="1441" spans="1:26" ht="16.8" x14ac:dyDescent="0.45">
      <c r="A1441" s="6"/>
      <c r="B1441" s="7"/>
      <c r="C1441" s="6"/>
      <c r="D1441" s="6"/>
      <c r="E1441" s="6"/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</row>
    <row r="1442" spans="1:26" ht="16.8" x14ac:dyDescent="0.45">
      <c r="A1442" s="6"/>
      <c r="B1442" s="7"/>
      <c r="C1442" s="6"/>
      <c r="D1442" s="6"/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</row>
    <row r="1443" spans="1:26" ht="16.8" x14ac:dyDescent="0.45">
      <c r="A1443" s="6"/>
      <c r="B1443" s="7"/>
      <c r="C1443" s="6"/>
      <c r="D1443" s="6"/>
      <c r="E1443" s="6"/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</row>
    <row r="1444" spans="1:26" ht="16.8" x14ac:dyDescent="0.45">
      <c r="A1444" s="6"/>
      <c r="B1444" s="7"/>
      <c r="C1444" s="6"/>
      <c r="D1444" s="6"/>
      <c r="E1444" s="6"/>
      <c r="F1444" s="6"/>
      <c r="G1444" s="6"/>
      <c r="H1444" s="6"/>
      <c r="I1444" s="6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</row>
    <row r="1445" spans="1:26" ht="16.8" x14ac:dyDescent="0.45">
      <c r="A1445" s="6"/>
      <c r="B1445" s="7"/>
      <c r="C1445" s="6"/>
      <c r="D1445" s="6"/>
      <c r="E1445" s="6"/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</row>
    <row r="1446" spans="1:26" ht="16.8" x14ac:dyDescent="0.45">
      <c r="A1446" s="6"/>
      <c r="B1446" s="7"/>
      <c r="C1446" s="6"/>
      <c r="D1446" s="6"/>
      <c r="E1446" s="6"/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</row>
    <row r="1447" spans="1:26" ht="16.8" x14ac:dyDescent="0.45">
      <c r="A1447" s="6"/>
      <c r="B1447" s="7"/>
      <c r="C1447" s="6"/>
      <c r="D1447" s="6"/>
      <c r="E1447" s="6"/>
      <c r="F1447" s="6"/>
      <c r="G1447" s="6"/>
      <c r="H1447" s="6"/>
      <c r="I1447" s="6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</row>
    <row r="1448" spans="1:26" ht="16.8" x14ac:dyDescent="0.45">
      <c r="A1448" s="6"/>
      <c r="B1448" s="7"/>
      <c r="C1448" s="6"/>
      <c r="D1448" s="6"/>
      <c r="E1448" s="6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</row>
    <row r="1449" spans="1:26" ht="16.8" x14ac:dyDescent="0.45">
      <c r="A1449" s="6"/>
      <c r="B1449" s="7"/>
      <c r="C1449" s="6"/>
      <c r="D1449" s="6"/>
      <c r="E1449" s="6"/>
      <c r="F1449" s="6"/>
      <c r="G1449" s="6"/>
      <c r="H1449" s="6"/>
      <c r="I1449" s="6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</row>
    <row r="1450" spans="1:26" ht="16.8" x14ac:dyDescent="0.45">
      <c r="A1450" s="6"/>
      <c r="B1450" s="7"/>
      <c r="C1450" s="6"/>
      <c r="D1450" s="6"/>
      <c r="E1450" s="6"/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</row>
    <row r="1451" spans="1:26" ht="16.8" x14ac:dyDescent="0.45">
      <c r="A1451" s="6"/>
      <c r="B1451" s="7"/>
      <c r="C1451" s="6"/>
      <c r="D1451" s="6"/>
      <c r="E1451" s="6"/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</row>
    <row r="1452" spans="1:26" ht="16.8" x14ac:dyDescent="0.45">
      <c r="A1452" s="6"/>
      <c r="B1452" s="7"/>
      <c r="C1452" s="6"/>
      <c r="D1452" s="6"/>
      <c r="E1452" s="6"/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</row>
    <row r="1453" spans="1:26" ht="16.8" x14ac:dyDescent="0.45">
      <c r="A1453" s="6"/>
      <c r="B1453" s="7"/>
      <c r="C1453" s="6"/>
      <c r="D1453" s="6"/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</row>
    <row r="1454" spans="1:26" ht="16.8" x14ac:dyDescent="0.45">
      <c r="A1454" s="6"/>
      <c r="B1454" s="7"/>
      <c r="C1454" s="6"/>
      <c r="D1454" s="6"/>
      <c r="E1454" s="6"/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</row>
    <row r="1455" spans="1:26" ht="16.8" x14ac:dyDescent="0.45">
      <c r="A1455" s="6"/>
      <c r="B1455" s="7"/>
      <c r="C1455" s="6"/>
      <c r="D1455" s="6"/>
      <c r="E1455" s="6"/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</row>
    <row r="1456" spans="1:26" ht="16.8" x14ac:dyDescent="0.45">
      <c r="A1456" s="6"/>
      <c r="B1456" s="7"/>
      <c r="C1456" s="6"/>
      <c r="D1456" s="6"/>
      <c r="E1456" s="6"/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</row>
    <row r="1457" spans="1:26" ht="16.8" x14ac:dyDescent="0.45">
      <c r="A1457" s="6"/>
      <c r="B1457" s="7"/>
      <c r="C1457" s="6"/>
      <c r="D1457" s="6"/>
      <c r="E1457" s="6"/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</row>
    <row r="1458" spans="1:26" ht="16.8" x14ac:dyDescent="0.45">
      <c r="A1458" s="6"/>
      <c r="B1458" s="7"/>
      <c r="C1458" s="6"/>
      <c r="D1458" s="6"/>
      <c r="E1458" s="6"/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</row>
    <row r="1459" spans="1:26" ht="16.8" x14ac:dyDescent="0.45">
      <c r="A1459" s="6"/>
      <c r="B1459" s="7"/>
      <c r="C1459" s="6"/>
      <c r="D1459" s="6"/>
      <c r="E1459" s="6"/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</row>
    <row r="1460" spans="1:26" ht="16.8" x14ac:dyDescent="0.45">
      <c r="A1460" s="6"/>
      <c r="B1460" s="7"/>
      <c r="C1460" s="6"/>
      <c r="D1460" s="6"/>
      <c r="E1460" s="6"/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</row>
    <row r="1461" spans="1:26" ht="16.8" x14ac:dyDescent="0.45">
      <c r="A1461" s="6"/>
      <c r="B1461" s="7"/>
      <c r="C1461" s="6"/>
      <c r="D1461" s="6"/>
      <c r="E1461" s="6"/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</row>
    <row r="1462" spans="1:26" ht="16.8" x14ac:dyDescent="0.45">
      <c r="A1462" s="6"/>
      <c r="B1462" s="7"/>
      <c r="C1462" s="6"/>
      <c r="D1462" s="6"/>
      <c r="E1462" s="6"/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</row>
    <row r="1463" spans="1:26" ht="16.8" x14ac:dyDescent="0.45">
      <c r="A1463" s="6"/>
      <c r="B1463" s="7"/>
      <c r="C1463" s="6"/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</row>
    <row r="1464" spans="1:26" ht="16.8" x14ac:dyDescent="0.45">
      <c r="A1464" s="6"/>
      <c r="B1464" s="7"/>
      <c r="C1464" s="6"/>
      <c r="D1464" s="6"/>
      <c r="E1464" s="6"/>
      <c r="F1464" s="6"/>
      <c r="G1464" s="6"/>
      <c r="H1464" s="6"/>
      <c r="I1464" s="6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</row>
    <row r="1465" spans="1:26" ht="16.8" x14ac:dyDescent="0.45">
      <c r="A1465" s="6"/>
      <c r="B1465" s="7"/>
      <c r="C1465" s="6"/>
      <c r="D1465" s="6"/>
      <c r="E1465" s="6"/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</row>
    <row r="1466" spans="1:26" ht="16.8" x14ac:dyDescent="0.45">
      <c r="A1466" s="6"/>
      <c r="B1466" s="7"/>
      <c r="C1466" s="6"/>
      <c r="D1466" s="6"/>
      <c r="E1466" s="6"/>
      <c r="F1466" s="6"/>
      <c r="G1466" s="6"/>
      <c r="H1466" s="6"/>
      <c r="I1466" s="6"/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</row>
    <row r="1467" spans="1:26" ht="16.8" x14ac:dyDescent="0.45">
      <c r="A1467" s="6"/>
      <c r="B1467" s="7"/>
      <c r="C1467" s="6"/>
      <c r="D1467" s="6"/>
      <c r="E1467" s="6"/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</row>
    <row r="1468" spans="1:26" ht="16.8" x14ac:dyDescent="0.45">
      <c r="A1468" s="6"/>
      <c r="B1468" s="7"/>
      <c r="C1468" s="6"/>
      <c r="D1468" s="6"/>
      <c r="E1468" s="6"/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</row>
    <row r="1469" spans="1:26" ht="16.8" x14ac:dyDescent="0.45">
      <c r="A1469" s="6"/>
      <c r="B1469" s="7"/>
      <c r="C1469" s="6"/>
      <c r="D1469" s="6"/>
      <c r="E1469" s="6"/>
      <c r="F1469" s="6"/>
      <c r="G1469" s="6"/>
      <c r="H1469" s="6"/>
      <c r="I1469" s="6"/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</row>
    <row r="1470" spans="1:26" ht="16.8" x14ac:dyDescent="0.45">
      <c r="A1470" s="6"/>
      <c r="B1470" s="7"/>
      <c r="C1470" s="6"/>
      <c r="D1470" s="6"/>
      <c r="E1470" s="6"/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</row>
    <row r="1471" spans="1:26" ht="16.8" x14ac:dyDescent="0.45">
      <c r="A1471" s="6"/>
      <c r="B1471" s="7"/>
      <c r="C1471" s="6"/>
      <c r="D1471" s="6"/>
      <c r="E1471" s="6"/>
      <c r="F1471" s="6"/>
      <c r="G1471" s="6"/>
      <c r="H1471" s="6"/>
      <c r="I1471" s="6"/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</row>
    <row r="1472" spans="1:26" ht="16.8" x14ac:dyDescent="0.45">
      <c r="A1472" s="6"/>
      <c r="B1472" s="7"/>
      <c r="C1472" s="6"/>
      <c r="D1472" s="6"/>
      <c r="E1472" s="6"/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</row>
    <row r="1473" spans="1:26" ht="16.8" x14ac:dyDescent="0.45">
      <c r="A1473" s="6"/>
      <c r="B1473" s="7"/>
      <c r="C1473" s="6"/>
      <c r="D1473" s="6"/>
      <c r="E1473" s="6"/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</row>
    <row r="1474" spans="1:26" ht="16.8" x14ac:dyDescent="0.45">
      <c r="A1474" s="6"/>
      <c r="B1474" s="7"/>
      <c r="C1474" s="6"/>
      <c r="D1474" s="6"/>
      <c r="E1474" s="6"/>
      <c r="F1474" s="6"/>
      <c r="G1474" s="6"/>
      <c r="H1474" s="6"/>
      <c r="I1474" s="6"/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</row>
    <row r="1475" spans="1:26" ht="16.8" x14ac:dyDescent="0.45">
      <c r="A1475" s="6"/>
      <c r="B1475" s="7"/>
      <c r="C1475" s="6"/>
      <c r="D1475" s="6"/>
      <c r="E1475" s="6"/>
      <c r="F1475" s="6"/>
      <c r="G1475" s="6"/>
      <c r="H1475" s="6"/>
      <c r="I1475" s="6"/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</row>
    <row r="1476" spans="1:26" ht="16.8" x14ac:dyDescent="0.45">
      <c r="A1476" s="6"/>
      <c r="B1476" s="7"/>
      <c r="C1476" s="6"/>
      <c r="D1476" s="6"/>
      <c r="E1476" s="6"/>
      <c r="F1476" s="6"/>
      <c r="G1476" s="6"/>
      <c r="H1476" s="6"/>
      <c r="I1476" s="6"/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</row>
    <row r="1477" spans="1:26" ht="16.8" x14ac:dyDescent="0.45">
      <c r="A1477" s="6"/>
      <c r="B1477" s="7"/>
      <c r="C1477" s="6"/>
      <c r="D1477" s="6"/>
      <c r="E1477" s="6"/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</row>
    <row r="1478" spans="1:26" ht="16.8" x14ac:dyDescent="0.45">
      <c r="A1478" s="6"/>
      <c r="B1478" s="7"/>
      <c r="C1478" s="6"/>
      <c r="D1478" s="6"/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</row>
    <row r="1479" spans="1:26" ht="16.8" x14ac:dyDescent="0.45">
      <c r="A1479" s="6"/>
      <c r="B1479" s="7"/>
      <c r="C1479" s="6"/>
      <c r="D1479" s="6"/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</row>
    <row r="1480" spans="1:26" ht="16.8" x14ac:dyDescent="0.45">
      <c r="A1480" s="6"/>
      <c r="B1480" s="7"/>
      <c r="C1480" s="6"/>
      <c r="D1480" s="6"/>
      <c r="E1480" s="6"/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</row>
    <row r="1481" spans="1:26" ht="16.8" x14ac:dyDescent="0.45">
      <c r="A1481" s="6"/>
      <c r="B1481" s="7"/>
      <c r="C1481" s="6"/>
      <c r="D1481" s="6"/>
      <c r="E1481" s="6"/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</row>
    <row r="1482" spans="1:26" ht="16.8" x14ac:dyDescent="0.45">
      <c r="A1482" s="6"/>
      <c r="B1482" s="7"/>
      <c r="C1482" s="6"/>
      <c r="D1482" s="6"/>
      <c r="E1482" s="6"/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</row>
    <row r="1483" spans="1:26" ht="16.8" x14ac:dyDescent="0.45">
      <c r="A1483" s="6"/>
      <c r="B1483" s="7"/>
      <c r="C1483" s="6"/>
      <c r="D1483" s="6"/>
      <c r="E1483" s="6"/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</row>
    <row r="1484" spans="1:26" ht="16.8" x14ac:dyDescent="0.45">
      <c r="A1484" s="6"/>
      <c r="B1484" s="7"/>
      <c r="C1484" s="6"/>
      <c r="D1484" s="6"/>
      <c r="E1484" s="6"/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</row>
    <row r="1485" spans="1:26" ht="16.8" x14ac:dyDescent="0.45">
      <c r="A1485" s="6"/>
      <c r="B1485" s="7"/>
      <c r="C1485" s="6"/>
      <c r="D1485" s="6"/>
      <c r="E1485" s="6"/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</row>
    <row r="1486" spans="1:26" ht="16.8" x14ac:dyDescent="0.45">
      <c r="A1486" s="6"/>
      <c r="B1486" s="7"/>
      <c r="C1486" s="6"/>
      <c r="D1486" s="6"/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</row>
    <row r="1487" spans="1:26" ht="16.8" x14ac:dyDescent="0.45">
      <c r="A1487" s="6"/>
      <c r="B1487" s="7"/>
      <c r="C1487" s="6"/>
      <c r="D1487" s="6"/>
      <c r="E1487" s="6"/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</row>
    <row r="1488" spans="1:26" ht="16.8" x14ac:dyDescent="0.45">
      <c r="A1488" s="6"/>
      <c r="B1488" s="7"/>
      <c r="C1488" s="6"/>
      <c r="D1488" s="6"/>
      <c r="E1488" s="6"/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</row>
    <row r="1489" spans="1:26" ht="16.8" x14ac:dyDescent="0.45">
      <c r="A1489" s="6"/>
      <c r="B1489" s="7"/>
      <c r="C1489" s="6"/>
      <c r="D1489" s="6"/>
      <c r="E1489" s="6"/>
      <c r="F1489" s="6"/>
      <c r="G1489" s="6"/>
      <c r="H1489" s="6"/>
      <c r="I1489" s="6"/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</row>
    <row r="1490" spans="1:26" ht="16.8" x14ac:dyDescent="0.45">
      <c r="A1490" s="6"/>
      <c r="B1490" s="7"/>
      <c r="C1490" s="6"/>
      <c r="D1490" s="6"/>
      <c r="E1490" s="6"/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</row>
    <row r="1491" spans="1:26" ht="16.8" x14ac:dyDescent="0.45">
      <c r="A1491" s="6"/>
      <c r="B1491" s="7"/>
      <c r="C1491" s="6"/>
      <c r="D1491" s="6"/>
      <c r="E1491" s="6"/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</row>
    <row r="1492" spans="1:26" ht="16.8" x14ac:dyDescent="0.45">
      <c r="A1492" s="6"/>
      <c r="B1492" s="7"/>
      <c r="C1492" s="6"/>
      <c r="D1492" s="6"/>
      <c r="E1492" s="6"/>
      <c r="F1492" s="6"/>
      <c r="G1492" s="6"/>
      <c r="H1492" s="6"/>
      <c r="I1492" s="6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</row>
    <row r="1493" spans="1:26" ht="16.8" x14ac:dyDescent="0.45">
      <c r="A1493" s="6"/>
      <c r="B1493" s="7"/>
      <c r="C1493" s="6"/>
      <c r="D1493" s="6"/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</row>
    <row r="1494" spans="1:26" ht="16.8" x14ac:dyDescent="0.45">
      <c r="A1494" s="6"/>
      <c r="B1494" s="7"/>
      <c r="C1494" s="6"/>
      <c r="D1494" s="6"/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</row>
    <row r="1495" spans="1:26" ht="16.8" x14ac:dyDescent="0.45">
      <c r="A1495" s="6"/>
      <c r="B1495" s="7"/>
      <c r="C1495" s="6"/>
      <c r="D1495" s="6"/>
      <c r="E1495" s="6"/>
      <c r="F1495" s="6"/>
      <c r="G1495" s="6"/>
      <c r="H1495" s="6"/>
      <c r="I1495" s="6"/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</row>
    <row r="1496" spans="1:26" ht="16.8" x14ac:dyDescent="0.45">
      <c r="A1496" s="6"/>
      <c r="B1496" s="7"/>
      <c r="C1496" s="6"/>
      <c r="D1496" s="6"/>
      <c r="E1496" s="6"/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</row>
    <row r="1497" spans="1:26" ht="16.8" x14ac:dyDescent="0.45">
      <c r="A1497" s="6"/>
      <c r="B1497" s="7"/>
      <c r="C1497" s="6"/>
      <c r="D1497" s="6"/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</row>
    <row r="1498" spans="1:26" ht="16.8" x14ac:dyDescent="0.45">
      <c r="A1498" s="6"/>
      <c r="B1498" s="7"/>
      <c r="C1498" s="6"/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 spans="1:26" ht="16.8" x14ac:dyDescent="0.45">
      <c r="A1499" s="6"/>
      <c r="B1499" s="7"/>
      <c r="C1499" s="6"/>
      <c r="D1499" s="6"/>
      <c r="E1499" s="6"/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</row>
    <row r="1500" spans="1:26" ht="16.8" x14ac:dyDescent="0.45">
      <c r="A1500" s="6"/>
      <c r="B1500" s="7"/>
      <c r="C1500" s="6"/>
      <c r="D1500" s="6"/>
      <c r="E1500" s="6"/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</row>
    <row r="1501" spans="1:26" ht="16.8" x14ac:dyDescent="0.45">
      <c r="A1501" s="6"/>
      <c r="B1501" s="7"/>
      <c r="C1501" s="6"/>
      <c r="D1501" s="6"/>
      <c r="E1501" s="6"/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</row>
    <row r="1502" spans="1:26" ht="16.8" x14ac:dyDescent="0.45">
      <c r="A1502" s="6"/>
      <c r="B1502" s="7"/>
      <c r="C1502" s="6"/>
      <c r="D1502" s="6"/>
      <c r="E1502" s="6"/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</row>
    <row r="1503" spans="1:26" ht="16.8" x14ac:dyDescent="0.45">
      <c r="A1503" s="6"/>
      <c r="B1503" s="7"/>
      <c r="C1503" s="6"/>
      <c r="D1503" s="6"/>
      <c r="E1503" s="6"/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</row>
    <row r="1504" spans="1:26" ht="16.8" x14ac:dyDescent="0.45">
      <c r="A1504" s="6"/>
      <c r="B1504" s="7"/>
      <c r="C1504" s="6"/>
      <c r="D1504" s="6"/>
      <c r="E1504" s="6"/>
      <c r="F1504" s="6"/>
      <c r="G1504" s="6"/>
      <c r="H1504" s="6"/>
      <c r="I1504" s="6"/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</row>
    <row r="1505" spans="1:26" ht="16.8" x14ac:dyDescent="0.45">
      <c r="A1505" s="6"/>
      <c r="B1505" s="7"/>
      <c r="C1505" s="6"/>
      <c r="D1505" s="6"/>
      <c r="E1505" s="6"/>
      <c r="F1505" s="6"/>
      <c r="G1505" s="6"/>
      <c r="H1505" s="6"/>
      <c r="I1505" s="6"/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</row>
    <row r="1506" spans="1:26" ht="16.8" x14ac:dyDescent="0.45">
      <c r="A1506" s="6"/>
      <c r="B1506" s="7"/>
      <c r="C1506" s="6"/>
      <c r="D1506" s="6"/>
      <c r="E1506" s="6"/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</row>
    <row r="1507" spans="1:26" ht="16.8" x14ac:dyDescent="0.45">
      <c r="A1507" s="6"/>
      <c r="B1507" s="7"/>
      <c r="C1507" s="6"/>
      <c r="D1507" s="6"/>
      <c r="E1507" s="6"/>
      <c r="F1507" s="6"/>
      <c r="G1507" s="6"/>
      <c r="H1507" s="6"/>
      <c r="I1507" s="6"/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</row>
    <row r="1508" spans="1:26" ht="16.8" x14ac:dyDescent="0.45">
      <c r="A1508" s="6"/>
      <c r="B1508" s="7"/>
      <c r="C1508" s="6"/>
      <c r="D1508" s="6"/>
      <c r="E1508" s="6"/>
      <c r="F1508" s="6"/>
      <c r="G1508" s="6"/>
      <c r="H1508" s="6"/>
      <c r="I1508" s="6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</row>
    <row r="1509" spans="1:26" ht="16.8" x14ac:dyDescent="0.45">
      <c r="A1509" s="6"/>
      <c r="B1509" s="7"/>
      <c r="C1509" s="6"/>
      <c r="D1509" s="6"/>
      <c r="E1509" s="6"/>
      <c r="F1509" s="6"/>
      <c r="G1509" s="6"/>
      <c r="H1509" s="6"/>
      <c r="I1509" s="6"/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</row>
    <row r="1510" spans="1:26" ht="16.8" x14ac:dyDescent="0.45">
      <c r="A1510" s="6"/>
      <c r="B1510" s="7"/>
      <c r="C1510" s="6"/>
      <c r="D1510" s="6"/>
      <c r="E1510" s="6"/>
      <c r="F1510" s="6"/>
      <c r="G1510" s="6"/>
      <c r="H1510" s="6"/>
      <c r="I1510" s="6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</row>
    <row r="1511" spans="1:26" ht="16.8" x14ac:dyDescent="0.45">
      <c r="A1511" s="6"/>
      <c r="B1511" s="7"/>
      <c r="C1511" s="6"/>
      <c r="D1511" s="6"/>
      <c r="E1511" s="6"/>
      <c r="F1511" s="6"/>
      <c r="G1511" s="6"/>
      <c r="H1511" s="6"/>
      <c r="I1511" s="6"/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</row>
    <row r="1512" spans="1:26" ht="16.8" x14ac:dyDescent="0.45">
      <c r="A1512" s="6"/>
      <c r="B1512" s="7"/>
      <c r="C1512" s="6"/>
      <c r="D1512" s="6"/>
      <c r="E1512" s="6"/>
      <c r="F1512" s="6"/>
      <c r="G1512" s="6"/>
      <c r="H1512" s="6"/>
      <c r="I1512" s="6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</row>
    <row r="1513" spans="1:26" ht="16.8" x14ac:dyDescent="0.45">
      <c r="A1513" s="6"/>
      <c r="B1513" s="7"/>
      <c r="C1513" s="6"/>
      <c r="D1513" s="6"/>
      <c r="E1513" s="6"/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</row>
    <row r="1514" spans="1:26" ht="16.8" x14ac:dyDescent="0.45">
      <c r="A1514" s="6"/>
      <c r="B1514" s="7"/>
      <c r="C1514" s="6"/>
      <c r="D1514" s="6"/>
      <c r="E1514" s="6"/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</row>
    <row r="1515" spans="1:26" ht="16.8" x14ac:dyDescent="0.45">
      <c r="A1515" s="6"/>
      <c r="B1515" s="7"/>
      <c r="C1515" s="6"/>
      <c r="D1515" s="6"/>
      <c r="E1515" s="6"/>
      <c r="F1515" s="6"/>
      <c r="G1515" s="6"/>
      <c r="H1515" s="6"/>
      <c r="I1515" s="6"/>
      <c r="J1515" s="6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</row>
    <row r="1516" spans="1:26" ht="16.8" x14ac:dyDescent="0.45">
      <c r="A1516" s="6"/>
      <c r="B1516" s="7"/>
      <c r="C1516" s="6"/>
      <c r="D1516" s="6"/>
      <c r="E1516" s="6"/>
      <c r="F1516" s="6"/>
      <c r="G1516" s="6"/>
      <c r="H1516" s="6"/>
      <c r="I1516" s="6"/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</row>
    <row r="1517" spans="1:26" ht="16.8" x14ac:dyDescent="0.45">
      <c r="A1517" s="6"/>
      <c r="B1517" s="7"/>
      <c r="C1517" s="6"/>
      <c r="D1517" s="6"/>
      <c r="E1517" s="6"/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</row>
    <row r="1518" spans="1:26" ht="16.8" x14ac:dyDescent="0.45">
      <c r="A1518" s="6"/>
      <c r="B1518" s="7"/>
      <c r="C1518" s="6"/>
      <c r="D1518" s="6"/>
      <c r="E1518" s="6"/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</row>
    <row r="1519" spans="1:26" ht="16.8" x14ac:dyDescent="0.45">
      <c r="A1519" s="6"/>
      <c r="B1519" s="7"/>
      <c r="C1519" s="6"/>
      <c r="D1519" s="6"/>
      <c r="E1519" s="6"/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</row>
    <row r="1520" spans="1:26" ht="16.8" x14ac:dyDescent="0.45">
      <c r="A1520" s="6"/>
      <c r="B1520" s="7"/>
      <c r="C1520" s="6"/>
      <c r="D1520" s="6"/>
      <c r="E1520" s="6"/>
      <c r="F1520" s="6"/>
      <c r="G1520" s="6"/>
      <c r="H1520" s="6"/>
      <c r="I1520" s="6"/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</row>
    <row r="1521" spans="1:26" ht="16.8" x14ac:dyDescent="0.45">
      <c r="A1521" s="6"/>
      <c r="B1521" s="7"/>
      <c r="C1521" s="6"/>
      <c r="D1521" s="6"/>
      <c r="E1521" s="6"/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</row>
    <row r="1522" spans="1:26" ht="16.8" x14ac:dyDescent="0.45">
      <c r="A1522" s="6"/>
      <c r="B1522" s="7"/>
      <c r="C1522" s="6"/>
      <c r="D1522" s="6"/>
      <c r="E1522" s="6"/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</row>
    <row r="1523" spans="1:26" ht="16.8" x14ac:dyDescent="0.45">
      <c r="A1523" s="6"/>
      <c r="B1523" s="7"/>
      <c r="C1523" s="6"/>
      <c r="D1523" s="6"/>
      <c r="E1523" s="6"/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</row>
    <row r="1524" spans="1:26" ht="16.8" x14ac:dyDescent="0.45">
      <c r="A1524" s="6"/>
      <c r="B1524" s="7"/>
      <c r="C1524" s="6"/>
      <c r="D1524" s="6"/>
      <c r="E1524" s="6"/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</row>
    <row r="1525" spans="1:26" ht="16.8" x14ac:dyDescent="0.45">
      <c r="A1525" s="6"/>
      <c r="B1525" s="7"/>
      <c r="C1525" s="6"/>
      <c r="D1525" s="6"/>
      <c r="E1525" s="6"/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</row>
    <row r="1526" spans="1:26" ht="16.8" x14ac:dyDescent="0.45">
      <c r="A1526" s="6"/>
      <c r="B1526" s="7"/>
      <c r="C1526" s="6"/>
      <c r="D1526" s="6"/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</row>
    <row r="1527" spans="1:26" ht="16.8" x14ac:dyDescent="0.45">
      <c r="A1527" s="6"/>
      <c r="B1527" s="7"/>
      <c r="C1527" s="6"/>
      <c r="D1527" s="6"/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</row>
    <row r="1528" spans="1:26" ht="16.8" x14ac:dyDescent="0.45">
      <c r="A1528" s="6"/>
      <c r="B1528" s="7"/>
      <c r="C1528" s="6"/>
      <c r="D1528" s="6"/>
      <c r="E1528" s="6"/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</row>
    <row r="1529" spans="1:26" ht="16.8" x14ac:dyDescent="0.45">
      <c r="A1529" s="6"/>
      <c r="B1529" s="7"/>
      <c r="C1529" s="6"/>
      <c r="D1529" s="6"/>
      <c r="E1529" s="6"/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</row>
    <row r="1530" spans="1:26" ht="16.8" x14ac:dyDescent="0.45">
      <c r="A1530" s="6"/>
      <c r="B1530" s="7"/>
      <c r="C1530" s="6"/>
      <c r="D1530" s="6"/>
      <c r="E1530" s="6"/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</row>
    <row r="1531" spans="1:26" ht="16.8" x14ac:dyDescent="0.45">
      <c r="A1531" s="6"/>
      <c r="B1531" s="7"/>
      <c r="C1531" s="6"/>
      <c r="D1531" s="6"/>
      <c r="E1531" s="6"/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</row>
    <row r="1532" spans="1:26" ht="16.8" x14ac:dyDescent="0.45">
      <c r="A1532" s="6"/>
      <c r="B1532" s="7"/>
      <c r="C1532" s="6"/>
      <c r="D1532" s="6"/>
      <c r="E1532" s="6"/>
      <c r="F1532" s="6"/>
      <c r="G1532" s="6"/>
      <c r="H1532" s="6"/>
      <c r="I1532" s="6"/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</row>
    <row r="1533" spans="1:26" ht="16.8" x14ac:dyDescent="0.45">
      <c r="A1533" s="6"/>
      <c r="B1533" s="7"/>
      <c r="C1533" s="6"/>
      <c r="D1533" s="6"/>
      <c r="E1533" s="6"/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</row>
    <row r="1534" spans="1:26" ht="16.8" x14ac:dyDescent="0.45">
      <c r="A1534" s="6"/>
      <c r="B1534" s="7"/>
      <c r="C1534" s="6"/>
      <c r="D1534" s="6"/>
      <c r="E1534" s="6"/>
      <c r="F1534" s="6"/>
      <c r="G1534" s="6"/>
      <c r="H1534" s="6"/>
      <c r="I1534" s="6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</row>
    <row r="1535" spans="1:26" ht="16.8" x14ac:dyDescent="0.45">
      <c r="A1535" s="6"/>
      <c r="B1535" s="7"/>
      <c r="C1535" s="6"/>
      <c r="D1535" s="6"/>
      <c r="E1535" s="6"/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</row>
    <row r="1536" spans="1:26" ht="16.8" x14ac:dyDescent="0.45">
      <c r="A1536" s="6"/>
      <c r="B1536" s="7"/>
      <c r="C1536" s="6"/>
      <c r="D1536" s="6"/>
      <c r="E1536" s="6"/>
      <c r="F1536" s="6"/>
      <c r="G1536" s="6"/>
      <c r="H1536" s="6"/>
      <c r="I1536" s="6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</row>
    <row r="1537" spans="1:26" ht="16.8" x14ac:dyDescent="0.45">
      <c r="A1537" s="6"/>
      <c r="B1537" s="7"/>
      <c r="C1537" s="6"/>
      <c r="D1537" s="6"/>
      <c r="E1537" s="6"/>
      <c r="F1537" s="6"/>
      <c r="G1537" s="6"/>
      <c r="H1537" s="6"/>
      <c r="I1537" s="6"/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</row>
    <row r="1538" spans="1:26" ht="16.8" x14ac:dyDescent="0.45">
      <c r="A1538" s="6"/>
      <c r="B1538" s="7"/>
      <c r="C1538" s="6"/>
      <c r="D1538" s="6"/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</row>
    <row r="1539" spans="1:26" ht="16.8" x14ac:dyDescent="0.45">
      <c r="A1539" s="6"/>
      <c r="B1539" s="7"/>
      <c r="C1539" s="6"/>
      <c r="D1539" s="6"/>
      <c r="E1539" s="6"/>
      <c r="F1539" s="6"/>
      <c r="G1539" s="6"/>
      <c r="H1539" s="6"/>
      <c r="I1539" s="6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</row>
    <row r="1540" spans="1:26" ht="16.8" x14ac:dyDescent="0.45">
      <c r="A1540" s="6"/>
      <c r="B1540" s="7"/>
      <c r="C1540" s="6"/>
      <c r="D1540" s="6"/>
      <c r="E1540" s="6"/>
      <c r="F1540" s="6"/>
      <c r="G1540" s="6"/>
      <c r="H1540" s="6"/>
      <c r="I1540" s="6"/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</row>
    <row r="1541" spans="1:26" ht="16.8" x14ac:dyDescent="0.45">
      <c r="A1541" s="6"/>
      <c r="B1541" s="7"/>
      <c r="C1541" s="6"/>
      <c r="D1541" s="6"/>
      <c r="E1541" s="6"/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</row>
    <row r="1542" spans="1:26" ht="16.8" x14ac:dyDescent="0.45">
      <c r="A1542" s="6"/>
      <c r="B1542" s="7"/>
      <c r="C1542" s="6"/>
      <c r="D1542" s="6"/>
      <c r="E1542" s="6"/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</row>
    <row r="1543" spans="1:26" ht="16.8" x14ac:dyDescent="0.45">
      <c r="A1543" s="6"/>
      <c r="B1543" s="7"/>
      <c r="C1543" s="6"/>
      <c r="D1543" s="6"/>
      <c r="E1543" s="6"/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</row>
    <row r="1544" spans="1:26" ht="16.8" x14ac:dyDescent="0.45">
      <c r="A1544" s="6"/>
      <c r="B1544" s="7"/>
      <c r="C1544" s="6"/>
      <c r="D1544" s="6"/>
      <c r="E1544" s="6"/>
      <c r="F1544" s="6"/>
      <c r="G1544" s="6"/>
      <c r="H1544" s="6"/>
      <c r="I1544" s="6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</row>
    <row r="1545" spans="1:26" ht="16.8" x14ac:dyDescent="0.45">
      <c r="A1545" s="6"/>
      <c r="B1545" s="7"/>
      <c r="C1545" s="6"/>
      <c r="D1545" s="6"/>
      <c r="E1545" s="6"/>
      <c r="F1545" s="6"/>
      <c r="G1545" s="6"/>
      <c r="H1545" s="6"/>
      <c r="I1545" s="6"/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</row>
    <row r="1546" spans="1:26" ht="16.8" x14ac:dyDescent="0.45">
      <c r="A1546" s="6"/>
      <c r="B1546" s="7"/>
      <c r="C1546" s="6"/>
      <c r="D1546" s="6"/>
      <c r="E1546" s="6"/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</row>
    <row r="1547" spans="1:26" ht="16.8" x14ac:dyDescent="0.45">
      <c r="A1547" s="6"/>
      <c r="B1547" s="7"/>
      <c r="C1547" s="6"/>
      <c r="D1547" s="6"/>
      <c r="E1547" s="6"/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</row>
    <row r="1548" spans="1:26" ht="16.8" x14ac:dyDescent="0.45">
      <c r="A1548" s="6"/>
      <c r="B1548" s="7"/>
      <c r="C1548" s="6"/>
      <c r="D1548" s="6"/>
      <c r="E1548" s="6"/>
      <c r="F1548" s="6"/>
      <c r="G1548" s="6"/>
      <c r="H1548" s="6"/>
      <c r="I1548" s="6"/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</row>
    <row r="1549" spans="1:26" ht="16.8" x14ac:dyDescent="0.45">
      <c r="A1549" s="6"/>
      <c r="B1549" s="7"/>
      <c r="C1549" s="6"/>
      <c r="D1549" s="6"/>
      <c r="E1549" s="6"/>
      <c r="F1549" s="6"/>
      <c r="G1549" s="6"/>
      <c r="H1549" s="6"/>
      <c r="I1549" s="6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</row>
    <row r="1550" spans="1:26" ht="16.8" x14ac:dyDescent="0.45">
      <c r="A1550" s="6"/>
      <c r="B1550" s="7"/>
      <c r="C1550" s="6"/>
      <c r="D1550" s="6"/>
      <c r="E1550" s="6"/>
      <c r="F1550" s="6"/>
      <c r="G1550" s="6"/>
      <c r="H1550" s="6"/>
      <c r="I1550" s="6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</row>
    <row r="1551" spans="1:26" ht="16.8" x14ac:dyDescent="0.45">
      <c r="A1551" s="6"/>
      <c r="B1551" s="7"/>
      <c r="C1551" s="6"/>
      <c r="D1551" s="6"/>
      <c r="E1551" s="6"/>
      <c r="F1551" s="6"/>
      <c r="G1551" s="6"/>
      <c r="H1551" s="6"/>
      <c r="I1551" s="6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</row>
    <row r="1552" spans="1:26" ht="16.8" x14ac:dyDescent="0.45">
      <c r="A1552" s="6"/>
      <c r="B1552" s="7"/>
      <c r="C1552" s="6"/>
      <c r="D1552" s="6"/>
      <c r="E1552" s="6"/>
      <c r="F1552" s="6"/>
      <c r="G1552" s="6"/>
      <c r="H1552" s="6"/>
      <c r="I1552" s="6"/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</row>
    <row r="1553" spans="1:26" ht="16.8" x14ac:dyDescent="0.45">
      <c r="A1553" s="6"/>
      <c r="B1553" s="7"/>
      <c r="C1553" s="6"/>
      <c r="D1553" s="6"/>
      <c r="E1553" s="6"/>
      <c r="F1553" s="6"/>
      <c r="G1553" s="6"/>
      <c r="H1553" s="6"/>
      <c r="I1553" s="6"/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</row>
    <row r="1554" spans="1:26" ht="16.8" x14ac:dyDescent="0.45">
      <c r="A1554" s="6"/>
      <c r="B1554" s="7"/>
      <c r="C1554" s="6"/>
      <c r="D1554" s="6"/>
      <c r="E1554" s="6"/>
      <c r="F1554" s="6"/>
      <c r="G1554" s="6"/>
      <c r="H1554" s="6"/>
      <c r="I1554" s="6"/>
      <c r="J1554" s="6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</row>
    <row r="1555" spans="1:26" ht="16.8" x14ac:dyDescent="0.45">
      <c r="A1555" s="6"/>
      <c r="B1555" s="7"/>
      <c r="C1555" s="6"/>
      <c r="D1555" s="6"/>
      <c r="E1555" s="6"/>
      <c r="F1555" s="6"/>
      <c r="G1555" s="6"/>
      <c r="H1555" s="6"/>
      <c r="I1555" s="6"/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</row>
    <row r="1556" spans="1:26" ht="16.8" x14ac:dyDescent="0.45">
      <c r="A1556" s="6"/>
      <c r="B1556" s="7"/>
      <c r="C1556" s="6"/>
      <c r="D1556" s="6"/>
      <c r="E1556" s="6"/>
      <c r="F1556" s="6"/>
      <c r="G1556" s="6"/>
      <c r="H1556" s="6"/>
      <c r="I1556" s="6"/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</row>
    <row r="1557" spans="1:26" ht="16.8" x14ac:dyDescent="0.45">
      <c r="A1557" s="6"/>
      <c r="B1557" s="7"/>
      <c r="C1557" s="6"/>
      <c r="D1557" s="6"/>
      <c r="E1557" s="6"/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</row>
    <row r="1558" spans="1:26" ht="16.8" x14ac:dyDescent="0.45">
      <c r="A1558" s="6"/>
      <c r="B1558" s="7"/>
      <c r="C1558" s="6"/>
      <c r="D1558" s="6"/>
      <c r="E1558" s="6"/>
      <c r="F1558" s="6"/>
      <c r="G1558" s="6"/>
      <c r="H1558" s="6"/>
      <c r="I1558" s="6"/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</row>
    <row r="1559" spans="1:26" ht="16.8" x14ac:dyDescent="0.45">
      <c r="A1559" s="6"/>
      <c r="B1559" s="7"/>
      <c r="C1559" s="6"/>
      <c r="D1559" s="6"/>
      <c r="E1559" s="6"/>
      <c r="F1559" s="6"/>
      <c r="G1559" s="6"/>
      <c r="H1559" s="6"/>
      <c r="I1559" s="6"/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</row>
    <row r="1560" spans="1:26" ht="16.8" x14ac:dyDescent="0.45">
      <c r="A1560" s="6"/>
      <c r="B1560" s="7"/>
      <c r="C1560" s="6"/>
      <c r="D1560" s="6"/>
      <c r="E1560" s="6"/>
      <c r="F1560" s="6"/>
      <c r="G1560" s="6"/>
      <c r="H1560" s="6"/>
      <c r="I1560" s="6"/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</row>
    <row r="1561" spans="1:26" ht="16.8" x14ac:dyDescent="0.45">
      <c r="A1561" s="6"/>
      <c r="B1561" s="7"/>
      <c r="C1561" s="6"/>
      <c r="D1561" s="6"/>
      <c r="E1561" s="6"/>
      <c r="F1561" s="6"/>
      <c r="G1561" s="6"/>
      <c r="H1561" s="6"/>
      <c r="I1561" s="6"/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</row>
    <row r="1562" spans="1:26" ht="16.8" x14ac:dyDescent="0.45">
      <c r="A1562" s="6"/>
      <c r="B1562" s="7"/>
      <c r="C1562" s="6"/>
      <c r="D1562" s="6"/>
      <c r="E1562" s="6"/>
      <c r="F1562" s="6"/>
      <c r="G1562" s="6"/>
      <c r="H1562" s="6"/>
      <c r="I1562" s="6"/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</row>
    <row r="1563" spans="1:26" ht="16.8" x14ac:dyDescent="0.45">
      <c r="A1563" s="6"/>
      <c r="B1563" s="7"/>
      <c r="C1563" s="6"/>
      <c r="D1563" s="6"/>
      <c r="E1563" s="6"/>
      <c r="F1563" s="6"/>
      <c r="G1563" s="6"/>
      <c r="H1563" s="6"/>
      <c r="I1563" s="6"/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</row>
    <row r="1564" spans="1:26" ht="16.8" x14ac:dyDescent="0.45">
      <c r="A1564" s="6"/>
      <c r="B1564" s="7"/>
      <c r="C1564" s="6"/>
      <c r="D1564" s="6"/>
      <c r="E1564" s="6"/>
      <c r="F1564" s="6"/>
      <c r="G1564" s="6"/>
      <c r="H1564" s="6"/>
      <c r="I1564" s="6"/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</row>
    <row r="1565" spans="1:26" ht="16.8" x14ac:dyDescent="0.45">
      <c r="A1565" s="6"/>
      <c r="B1565" s="7"/>
      <c r="C1565" s="6"/>
      <c r="D1565" s="6"/>
      <c r="E1565" s="6"/>
      <c r="F1565" s="6"/>
      <c r="G1565" s="6"/>
      <c r="H1565" s="6"/>
      <c r="I1565" s="6"/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</row>
    <row r="1566" spans="1:26" ht="16.8" x14ac:dyDescent="0.45">
      <c r="A1566" s="6"/>
      <c r="B1566" s="7"/>
      <c r="C1566" s="6"/>
      <c r="D1566" s="6"/>
      <c r="E1566" s="6"/>
      <c r="F1566" s="6"/>
      <c r="G1566" s="6"/>
      <c r="H1566" s="6"/>
      <c r="I1566" s="6"/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</row>
    <row r="1567" spans="1:26" ht="16.8" x14ac:dyDescent="0.45">
      <c r="A1567" s="6"/>
      <c r="B1567" s="7"/>
      <c r="C1567" s="6"/>
      <c r="D1567" s="6"/>
      <c r="E1567" s="6"/>
      <c r="F1567" s="6"/>
      <c r="G1567" s="6"/>
      <c r="H1567" s="6"/>
      <c r="I1567" s="6"/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</row>
    <row r="1568" spans="1:26" ht="16.8" x14ac:dyDescent="0.45">
      <c r="A1568" s="6"/>
      <c r="B1568" s="7"/>
      <c r="C1568" s="6"/>
      <c r="D1568" s="6"/>
      <c r="E1568" s="6"/>
      <c r="F1568" s="6"/>
      <c r="G1568" s="6"/>
      <c r="H1568" s="6"/>
      <c r="I1568" s="6"/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</row>
    <row r="1569" spans="1:26" ht="16.8" x14ac:dyDescent="0.45">
      <c r="A1569" s="6"/>
      <c r="B1569" s="7"/>
      <c r="C1569" s="6"/>
      <c r="D1569" s="6"/>
      <c r="E1569" s="6"/>
      <c r="F1569" s="6"/>
      <c r="G1569" s="6"/>
      <c r="H1569" s="6"/>
      <c r="I1569" s="6"/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</row>
    <row r="1570" spans="1:26" ht="16.8" x14ac:dyDescent="0.45">
      <c r="A1570" s="6"/>
      <c r="B1570" s="7"/>
      <c r="C1570" s="6"/>
      <c r="D1570" s="6"/>
      <c r="E1570" s="6"/>
      <c r="F1570" s="6"/>
      <c r="G1570" s="6"/>
      <c r="H1570" s="6"/>
      <c r="I1570" s="6"/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</row>
    <row r="1571" spans="1:26" ht="16.8" x14ac:dyDescent="0.45">
      <c r="A1571" s="6"/>
      <c r="B1571" s="7"/>
      <c r="C1571" s="6"/>
      <c r="D1571" s="6"/>
      <c r="E1571" s="6"/>
      <c r="F1571" s="6"/>
      <c r="G1571" s="6"/>
      <c r="H1571" s="6"/>
      <c r="I1571" s="6"/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</row>
    <row r="1572" spans="1:26" ht="16.8" x14ac:dyDescent="0.45">
      <c r="A1572" s="6"/>
      <c r="B1572" s="7"/>
      <c r="C1572" s="6"/>
      <c r="D1572" s="6"/>
      <c r="E1572" s="6"/>
      <c r="F1572" s="6"/>
      <c r="G1572" s="6"/>
      <c r="H1572" s="6"/>
      <c r="I1572" s="6"/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</row>
    <row r="1573" spans="1:26" ht="16.8" x14ac:dyDescent="0.45">
      <c r="A1573" s="6"/>
      <c r="B1573" s="7"/>
      <c r="C1573" s="6"/>
      <c r="D1573" s="6"/>
      <c r="E1573" s="6"/>
      <c r="F1573" s="6"/>
      <c r="G1573" s="6"/>
      <c r="H1573" s="6"/>
      <c r="I1573" s="6"/>
      <c r="J1573" s="6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</row>
    <row r="1574" spans="1:26" ht="16.8" x14ac:dyDescent="0.45">
      <c r="A1574" s="6"/>
      <c r="B1574" s="7"/>
      <c r="C1574" s="6"/>
      <c r="D1574" s="6"/>
      <c r="E1574" s="6"/>
      <c r="F1574" s="6"/>
      <c r="G1574" s="6"/>
      <c r="H1574" s="6"/>
      <c r="I1574" s="6"/>
      <c r="J1574" s="6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</row>
    <row r="1575" spans="1:26" ht="16.8" x14ac:dyDescent="0.45">
      <c r="A1575" s="6"/>
      <c r="B1575" s="7"/>
      <c r="C1575" s="6"/>
      <c r="D1575" s="6"/>
      <c r="E1575" s="6"/>
      <c r="F1575" s="6"/>
      <c r="G1575" s="6"/>
      <c r="H1575" s="6"/>
      <c r="I1575" s="6"/>
      <c r="J1575" s="6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</row>
    <row r="1576" spans="1:26" ht="16.8" x14ac:dyDescent="0.45">
      <c r="A1576" s="6"/>
      <c r="B1576" s="7"/>
      <c r="C1576" s="6"/>
      <c r="D1576" s="6"/>
      <c r="E1576" s="6"/>
      <c r="F1576" s="6"/>
      <c r="G1576" s="6"/>
      <c r="H1576" s="6"/>
      <c r="I1576" s="6"/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</row>
    <row r="1577" spans="1:26" ht="16.8" x14ac:dyDescent="0.45">
      <c r="A1577" s="6"/>
      <c r="B1577" s="7"/>
      <c r="C1577" s="6"/>
      <c r="D1577" s="6"/>
      <c r="E1577" s="6"/>
      <c r="F1577" s="6"/>
      <c r="G1577" s="6"/>
      <c r="H1577" s="6"/>
      <c r="I1577" s="6"/>
      <c r="J1577" s="6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</row>
    <row r="1578" spans="1:26" ht="16.8" x14ac:dyDescent="0.45">
      <c r="A1578" s="6"/>
      <c r="B1578" s="7"/>
      <c r="C1578" s="6"/>
      <c r="D1578" s="6"/>
      <c r="E1578" s="6"/>
      <c r="F1578" s="6"/>
      <c r="G1578" s="6"/>
      <c r="H1578" s="6"/>
      <c r="I1578" s="6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</row>
    <row r="1579" spans="1:26" ht="16.8" x14ac:dyDescent="0.45">
      <c r="A1579" s="6"/>
      <c r="B1579" s="7"/>
      <c r="C1579" s="6"/>
      <c r="D1579" s="6"/>
      <c r="E1579" s="6"/>
      <c r="F1579" s="6"/>
      <c r="G1579" s="6"/>
      <c r="H1579" s="6"/>
      <c r="I1579" s="6"/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</row>
    <row r="1580" spans="1:26" ht="16.8" x14ac:dyDescent="0.45">
      <c r="A1580" s="6"/>
      <c r="B1580" s="7"/>
      <c r="C1580" s="6"/>
      <c r="D1580" s="6"/>
      <c r="E1580" s="6"/>
      <c r="F1580" s="6"/>
      <c r="G1580" s="6"/>
      <c r="H1580" s="6"/>
      <c r="I1580" s="6"/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</row>
    <row r="1581" spans="1:26" ht="16.8" x14ac:dyDescent="0.45">
      <c r="A1581" s="6"/>
      <c r="B1581" s="7"/>
      <c r="C1581" s="6"/>
      <c r="D1581" s="6"/>
      <c r="E1581" s="6"/>
      <c r="F1581" s="6"/>
      <c r="G1581" s="6"/>
      <c r="H1581" s="6"/>
      <c r="I1581" s="6"/>
      <c r="J1581" s="6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</row>
    <row r="1582" spans="1:26" ht="16.8" x14ac:dyDescent="0.45">
      <c r="A1582" s="6"/>
      <c r="B1582" s="7"/>
      <c r="C1582" s="6"/>
      <c r="D1582" s="6"/>
      <c r="E1582" s="6"/>
      <c r="F1582" s="6"/>
      <c r="G1582" s="6"/>
      <c r="H1582" s="6"/>
      <c r="I1582" s="6"/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</row>
    <row r="1583" spans="1:26" ht="16.8" x14ac:dyDescent="0.45">
      <c r="A1583" s="6"/>
      <c r="B1583" s="7"/>
      <c r="C1583" s="6"/>
      <c r="D1583" s="6"/>
      <c r="E1583" s="6"/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</row>
    <row r="1584" spans="1:26" ht="16.8" x14ac:dyDescent="0.45">
      <c r="A1584" s="6"/>
      <c r="B1584" s="7"/>
      <c r="C1584" s="6"/>
      <c r="D1584" s="6"/>
      <c r="E1584" s="6"/>
      <c r="F1584" s="6"/>
      <c r="G1584" s="6"/>
      <c r="H1584" s="6"/>
      <c r="I1584" s="6"/>
      <c r="J1584" s="6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</row>
    <row r="1585" spans="1:26" ht="16.8" x14ac:dyDescent="0.45">
      <c r="A1585" s="6"/>
      <c r="B1585" s="7"/>
      <c r="C1585" s="6"/>
      <c r="D1585" s="6"/>
      <c r="E1585" s="6"/>
      <c r="F1585" s="6"/>
      <c r="G1585" s="6"/>
      <c r="H1585" s="6"/>
      <c r="I1585" s="6"/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</row>
    <row r="1586" spans="1:26" ht="16.8" x14ac:dyDescent="0.45">
      <c r="A1586" s="6"/>
      <c r="B1586" s="7"/>
      <c r="C1586" s="6"/>
      <c r="D1586" s="6"/>
      <c r="E1586" s="6"/>
      <c r="F1586" s="6"/>
      <c r="G1586" s="6"/>
      <c r="H1586" s="6"/>
      <c r="I1586" s="6"/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</row>
    <row r="1587" spans="1:26" ht="16.8" x14ac:dyDescent="0.45">
      <c r="A1587" s="6"/>
      <c r="B1587" s="7"/>
      <c r="C1587" s="6"/>
      <c r="D1587" s="6"/>
      <c r="E1587" s="6"/>
      <c r="F1587" s="6"/>
      <c r="G1587" s="6"/>
      <c r="H1587" s="6"/>
      <c r="I1587" s="6"/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</row>
    <row r="1588" spans="1:26" ht="16.8" x14ac:dyDescent="0.45">
      <c r="A1588" s="6"/>
      <c r="B1588" s="7"/>
      <c r="C1588" s="6"/>
      <c r="D1588" s="6"/>
      <c r="E1588" s="6"/>
      <c r="F1588" s="6"/>
      <c r="G1588" s="6"/>
      <c r="H1588" s="6"/>
      <c r="I1588" s="6"/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</row>
    <row r="1589" spans="1:26" ht="16.8" x14ac:dyDescent="0.45">
      <c r="A1589" s="6"/>
      <c r="B1589" s="7"/>
      <c r="C1589" s="6"/>
      <c r="D1589" s="6"/>
      <c r="E1589" s="6"/>
      <c r="F1589" s="6"/>
      <c r="G1589" s="6"/>
      <c r="H1589" s="6"/>
      <c r="I1589" s="6"/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</row>
    <row r="1590" spans="1:26" ht="16.8" x14ac:dyDescent="0.45">
      <c r="A1590" s="6"/>
      <c r="B1590" s="7"/>
      <c r="C1590" s="6"/>
      <c r="D1590" s="6"/>
      <c r="E1590" s="6"/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</row>
    <row r="1591" spans="1:26" ht="16.8" x14ac:dyDescent="0.45">
      <c r="A1591" s="6"/>
      <c r="B1591" s="7"/>
      <c r="C1591" s="6"/>
      <c r="D1591" s="6"/>
      <c r="E1591" s="6"/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</row>
    <row r="1592" spans="1:26" ht="16.8" x14ac:dyDescent="0.45">
      <c r="A1592" s="6"/>
      <c r="B1592" s="7"/>
      <c r="C1592" s="6"/>
      <c r="D1592" s="6"/>
      <c r="E1592" s="6"/>
      <c r="F1592" s="6"/>
      <c r="G1592" s="6"/>
      <c r="H1592" s="6"/>
      <c r="I1592" s="6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</row>
    <row r="1593" spans="1:26" ht="16.8" x14ac:dyDescent="0.45">
      <c r="A1593" s="6"/>
      <c r="B1593" s="7"/>
      <c r="C1593" s="6"/>
      <c r="D1593" s="6"/>
      <c r="E1593" s="6"/>
      <c r="F1593" s="6"/>
      <c r="G1593" s="6"/>
      <c r="H1593" s="6"/>
      <c r="I1593" s="6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</row>
    <row r="1594" spans="1:26" ht="16.8" x14ac:dyDescent="0.45">
      <c r="A1594" s="6"/>
      <c r="B1594" s="7"/>
      <c r="C1594" s="6"/>
      <c r="D1594" s="6"/>
      <c r="E1594" s="6"/>
      <c r="F1594" s="6"/>
      <c r="G1594" s="6"/>
      <c r="H1594" s="6"/>
      <c r="I1594" s="6"/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</row>
    <row r="1595" spans="1:26" ht="16.8" x14ac:dyDescent="0.45">
      <c r="A1595" s="6"/>
      <c r="B1595" s="7"/>
      <c r="C1595" s="6"/>
      <c r="D1595" s="6"/>
      <c r="E1595" s="6"/>
      <c r="F1595" s="6"/>
      <c r="G1595" s="6"/>
      <c r="H1595" s="6"/>
      <c r="I1595" s="6"/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</row>
    <row r="1596" spans="1:26" ht="16.8" x14ac:dyDescent="0.45">
      <c r="A1596" s="6"/>
      <c r="B1596" s="7"/>
      <c r="C1596" s="6"/>
      <c r="D1596" s="6"/>
      <c r="E1596" s="6"/>
      <c r="F1596" s="6"/>
      <c r="G1596" s="6"/>
      <c r="H1596" s="6"/>
      <c r="I1596" s="6"/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</row>
    <row r="1597" spans="1:26" ht="16.8" x14ac:dyDescent="0.45">
      <c r="A1597" s="6"/>
      <c r="B1597" s="7"/>
      <c r="C1597" s="6"/>
      <c r="D1597" s="6"/>
      <c r="E1597" s="6"/>
      <c r="F1597" s="6"/>
      <c r="G1597" s="6"/>
      <c r="H1597" s="6"/>
      <c r="I1597" s="6"/>
      <c r="J1597" s="6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</row>
    <row r="1598" spans="1:26" ht="16.8" x14ac:dyDescent="0.45">
      <c r="A1598" s="6"/>
      <c r="B1598" s="7"/>
      <c r="C1598" s="6"/>
      <c r="D1598" s="6"/>
      <c r="E1598" s="6"/>
      <c r="F1598" s="6"/>
      <c r="G1598" s="6"/>
      <c r="H1598" s="6"/>
      <c r="I1598" s="6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</row>
    <row r="1599" spans="1:26" ht="16.8" x14ac:dyDescent="0.45">
      <c r="A1599" s="6"/>
      <c r="B1599" s="7"/>
      <c r="C1599" s="6"/>
      <c r="D1599" s="6"/>
      <c r="E1599" s="6"/>
      <c r="F1599" s="6"/>
      <c r="G1599" s="6"/>
      <c r="H1599" s="6"/>
      <c r="I1599" s="6"/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</row>
    <row r="1600" spans="1:26" ht="16.8" x14ac:dyDescent="0.45">
      <c r="A1600" s="6"/>
      <c r="B1600" s="7"/>
      <c r="C1600" s="6"/>
      <c r="D1600" s="6"/>
      <c r="E1600" s="6"/>
      <c r="F1600" s="6"/>
      <c r="G1600" s="6"/>
      <c r="H1600" s="6"/>
      <c r="I1600" s="6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</row>
    <row r="1601" spans="1:26" ht="16.8" x14ac:dyDescent="0.45">
      <c r="A1601" s="6"/>
      <c r="B1601" s="7"/>
      <c r="C1601" s="6"/>
      <c r="D1601" s="6"/>
      <c r="E1601" s="6"/>
      <c r="F1601" s="6"/>
      <c r="G1601" s="6"/>
      <c r="H1601" s="6"/>
      <c r="I1601" s="6"/>
      <c r="J1601" s="6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</row>
    <row r="1602" spans="1:26" ht="16.8" x14ac:dyDescent="0.45">
      <c r="A1602" s="6"/>
      <c r="B1602" s="7"/>
      <c r="C1602" s="6"/>
      <c r="D1602" s="6"/>
      <c r="E1602" s="6"/>
      <c r="F1602" s="6"/>
      <c r="G1602" s="6"/>
      <c r="H1602" s="6"/>
      <c r="I1602" s="6"/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</row>
    <row r="1603" spans="1:26" ht="16.8" x14ac:dyDescent="0.45">
      <c r="A1603" s="6"/>
      <c r="B1603" s="7"/>
      <c r="C1603" s="6"/>
      <c r="D1603" s="6"/>
      <c r="E1603" s="6"/>
      <c r="F1603" s="6"/>
      <c r="G1603" s="6"/>
      <c r="H1603" s="6"/>
      <c r="I1603" s="6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</row>
    <row r="1604" spans="1:26" ht="16.8" x14ac:dyDescent="0.45">
      <c r="A1604" s="6"/>
      <c r="B1604" s="7"/>
      <c r="C1604" s="6"/>
      <c r="D1604" s="6"/>
      <c r="E1604" s="6"/>
      <c r="F1604" s="6"/>
      <c r="G1604" s="6"/>
      <c r="H1604" s="6"/>
      <c r="I1604" s="6"/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</row>
    <row r="1605" spans="1:26" ht="16.8" x14ac:dyDescent="0.45">
      <c r="A1605" s="6"/>
      <c r="B1605" s="7"/>
      <c r="C1605" s="6"/>
      <c r="D1605" s="6"/>
      <c r="E1605" s="6"/>
      <c r="F1605" s="6"/>
      <c r="G1605" s="6"/>
      <c r="H1605" s="6"/>
      <c r="I1605" s="6"/>
      <c r="J1605" s="6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</row>
    <row r="1606" spans="1:26" ht="16.8" x14ac:dyDescent="0.45">
      <c r="A1606" s="6"/>
      <c r="B1606" s="7"/>
      <c r="C1606" s="6"/>
      <c r="D1606" s="6"/>
      <c r="E1606" s="6"/>
      <c r="F1606" s="6"/>
      <c r="G1606" s="6"/>
      <c r="H1606" s="6"/>
      <c r="I1606" s="6"/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</row>
    <row r="1607" spans="1:26" ht="16.8" x14ac:dyDescent="0.45">
      <c r="A1607" s="6"/>
      <c r="B1607" s="7"/>
      <c r="C1607" s="6"/>
      <c r="D1607" s="6"/>
      <c r="E1607" s="6"/>
      <c r="F1607" s="6"/>
      <c r="G1607" s="6"/>
      <c r="H1607" s="6"/>
      <c r="I1607" s="6"/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</row>
    <row r="1608" spans="1:26" ht="16.8" x14ac:dyDescent="0.45">
      <c r="A1608" s="6"/>
      <c r="B1608" s="7"/>
      <c r="C1608" s="6"/>
      <c r="D1608" s="6"/>
      <c r="E1608" s="6"/>
      <c r="F1608" s="6"/>
      <c r="G1608" s="6"/>
      <c r="H1608" s="6"/>
      <c r="I1608" s="6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</row>
    <row r="1609" spans="1:26" ht="16.8" x14ac:dyDescent="0.45">
      <c r="A1609" s="6"/>
      <c r="B1609" s="7"/>
      <c r="C1609" s="6"/>
      <c r="D1609" s="6"/>
      <c r="E1609" s="6"/>
      <c r="F1609" s="6"/>
      <c r="G1609" s="6"/>
      <c r="H1609" s="6"/>
      <c r="I1609" s="6"/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</row>
    <row r="1610" spans="1:26" ht="16.8" x14ac:dyDescent="0.45">
      <c r="A1610" s="6"/>
      <c r="B1610" s="7"/>
      <c r="C1610" s="6"/>
      <c r="D1610" s="6"/>
      <c r="E1610" s="6"/>
      <c r="F1610" s="6"/>
      <c r="G1610" s="6"/>
      <c r="H1610" s="6"/>
      <c r="I1610" s="6"/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</row>
    <row r="1611" spans="1:26" ht="16.8" x14ac:dyDescent="0.45">
      <c r="A1611" s="6"/>
      <c r="B1611" s="7"/>
      <c r="C1611" s="6"/>
      <c r="D1611" s="6"/>
      <c r="E1611" s="6"/>
      <c r="F1611" s="6"/>
      <c r="G1611" s="6"/>
      <c r="H1611" s="6"/>
      <c r="I1611" s="6"/>
      <c r="J1611" s="6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</row>
    <row r="1612" spans="1:26" ht="16.8" x14ac:dyDescent="0.45">
      <c r="A1612" s="6"/>
      <c r="B1612" s="7"/>
      <c r="C1612" s="6"/>
      <c r="D1612" s="6"/>
      <c r="E1612" s="6"/>
      <c r="F1612" s="6"/>
      <c r="G1612" s="6"/>
      <c r="H1612" s="6"/>
      <c r="I1612" s="6"/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</row>
    <row r="1613" spans="1:26" ht="16.8" x14ac:dyDescent="0.45">
      <c r="A1613" s="6"/>
      <c r="B1613" s="7"/>
      <c r="C1613" s="6"/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 spans="1:26" ht="16.8" x14ac:dyDescent="0.45">
      <c r="A1614" s="6"/>
      <c r="B1614" s="7"/>
      <c r="C1614" s="6"/>
      <c r="D1614" s="6"/>
      <c r="E1614" s="6"/>
      <c r="F1614" s="6"/>
      <c r="G1614" s="6"/>
      <c r="H1614" s="6"/>
      <c r="I1614" s="6"/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</row>
    <row r="1615" spans="1:26" ht="16.8" x14ac:dyDescent="0.45">
      <c r="A1615" s="6"/>
      <c r="B1615" s="7"/>
      <c r="C1615" s="6"/>
      <c r="D1615" s="6"/>
      <c r="E1615" s="6"/>
      <c r="F1615" s="6"/>
      <c r="G1615" s="6"/>
      <c r="H1615" s="6"/>
      <c r="I1615" s="6"/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</row>
    <row r="1616" spans="1:26" ht="16.8" x14ac:dyDescent="0.45">
      <c r="A1616" s="6"/>
      <c r="B1616" s="7"/>
      <c r="C1616" s="6"/>
      <c r="D1616" s="6"/>
      <c r="E1616" s="6"/>
      <c r="F1616" s="6"/>
      <c r="G1616" s="6"/>
      <c r="H1616" s="6"/>
      <c r="I1616" s="6"/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</row>
    <row r="1617" spans="1:26" ht="16.8" x14ac:dyDescent="0.45">
      <c r="A1617" s="6"/>
      <c r="B1617" s="7"/>
      <c r="C1617" s="6"/>
      <c r="D1617" s="6"/>
      <c r="E1617" s="6"/>
      <c r="F1617" s="6"/>
      <c r="G1617" s="6"/>
      <c r="H1617" s="6"/>
      <c r="I1617" s="6"/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</row>
    <row r="1618" spans="1:26" ht="16.8" x14ac:dyDescent="0.45">
      <c r="A1618" s="6"/>
      <c r="B1618" s="7"/>
      <c r="C1618" s="6"/>
      <c r="D1618" s="6"/>
      <c r="E1618" s="6"/>
      <c r="F1618" s="6"/>
      <c r="G1618" s="6"/>
      <c r="H1618" s="6"/>
      <c r="I1618" s="6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</row>
    <row r="1619" spans="1:26" ht="16.8" x14ac:dyDescent="0.45">
      <c r="A1619" s="6"/>
      <c r="B1619" s="7"/>
      <c r="C1619" s="6"/>
      <c r="D1619" s="6"/>
      <c r="E1619" s="6"/>
      <c r="F1619" s="6"/>
      <c r="G1619" s="6"/>
      <c r="H1619" s="6"/>
      <c r="I1619" s="6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</row>
    <row r="1620" spans="1:26" ht="16.8" x14ac:dyDescent="0.45">
      <c r="A1620" s="6"/>
      <c r="B1620" s="7"/>
      <c r="C1620" s="6"/>
      <c r="D1620" s="6"/>
      <c r="E1620" s="6"/>
      <c r="F1620" s="6"/>
      <c r="G1620" s="6"/>
      <c r="H1620" s="6"/>
      <c r="I1620" s="6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</row>
    <row r="1621" spans="1:26" ht="16.8" x14ac:dyDescent="0.45">
      <c r="A1621" s="6"/>
      <c r="B1621" s="7"/>
      <c r="C1621" s="6"/>
      <c r="D1621" s="6"/>
      <c r="E1621" s="6"/>
      <c r="F1621" s="6"/>
      <c r="G1621" s="6"/>
      <c r="H1621" s="6"/>
      <c r="I1621" s="6"/>
      <c r="J1621" s="6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</row>
    <row r="1622" spans="1:26" ht="16.8" x14ac:dyDescent="0.45">
      <c r="A1622" s="6"/>
      <c r="B1622" s="7"/>
      <c r="C1622" s="6"/>
      <c r="D1622" s="6"/>
      <c r="E1622" s="6"/>
      <c r="F1622" s="6"/>
      <c r="G1622" s="6"/>
      <c r="H1622" s="6"/>
      <c r="I1622" s="6"/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</row>
    <row r="1623" spans="1:26" ht="16.8" x14ac:dyDescent="0.45">
      <c r="A1623" s="6"/>
      <c r="B1623" s="7"/>
      <c r="C1623" s="6"/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</row>
    <row r="1624" spans="1:26" ht="16.8" x14ac:dyDescent="0.45">
      <c r="A1624" s="6"/>
      <c r="B1624" s="7"/>
      <c r="C1624" s="6"/>
      <c r="D1624" s="6"/>
      <c r="E1624" s="6"/>
      <c r="F1624" s="6"/>
      <c r="G1624" s="6"/>
      <c r="H1624" s="6"/>
      <c r="I1624" s="6"/>
      <c r="J1624" s="6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</row>
    <row r="1625" spans="1:26" ht="16.8" x14ac:dyDescent="0.45">
      <c r="A1625" s="6"/>
      <c r="B1625" s="7"/>
      <c r="C1625" s="6"/>
      <c r="D1625" s="6"/>
      <c r="E1625" s="6"/>
      <c r="F1625" s="6"/>
      <c r="G1625" s="6"/>
      <c r="H1625" s="6"/>
      <c r="I1625" s="6"/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</row>
    <row r="1626" spans="1:26" ht="16.8" x14ac:dyDescent="0.45">
      <c r="A1626" s="6"/>
      <c r="B1626" s="7"/>
      <c r="C1626" s="6"/>
      <c r="D1626" s="6"/>
      <c r="E1626" s="6"/>
      <c r="F1626" s="6"/>
      <c r="G1626" s="6"/>
      <c r="H1626" s="6"/>
      <c r="I1626" s="6"/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</row>
    <row r="1627" spans="1:26" ht="16.8" x14ac:dyDescent="0.45">
      <c r="A1627" s="6"/>
      <c r="B1627" s="7"/>
      <c r="C1627" s="6"/>
      <c r="D1627" s="6"/>
      <c r="E1627" s="6"/>
      <c r="F1627" s="6"/>
      <c r="G1627" s="6"/>
      <c r="H1627" s="6"/>
      <c r="I1627" s="6"/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</row>
    <row r="1628" spans="1:26" ht="16.8" x14ac:dyDescent="0.45">
      <c r="A1628" s="6"/>
      <c r="B1628" s="7"/>
      <c r="C1628" s="6"/>
      <c r="D1628" s="6"/>
      <c r="E1628" s="6"/>
      <c r="F1628" s="6"/>
      <c r="G1628" s="6"/>
      <c r="H1628" s="6"/>
      <c r="I1628" s="6"/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</row>
    <row r="1629" spans="1:26" ht="16.8" x14ac:dyDescent="0.45">
      <c r="A1629" s="6"/>
      <c r="B1629" s="7"/>
      <c r="C1629" s="6"/>
      <c r="D1629" s="6"/>
      <c r="E1629" s="6"/>
      <c r="F1629" s="6"/>
      <c r="G1629" s="6"/>
      <c r="H1629" s="6"/>
      <c r="I1629" s="6"/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</row>
    <row r="1630" spans="1:26" ht="16.8" x14ac:dyDescent="0.45">
      <c r="A1630" s="6"/>
      <c r="B1630" s="7"/>
      <c r="C1630" s="6"/>
      <c r="D1630" s="6"/>
      <c r="E1630" s="6"/>
      <c r="F1630" s="6"/>
      <c r="G1630" s="6"/>
      <c r="H1630" s="6"/>
      <c r="I1630" s="6"/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</row>
    <row r="1631" spans="1:26" ht="16.8" x14ac:dyDescent="0.45">
      <c r="A1631" s="6"/>
      <c r="B1631" s="7"/>
      <c r="C1631" s="6"/>
      <c r="D1631" s="6"/>
      <c r="E1631" s="6"/>
      <c r="F1631" s="6"/>
      <c r="G1631" s="6"/>
      <c r="H1631" s="6"/>
      <c r="I1631" s="6"/>
      <c r="J1631" s="6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</row>
    <row r="1632" spans="1:26" ht="16.8" x14ac:dyDescent="0.45">
      <c r="A1632" s="6"/>
      <c r="B1632" s="7"/>
      <c r="C1632" s="6"/>
      <c r="D1632" s="6"/>
      <c r="E1632" s="6"/>
      <c r="F1632" s="6"/>
      <c r="G1632" s="6"/>
      <c r="H1632" s="6"/>
      <c r="I1632" s="6"/>
      <c r="J1632" s="6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</row>
    <row r="1633" spans="1:26" ht="16.8" x14ac:dyDescent="0.45">
      <c r="A1633" s="6"/>
      <c r="B1633" s="7"/>
      <c r="C1633" s="6"/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</row>
    <row r="1634" spans="1:26" ht="16.8" x14ac:dyDescent="0.45">
      <c r="A1634" s="6"/>
      <c r="B1634" s="7"/>
      <c r="C1634" s="6"/>
      <c r="D1634" s="6"/>
      <c r="E1634" s="6"/>
      <c r="F1634" s="6"/>
      <c r="G1634" s="6"/>
      <c r="H1634" s="6"/>
      <c r="I1634" s="6"/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</row>
    <row r="1635" spans="1:26" ht="16.8" x14ac:dyDescent="0.45">
      <c r="A1635" s="6"/>
      <c r="B1635" s="7"/>
      <c r="C1635" s="6"/>
      <c r="D1635" s="6"/>
      <c r="E1635" s="6"/>
      <c r="F1635" s="6"/>
      <c r="G1635" s="6"/>
      <c r="H1635" s="6"/>
      <c r="I1635" s="6"/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</row>
    <row r="1636" spans="1:26" ht="16.8" x14ac:dyDescent="0.45">
      <c r="A1636" s="6"/>
      <c r="B1636" s="7"/>
      <c r="C1636" s="6"/>
      <c r="D1636" s="6"/>
      <c r="E1636" s="6"/>
      <c r="F1636" s="6"/>
      <c r="G1636" s="6"/>
      <c r="H1636" s="6"/>
      <c r="I1636" s="6"/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</row>
    <row r="1637" spans="1:26" ht="16.8" x14ac:dyDescent="0.45">
      <c r="A1637" s="6"/>
      <c r="B1637" s="7"/>
      <c r="C1637" s="6"/>
      <c r="D1637" s="6"/>
      <c r="E1637" s="6"/>
      <c r="F1637" s="6"/>
      <c r="G1637" s="6"/>
      <c r="H1637" s="6"/>
      <c r="I1637" s="6"/>
      <c r="J1637" s="6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</row>
    <row r="1638" spans="1:26" ht="16.8" x14ac:dyDescent="0.45">
      <c r="A1638" s="6"/>
      <c r="B1638" s="7"/>
      <c r="C1638" s="6"/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</row>
    <row r="1639" spans="1:26" ht="16.8" x14ac:dyDescent="0.45">
      <c r="A1639" s="6"/>
      <c r="B1639" s="7"/>
      <c r="C1639" s="6"/>
      <c r="D1639" s="6"/>
      <c r="E1639" s="6"/>
      <c r="F1639" s="6"/>
      <c r="G1639" s="6"/>
      <c r="H1639" s="6"/>
      <c r="I1639" s="6"/>
      <c r="J1639" s="6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</row>
    <row r="1640" spans="1:26" ht="16.8" x14ac:dyDescent="0.45">
      <c r="A1640" s="6"/>
      <c r="B1640" s="7"/>
      <c r="C1640" s="6"/>
      <c r="D1640" s="6"/>
      <c r="E1640" s="6"/>
      <c r="F1640" s="6"/>
      <c r="G1640" s="6"/>
      <c r="H1640" s="6"/>
      <c r="I1640" s="6"/>
      <c r="J1640" s="6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</row>
    <row r="1641" spans="1:26" ht="16.8" x14ac:dyDescent="0.45">
      <c r="A1641" s="6"/>
      <c r="B1641" s="7"/>
      <c r="C1641" s="6"/>
      <c r="D1641" s="6"/>
      <c r="E1641" s="6"/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</row>
    <row r="1642" spans="1:26" ht="16.8" x14ac:dyDescent="0.45">
      <c r="A1642" s="6"/>
      <c r="B1642" s="7"/>
      <c r="C1642" s="6"/>
      <c r="D1642" s="6"/>
      <c r="E1642" s="6"/>
      <c r="F1642" s="6"/>
      <c r="G1642" s="6"/>
      <c r="H1642" s="6"/>
      <c r="I1642" s="6"/>
      <c r="J1642" s="6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</row>
    <row r="1643" spans="1:26" ht="16.8" x14ac:dyDescent="0.45">
      <c r="A1643" s="6"/>
      <c r="B1643" s="7"/>
      <c r="C1643" s="6"/>
      <c r="D1643" s="6"/>
      <c r="E1643" s="6"/>
      <c r="F1643" s="6"/>
      <c r="G1643" s="6"/>
      <c r="H1643" s="6"/>
      <c r="I1643" s="6"/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</row>
    <row r="1644" spans="1:26" ht="16.8" x14ac:dyDescent="0.45">
      <c r="A1644" s="6"/>
      <c r="B1644" s="7"/>
      <c r="C1644" s="6"/>
      <c r="D1644" s="6"/>
      <c r="E1644" s="6"/>
      <c r="F1644" s="6"/>
      <c r="G1644" s="6"/>
      <c r="H1644" s="6"/>
      <c r="I1644" s="6"/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</row>
    <row r="1645" spans="1:26" ht="16.8" x14ac:dyDescent="0.45">
      <c r="A1645" s="6"/>
      <c r="B1645" s="7"/>
      <c r="C1645" s="6"/>
      <c r="D1645" s="6"/>
      <c r="E1645" s="6"/>
      <c r="F1645" s="6"/>
      <c r="G1645" s="6"/>
      <c r="H1645" s="6"/>
      <c r="I1645" s="6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</row>
    <row r="1646" spans="1:26" ht="16.8" x14ac:dyDescent="0.45">
      <c r="A1646" s="6"/>
      <c r="B1646" s="7"/>
      <c r="C1646" s="6"/>
      <c r="D1646" s="6"/>
      <c r="E1646" s="6"/>
      <c r="F1646" s="6"/>
      <c r="G1646" s="6"/>
      <c r="H1646" s="6"/>
      <c r="I1646" s="6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</row>
    <row r="1647" spans="1:26" ht="16.8" x14ac:dyDescent="0.45">
      <c r="A1647" s="6"/>
      <c r="B1647" s="7"/>
      <c r="C1647" s="6"/>
      <c r="D1647" s="6"/>
      <c r="E1647" s="6"/>
      <c r="F1647" s="6"/>
      <c r="G1647" s="6"/>
      <c r="H1647" s="6"/>
      <c r="I1647" s="6"/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</row>
    <row r="1648" spans="1:26" ht="16.8" x14ac:dyDescent="0.45">
      <c r="A1648" s="6"/>
      <c r="B1648" s="7"/>
      <c r="C1648" s="6"/>
      <c r="D1648" s="6"/>
      <c r="E1648" s="6"/>
      <c r="F1648" s="6"/>
      <c r="G1648" s="6"/>
      <c r="H1648" s="6"/>
      <c r="I1648" s="6"/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</row>
    <row r="1649" spans="1:26" ht="16.8" x14ac:dyDescent="0.45">
      <c r="A1649" s="6"/>
      <c r="B1649" s="7"/>
      <c r="C1649" s="6"/>
      <c r="D1649" s="6"/>
      <c r="E1649" s="6"/>
      <c r="F1649" s="6"/>
      <c r="G1649" s="6"/>
      <c r="H1649" s="6"/>
      <c r="I1649" s="6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</row>
    <row r="1650" spans="1:26" ht="16.8" x14ac:dyDescent="0.45">
      <c r="A1650" s="6"/>
      <c r="B1650" s="7"/>
      <c r="C1650" s="6"/>
      <c r="D1650" s="6"/>
      <c r="E1650" s="6"/>
      <c r="F1650" s="6"/>
      <c r="G1650" s="6"/>
      <c r="H1650" s="6"/>
      <c r="I1650" s="6"/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</row>
    <row r="1651" spans="1:26" ht="16.8" x14ac:dyDescent="0.45">
      <c r="A1651" s="6"/>
      <c r="B1651" s="7"/>
      <c r="C1651" s="6"/>
      <c r="D1651" s="6"/>
      <c r="E1651" s="6"/>
      <c r="F1651" s="6"/>
      <c r="G1651" s="6"/>
      <c r="H1651" s="6"/>
      <c r="I1651" s="6"/>
      <c r="J1651" s="6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</row>
    <row r="1652" spans="1:26" ht="16.8" x14ac:dyDescent="0.45">
      <c r="A1652" s="6"/>
      <c r="B1652" s="7"/>
      <c r="C1652" s="6"/>
      <c r="D1652" s="6"/>
      <c r="E1652" s="6"/>
      <c r="F1652" s="6"/>
      <c r="G1652" s="6"/>
      <c r="H1652" s="6"/>
      <c r="I1652" s="6"/>
      <c r="J1652" s="6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</row>
    <row r="1653" spans="1:26" ht="16.8" x14ac:dyDescent="0.45">
      <c r="A1653" s="6"/>
      <c r="B1653" s="7"/>
      <c r="C1653" s="6"/>
      <c r="D1653" s="6"/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</row>
    <row r="1654" spans="1:26" ht="16.8" x14ac:dyDescent="0.45">
      <c r="A1654" s="6"/>
      <c r="B1654" s="7"/>
      <c r="C1654" s="6"/>
      <c r="D1654" s="6"/>
      <c r="E1654" s="6"/>
      <c r="F1654" s="6"/>
      <c r="G1654" s="6"/>
      <c r="H1654" s="6"/>
      <c r="I1654" s="6"/>
      <c r="J1654" s="6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</row>
    <row r="1655" spans="1:26" ht="16.8" x14ac:dyDescent="0.45">
      <c r="A1655" s="6"/>
      <c r="B1655" s="7"/>
      <c r="C1655" s="6"/>
      <c r="D1655" s="6"/>
      <c r="E1655" s="6"/>
      <c r="F1655" s="6"/>
      <c r="G1655" s="6"/>
      <c r="H1655" s="6"/>
      <c r="I1655" s="6"/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</row>
    <row r="1656" spans="1:26" ht="16.8" x14ac:dyDescent="0.45">
      <c r="A1656" s="6"/>
      <c r="B1656" s="7"/>
      <c r="C1656" s="6"/>
      <c r="D1656" s="6"/>
      <c r="E1656" s="6"/>
      <c r="F1656" s="6"/>
      <c r="G1656" s="6"/>
      <c r="H1656" s="6"/>
      <c r="I1656" s="6"/>
      <c r="J1656" s="6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</row>
    <row r="1657" spans="1:26" ht="16.8" x14ac:dyDescent="0.45">
      <c r="A1657" s="6"/>
      <c r="B1657" s="7"/>
      <c r="C1657" s="6"/>
      <c r="D1657" s="6"/>
      <c r="E1657" s="6"/>
      <c r="F1657" s="6"/>
      <c r="G1657" s="6"/>
      <c r="H1657" s="6"/>
      <c r="I1657" s="6"/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</row>
    <row r="1658" spans="1:26" ht="16.8" x14ac:dyDescent="0.45">
      <c r="A1658" s="6"/>
      <c r="B1658" s="7"/>
      <c r="C1658" s="6"/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</row>
    <row r="1659" spans="1:26" ht="16.8" x14ac:dyDescent="0.45">
      <c r="A1659" s="6"/>
      <c r="B1659" s="7"/>
      <c r="C1659" s="6"/>
      <c r="D1659" s="6"/>
      <c r="E1659" s="6"/>
      <c r="F1659" s="6"/>
      <c r="G1659" s="6"/>
      <c r="H1659" s="6"/>
      <c r="I1659" s="6"/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</row>
    <row r="1660" spans="1:26" ht="16.8" x14ac:dyDescent="0.45">
      <c r="A1660" s="6"/>
      <c r="B1660" s="7"/>
      <c r="C1660" s="6"/>
      <c r="D1660" s="6"/>
      <c r="E1660" s="6"/>
      <c r="F1660" s="6"/>
      <c r="G1660" s="6"/>
      <c r="H1660" s="6"/>
      <c r="I1660" s="6"/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</row>
    <row r="1661" spans="1:26" ht="16.8" x14ac:dyDescent="0.45">
      <c r="A1661" s="6"/>
      <c r="B1661" s="7"/>
      <c r="C1661" s="6"/>
      <c r="D1661" s="6"/>
      <c r="E1661" s="6"/>
      <c r="F1661" s="6"/>
      <c r="G1661" s="6"/>
      <c r="H1661" s="6"/>
      <c r="I1661" s="6"/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</row>
    <row r="1662" spans="1:26" ht="16.8" x14ac:dyDescent="0.45">
      <c r="A1662" s="6"/>
      <c r="B1662" s="7"/>
      <c r="C1662" s="6"/>
      <c r="D1662" s="6"/>
      <c r="E1662" s="6"/>
      <c r="F1662" s="6"/>
      <c r="G1662" s="6"/>
      <c r="H1662" s="6"/>
      <c r="I1662" s="6"/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</row>
    <row r="1663" spans="1:26" ht="16.8" x14ac:dyDescent="0.45">
      <c r="A1663" s="6"/>
      <c r="B1663" s="7"/>
      <c r="C1663" s="6"/>
      <c r="D1663" s="6"/>
      <c r="E1663" s="6"/>
      <c r="F1663" s="6"/>
      <c r="G1663" s="6"/>
      <c r="H1663" s="6"/>
      <c r="I1663" s="6"/>
      <c r="J1663" s="6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</row>
    <row r="1664" spans="1:26" ht="16.8" x14ac:dyDescent="0.45">
      <c r="A1664" s="6"/>
      <c r="B1664" s="7"/>
      <c r="C1664" s="6"/>
      <c r="D1664" s="6"/>
      <c r="E1664" s="6"/>
      <c r="F1664" s="6"/>
      <c r="G1664" s="6"/>
      <c r="H1664" s="6"/>
      <c r="I1664" s="6"/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</row>
    <row r="1665" spans="1:26" ht="16.8" x14ac:dyDescent="0.45">
      <c r="A1665" s="6"/>
      <c r="B1665" s="7"/>
      <c r="C1665" s="6"/>
      <c r="D1665" s="6"/>
      <c r="E1665" s="6"/>
      <c r="F1665" s="6"/>
      <c r="G1665" s="6"/>
      <c r="H1665" s="6"/>
      <c r="I1665" s="6"/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</row>
    <row r="1666" spans="1:26" ht="16.8" x14ac:dyDescent="0.45">
      <c r="A1666" s="6"/>
      <c r="B1666" s="7"/>
      <c r="C1666" s="6"/>
      <c r="D1666" s="6"/>
      <c r="E1666" s="6"/>
      <c r="F1666" s="6"/>
      <c r="G1666" s="6"/>
      <c r="H1666" s="6"/>
      <c r="I1666" s="6"/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</row>
    <row r="1667" spans="1:26" ht="16.8" x14ac:dyDescent="0.45">
      <c r="A1667" s="6"/>
      <c r="B1667" s="7"/>
      <c r="C1667" s="6"/>
      <c r="D1667" s="6"/>
      <c r="E1667" s="6"/>
      <c r="F1667" s="6"/>
      <c r="G1667" s="6"/>
      <c r="H1667" s="6"/>
      <c r="I1667" s="6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</row>
    <row r="1668" spans="1:26" ht="16.8" x14ac:dyDescent="0.45">
      <c r="A1668" s="6"/>
      <c r="B1668" s="7"/>
      <c r="C1668" s="6"/>
      <c r="D1668" s="6"/>
      <c r="E1668" s="6"/>
      <c r="F1668" s="6"/>
      <c r="G1668" s="6"/>
      <c r="H1668" s="6"/>
      <c r="I1668" s="6"/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</row>
    <row r="1669" spans="1:26" ht="16.8" x14ac:dyDescent="0.45">
      <c r="A1669" s="6"/>
      <c r="B1669" s="7"/>
      <c r="C1669" s="6"/>
      <c r="D1669" s="6"/>
      <c r="E1669" s="6"/>
      <c r="F1669" s="6"/>
      <c r="G1669" s="6"/>
      <c r="H1669" s="6"/>
      <c r="I1669" s="6"/>
      <c r="J1669" s="6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</row>
    <row r="1670" spans="1:26" ht="16.8" x14ac:dyDescent="0.45">
      <c r="A1670" s="6"/>
      <c r="B1670" s="7"/>
      <c r="C1670" s="6"/>
      <c r="D1670" s="6"/>
      <c r="E1670" s="6"/>
      <c r="F1670" s="6"/>
      <c r="G1670" s="6"/>
      <c r="H1670" s="6"/>
      <c r="I1670" s="6"/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</row>
    <row r="1671" spans="1:26" ht="16.8" x14ac:dyDescent="0.45">
      <c r="A1671" s="6"/>
      <c r="B1671" s="7"/>
      <c r="C1671" s="6"/>
      <c r="D1671" s="6"/>
      <c r="E1671" s="6"/>
      <c r="F1671" s="6"/>
      <c r="G1671" s="6"/>
      <c r="H1671" s="6"/>
      <c r="I1671" s="6"/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</row>
    <row r="1672" spans="1:26" ht="16.8" x14ac:dyDescent="0.45">
      <c r="A1672" s="6"/>
      <c r="B1672" s="7"/>
      <c r="C1672" s="6"/>
      <c r="D1672" s="6"/>
      <c r="E1672" s="6"/>
      <c r="F1672" s="6"/>
      <c r="G1672" s="6"/>
      <c r="H1672" s="6"/>
      <c r="I1672" s="6"/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</row>
    <row r="1673" spans="1:26" ht="16.8" x14ac:dyDescent="0.45">
      <c r="A1673" s="6"/>
      <c r="B1673" s="7"/>
      <c r="C1673" s="6"/>
      <c r="D1673" s="6"/>
      <c r="E1673" s="6"/>
      <c r="F1673" s="6"/>
      <c r="G1673" s="6"/>
      <c r="H1673" s="6"/>
      <c r="I1673" s="6"/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</row>
    <row r="1674" spans="1:26" ht="16.8" x14ac:dyDescent="0.45">
      <c r="A1674" s="6"/>
      <c r="B1674" s="7"/>
      <c r="C1674" s="6"/>
      <c r="D1674" s="6"/>
      <c r="E1674" s="6"/>
      <c r="F1674" s="6"/>
      <c r="G1674" s="6"/>
      <c r="H1674" s="6"/>
      <c r="I1674" s="6"/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</row>
    <row r="1675" spans="1:26" ht="16.8" x14ac:dyDescent="0.45">
      <c r="A1675" s="6"/>
      <c r="B1675" s="7"/>
      <c r="C1675" s="6"/>
      <c r="D1675" s="6"/>
      <c r="E1675" s="6"/>
      <c r="F1675" s="6"/>
      <c r="G1675" s="6"/>
      <c r="H1675" s="6"/>
      <c r="I1675" s="6"/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</row>
    <row r="1676" spans="1:26" ht="16.8" x14ac:dyDescent="0.45">
      <c r="A1676" s="6"/>
      <c r="B1676" s="7"/>
      <c r="C1676" s="6"/>
      <c r="D1676" s="6"/>
      <c r="E1676" s="6"/>
      <c r="F1676" s="6"/>
      <c r="G1676" s="6"/>
      <c r="H1676" s="6"/>
      <c r="I1676" s="6"/>
      <c r="J1676" s="6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</row>
    <row r="1677" spans="1:26" ht="16.8" x14ac:dyDescent="0.45">
      <c r="A1677" s="6"/>
      <c r="B1677" s="7"/>
      <c r="C1677" s="6"/>
      <c r="D1677" s="6"/>
      <c r="E1677" s="6"/>
      <c r="F1677" s="6"/>
      <c r="G1677" s="6"/>
      <c r="H1677" s="6"/>
      <c r="I1677" s="6"/>
      <c r="J1677" s="6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</row>
    <row r="1678" spans="1:26" ht="16.8" x14ac:dyDescent="0.45">
      <c r="A1678" s="6"/>
      <c r="B1678" s="7"/>
      <c r="C1678" s="6"/>
      <c r="D1678" s="6"/>
      <c r="E1678" s="6"/>
      <c r="F1678" s="6"/>
      <c r="G1678" s="6"/>
      <c r="H1678" s="6"/>
      <c r="I1678" s="6"/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</row>
    <row r="1679" spans="1:26" ht="16.8" x14ac:dyDescent="0.45">
      <c r="A1679" s="6"/>
      <c r="B1679" s="7"/>
      <c r="C1679" s="6"/>
      <c r="D1679" s="6"/>
      <c r="E1679" s="6"/>
      <c r="F1679" s="6"/>
      <c r="G1679" s="6"/>
      <c r="H1679" s="6"/>
      <c r="I1679" s="6"/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</row>
    <row r="1680" spans="1:26" ht="16.8" x14ac:dyDescent="0.45">
      <c r="A1680" s="6"/>
      <c r="B1680" s="7"/>
      <c r="C1680" s="6"/>
      <c r="D1680" s="6"/>
      <c r="E1680" s="6"/>
      <c r="F1680" s="6"/>
      <c r="G1680" s="6"/>
      <c r="H1680" s="6"/>
      <c r="I1680" s="6"/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</row>
    <row r="1681" spans="1:26" ht="16.8" x14ac:dyDescent="0.45">
      <c r="A1681" s="6"/>
      <c r="B1681" s="7"/>
      <c r="C1681" s="6"/>
      <c r="D1681" s="6"/>
      <c r="E1681" s="6"/>
      <c r="F1681" s="6"/>
      <c r="G1681" s="6"/>
      <c r="H1681" s="6"/>
      <c r="I1681" s="6"/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</row>
    <row r="1682" spans="1:26" ht="16.8" x14ac:dyDescent="0.45">
      <c r="A1682" s="6"/>
      <c r="B1682" s="7"/>
      <c r="C1682" s="6"/>
      <c r="D1682" s="6"/>
      <c r="E1682" s="6"/>
      <c r="F1682" s="6"/>
      <c r="G1682" s="6"/>
      <c r="H1682" s="6"/>
      <c r="I1682" s="6"/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</row>
    <row r="1683" spans="1:26" ht="16.8" x14ac:dyDescent="0.45">
      <c r="A1683" s="6"/>
      <c r="B1683" s="7"/>
      <c r="C1683" s="6"/>
      <c r="D1683" s="6"/>
      <c r="E1683" s="6"/>
      <c r="F1683" s="6"/>
      <c r="G1683" s="6"/>
      <c r="H1683" s="6"/>
      <c r="I1683" s="6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</row>
    <row r="1684" spans="1:26" ht="16.8" x14ac:dyDescent="0.45">
      <c r="A1684" s="6"/>
      <c r="B1684" s="7"/>
      <c r="C1684" s="6"/>
      <c r="D1684" s="6"/>
      <c r="E1684" s="6"/>
      <c r="F1684" s="6"/>
      <c r="G1684" s="6"/>
      <c r="H1684" s="6"/>
      <c r="I1684" s="6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</row>
    <row r="1685" spans="1:26" ht="16.8" x14ac:dyDescent="0.45">
      <c r="A1685" s="6"/>
      <c r="B1685" s="7"/>
      <c r="C1685" s="6"/>
      <c r="D1685" s="6"/>
      <c r="E1685" s="6"/>
      <c r="F1685" s="6"/>
      <c r="G1685" s="6"/>
      <c r="H1685" s="6"/>
      <c r="I1685" s="6"/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</row>
    <row r="1686" spans="1:26" ht="16.8" x14ac:dyDescent="0.45">
      <c r="A1686" s="6"/>
      <c r="B1686" s="7"/>
      <c r="C1686" s="6"/>
      <c r="D1686" s="6"/>
      <c r="E1686" s="6"/>
      <c r="F1686" s="6"/>
      <c r="G1686" s="6"/>
      <c r="H1686" s="6"/>
      <c r="I1686" s="6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</row>
    <row r="1687" spans="1:26" ht="16.8" x14ac:dyDescent="0.45">
      <c r="A1687" s="6"/>
      <c r="B1687" s="7"/>
      <c r="C1687" s="6"/>
      <c r="D1687" s="6"/>
      <c r="E1687" s="6"/>
      <c r="F1687" s="6"/>
      <c r="G1687" s="6"/>
      <c r="H1687" s="6"/>
      <c r="I1687" s="6"/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</row>
    <row r="1688" spans="1:26" ht="16.8" x14ac:dyDescent="0.45">
      <c r="A1688" s="6"/>
      <c r="B1688" s="7"/>
      <c r="C1688" s="6"/>
      <c r="D1688" s="6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 spans="1:26" ht="16.8" x14ac:dyDescent="0.45">
      <c r="A1689" s="6"/>
      <c r="B1689" s="7"/>
      <c r="C1689" s="6"/>
      <c r="D1689" s="6"/>
      <c r="E1689" s="6"/>
      <c r="F1689" s="6"/>
      <c r="G1689" s="6"/>
      <c r="H1689" s="6"/>
      <c r="I1689" s="6"/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</row>
    <row r="1690" spans="1:26" ht="16.8" x14ac:dyDescent="0.45">
      <c r="A1690" s="6"/>
      <c r="B1690" s="7"/>
      <c r="C1690" s="6"/>
      <c r="D1690" s="6"/>
      <c r="E1690" s="6"/>
      <c r="F1690" s="6"/>
      <c r="G1690" s="6"/>
      <c r="H1690" s="6"/>
      <c r="I1690" s="6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</row>
    <row r="1691" spans="1:26" ht="16.8" x14ac:dyDescent="0.45">
      <c r="A1691" s="6"/>
      <c r="B1691" s="7"/>
      <c r="C1691" s="6"/>
      <c r="D1691" s="6"/>
      <c r="E1691" s="6"/>
      <c r="F1691" s="6"/>
      <c r="G1691" s="6"/>
      <c r="H1691" s="6"/>
      <c r="I1691" s="6"/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</row>
    <row r="1692" spans="1:26" ht="16.8" x14ac:dyDescent="0.45">
      <c r="A1692" s="6"/>
      <c r="B1692" s="7"/>
      <c r="C1692" s="6"/>
      <c r="D1692" s="6"/>
      <c r="E1692" s="6"/>
      <c r="F1692" s="6"/>
      <c r="G1692" s="6"/>
      <c r="H1692" s="6"/>
      <c r="I1692" s="6"/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</row>
    <row r="1693" spans="1:26" ht="16.8" x14ac:dyDescent="0.45">
      <c r="A1693" s="6"/>
      <c r="B1693" s="7"/>
      <c r="C1693" s="6"/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</row>
    <row r="1694" spans="1:26" ht="16.8" x14ac:dyDescent="0.45">
      <c r="A1694" s="6"/>
      <c r="B1694" s="7"/>
      <c r="C1694" s="6"/>
      <c r="D1694" s="6"/>
      <c r="E1694" s="6"/>
      <c r="F1694" s="6"/>
      <c r="G1694" s="6"/>
      <c r="H1694" s="6"/>
      <c r="I1694" s="6"/>
      <c r="J1694" s="6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</row>
    <row r="1695" spans="1:26" ht="16.8" x14ac:dyDescent="0.45">
      <c r="A1695" s="6"/>
      <c r="B1695" s="7"/>
      <c r="C1695" s="6"/>
      <c r="D1695" s="6"/>
      <c r="E1695" s="6"/>
      <c r="F1695" s="6"/>
      <c r="G1695" s="6"/>
      <c r="H1695" s="6"/>
      <c r="I1695" s="6"/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</row>
    <row r="1696" spans="1:26" ht="16.8" x14ac:dyDescent="0.45">
      <c r="A1696" s="6"/>
      <c r="B1696" s="7"/>
      <c r="C1696" s="6"/>
      <c r="D1696" s="6"/>
      <c r="E1696" s="6"/>
      <c r="F1696" s="6"/>
      <c r="G1696" s="6"/>
      <c r="H1696" s="6"/>
      <c r="I1696" s="6"/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</row>
    <row r="1697" spans="1:26" ht="16.8" x14ac:dyDescent="0.45">
      <c r="A1697" s="6"/>
      <c r="B1697" s="7"/>
      <c r="C1697" s="6"/>
      <c r="D1697" s="6"/>
      <c r="E1697" s="6"/>
      <c r="F1697" s="6"/>
      <c r="G1697" s="6"/>
      <c r="H1697" s="6"/>
      <c r="I1697" s="6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</row>
    <row r="1698" spans="1:26" ht="16.8" x14ac:dyDescent="0.45">
      <c r="A1698" s="6"/>
      <c r="B1698" s="7"/>
      <c r="C1698" s="6"/>
      <c r="D1698" s="6"/>
      <c r="E1698" s="6"/>
      <c r="F1698" s="6"/>
      <c r="G1698" s="6"/>
      <c r="H1698" s="6"/>
      <c r="I1698" s="6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</row>
    <row r="1699" spans="1:26" ht="16.8" x14ac:dyDescent="0.45">
      <c r="A1699" s="6"/>
      <c r="B1699" s="7"/>
      <c r="C1699" s="6"/>
      <c r="D1699" s="6"/>
      <c r="E1699" s="6"/>
      <c r="F1699" s="6"/>
      <c r="G1699" s="6"/>
      <c r="H1699" s="6"/>
      <c r="I1699" s="6"/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</row>
    <row r="1700" spans="1:26" ht="16.8" x14ac:dyDescent="0.45">
      <c r="A1700" s="6"/>
      <c r="B1700" s="7"/>
      <c r="C1700" s="6"/>
      <c r="D1700" s="6"/>
      <c r="E1700" s="6"/>
      <c r="F1700" s="6"/>
      <c r="G1700" s="6"/>
      <c r="H1700" s="6"/>
      <c r="I1700" s="6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</row>
    <row r="1701" spans="1:26" ht="16.8" x14ac:dyDescent="0.45">
      <c r="A1701" s="6"/>
      <c r="B1701" s="7"/>
      <c r="C1701" s="6"/>
      <c r="D1701" s="6"/>
      <c r="E1701" s="6"/>
      <c r="F1701" s="6"/>
      <c r="G1701" s="6"/>
      <c r="H1701" s="6"/>
      <c r="I1701" s="6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</row>
    <row r="1702" spans="1:26" ht="16.8" x14ac:dyDescent="0.45">
      <c r="A1702" s="6"/>
      <c r="B1702" s="7"/>
      <c r="C1702" s="6"/>
      <c r="D1702" s="6"/>
      <c r="E1702" s="6"/>
      <c r="F1702" s="6"/>
      <c r="G1702" s="6"/>
      <c r="H1702" s="6"/>
      <c r="I1702" s="6"/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</row>
    <row r="1703" spans="1:26" ht="16.8" x14ac:dyDescent="0.45">
      <c r="A1703" s="6"/>
      <c r="B1703" s="7"/>
      <c r="C1703" s="6"/>
      <c r="D1703" s="6"/>
      <c r="E1703" s="6"/>
      <c r="F1703" s="6"/>
      <c r="G1703" s="6"/>
      <c r="H1703" s="6"/>
      <c r="I1703" s="6"/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</row>
    <row r="1704" spans="1:26" ht="16.8" x14ac:dyDescent="0.45">
      <c r="A1704" s="6"/>
      <c r="B1704" s="7"/>
      <c r="C1704" s="6"/>
      <c r="D1704" s="6"/>
      <c r="E1704" s="6"/>
      <c r="F1704" s="6"/>
      <c r="G1704" s="6"/>
      <c r="H1704" s="6"/>
      <c r="I1704" s="6"/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</row>
    <row r="1705" spans="1:26" ht="16.8" x14ac:dyDescent="0.45">
      <c r="A1705" s="6"/>
      <c r="B1705" s="7"/>
      <c r="C1705" s="6"/>
      <c r="D1705" s="6"/>
      <c r="E1705" s="6"/>
      <c r="F1705" s="6"/>
      <c r="G1705" s="6"/>
      <c r="H1705" s="6"/>
      <c r="I1705" s="6"/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</row>
    <row r="1706" spans="1:26" ht="16.8" x14ac:dyDescent="0.45">
      <c r="A1706" s="6"/>
      <c r="B1706" s="7"/>
      <c r="C1706" s="6"/>
      <c r="D1706" s="6"/>
      <c r="E1706" s="6"/>
      <c r="F1706" s="6"/>
      <c r="G1706" s="6"/>
      <c r="H1706" s="6"/>
      <c r="I1706" s="6"/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</row>
    <row r="1707" spans="1:26" ht="16.8" x14ac:dyDescent="0.45">
      <c r="A1707" s="6"/>
      <c r="B1707" s="7"/>
      <c r="C1707" s="6"/>
      <c r="D1707" s="6"/>
      <c r="E1707" s="6"/>
      <c r="F1707" s="6"/>
      <c r="G1707" s="6"/>
      <c r="H1707" s="6"/>
      <c r="I1707" s="6"/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</row>
    <row r="1708" spans="1:26" ht="16.8" x14ac:dyDescent="0.45">
      <c r="A1708" s="6"/>
      <c r="B1708" s="7"/>
      <c r="C1708" s="6"/>
      <c r="D1708" s="6"/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</row>
    <row r="1709" spans="1:26" ht="16.8" x14ac:dyDescent="0.45">
      <c r="A1709" s="6"/>
      <c r="B1709" s="7"/>
      <c r="C1709" s="6"/>
      <c r="D1709" s="6"/>
      <c r="E1709" s="6"/>
      <c r="F1709" s="6"/>
      <c r="G1709" s="6"/>
      <c r="H1709" s="6"/>
      <c r="I1709" s="6"/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</row>
    <row r="1710" spans="1:26" ht="16.8" x14ac:dyDescent="0.45">
      <c r="A1710" s="6"/>
      <c r="B1710" s="7"/>
      <c r="C1710" s="6"/>
      <c r="D1710" s="6"/>
      <c r="E1710" s="6"/>
      <c r="F1710" s="6"/>
      <c r="G1710" s="6"/>
      <c r="H1710" s="6"/>
      <c r="I1710" s="6"/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</row>
    <row r="1711" spans="1:26" ht="16.8" x14ac:dyDescent="0.45">
      <c r="A1711" s="6"/>
      <c r="B1711" s="7"/>
      <c r="C1711" s="6"/>
      <c r="D1711" s="6"/>
      <c r="E1711" s="6"/>
      <c r="F1711" s="6"/>
      <c r="G1711" s="6"/>
      <c r="H1711" s="6"/>
      <c r="I1711" s="6"/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</row>
    <row r="1712" spans="1:26" ht="16.8" x14ac:dyDescent="0.45">
      <c r="A1712" s="6"/>
      <c r="B1712" s="7"/>
      <c r="C1712" s="6"/>
      <c r="D1712" s="6"/>
      <c r="E1712" s="6"/>
      <c r="F1712" s="6"/>
      <c r="G1712" s="6"/>
      <c r="H1712" s="6"/>
      <c r="I1712" s="6"/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</row>
    <row r="1713" spans="1:26" ht="16.8" x14ac:dyDescent="0.45">
      <c r="A1713" s="6"/>
      <c r="B1713" s="7"/>
      <c r="C1713" s="6"/>
      <c r="D1713" s="6"/>
      <c r="E1713" s="6"/>
      <c r="F1713" s="6"/>
      <c r="G1713" s="6"/>
      <c r="H1713" s="6"/>
      <c r="I1713" s="6"/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</row>
    <row r="1714" spans="1:26" ht="16.8" x14ac:dyDescent="0.45">
      <c r="A1714" s="6"/>
      <c r="B1714" s="7"/>
      <c r="C1714" s="6"/>
      <c r="D1714" s="6"/>
      <c r="E1714" s="6"/>
      <c r="F1714" s="6"/>
      <c r="G1714" s="6"/>
      <c r="H1714" s="6"/>
      <c r="I1714" s="6"/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</row>
    <row r="1715" spans="1:26" ht="16.8" x14ac:dyDescent="0.45">
      <c r="A1715" s="6"/>
      <c r="B1715" s="7"/>
      <c r="C1715" s="6"/>
      <c r="D1715" s="6"/>
      <c r="E1715" s="6"/>
      <c r="F1715" s="6"/>
      <c r="G1715" s="6"/>
      <c r="H1715" s="6"/>
      <c r="I1715" s="6"/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</row>
    <row r="1716" spans="1:26" ht="16.8" x14ac:dyDescent="0.45">
      <c r="A1716" s="6"/>
      <c r="B1716" s="7"/>
      <c r="C1716" s="6"/>
      <c r="D1716" s="6"/>
      <c r="E1716" s="6"/>
      <c r="F1716" s="6"/>
      <c r="G1716" s="6"/>
      <c r="H1716" s="6"/>
      <c r="I1716" s="6"/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</row>
    <row r="1717" spans="1:26" ht="16.8" x14ac:dyDescent="0.45">
      <c r="A1717" s="6"/>
      <c r="B1717" s="7"/>
      <c r="C1717" s="6"/>
      <c r="D1717" s="6"/>
      <c r="E1717" s="6"/>
      <c r="F1717" s="6"/>
      <c r="G1717" s="6"/>
      <c r="H1717" s="6"/>
      <c r="I1717" s="6"/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</row>
    <row r="1718" spans="1:26" ht="16.8" x14ac:dyDescent="0.45">
      <c r="A1718" s="6"/>
      <c r="B1718" s="7"/>
      <c r="C1718" s="6"/>
      <c r="D1718" s="6"/>
      <c r="E1718" s="6"/>
      <c r="F1718" s="6"/>
      <c r="G1718" s="6"/>
      <c r="H1718" s="6"/>
      <c r="I1718" s="6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</row>
    <row r="1719" spans="1:26" ht="16.8" x14ac:dyDescent="0.45">
      <c r="A1719" s="6"/>
      <c r="B1719" s="7"/>
      <c r="C1719" s="6"/>
      <c r="D1719" s="6"/>
      <c r="E1719" s="6"/>
      <c r="F1719" s="6"/>
      <c r="G1719" s="6"/>
      <c r="H1719" s="6"/>
      <c r="I1719" s="6"/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</row>
    <row r="1720" spans="1:26" ht="16.8" x14ac:dyDescent="0.45">
      <c r="A1720" s="6"/>
      <c r="B1720" s="7"/>
      <c r="C1720" s="6"/>
      <c r="D1720" s="6"/>
      <c r="E1720" s="6"/>
      <c r="F1720" s="6"/>
      <c r="G1720" s="6"/>
      <c r="H1720" s="6"/>
      <c r="I1720" s="6"/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</row>
    <row r="1721" spans="1:26" ht="16.8" x14ac:dyDescent="0.45">
      <c r="A1721" s="6"/>
      <c r="B1721" s="7"/>
      <c r="C1721" s="6"/>
      <c r="D1721" s="6"/>
      <c r="E1721" s="6"/>
      <c r="F1721" s="6"/>
      <c r="G1721" s="6"/>
      <c r="H1721" s="6"/>
      <c r="I1721" s="6"/>
      <c r="J1721" s="6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</row>
    <row r="1722" spans="1:26" ht="16.8" x14ac:dyDescent="0.45">
      <c r="A1722" s="6"/>
      <c r="B1722" s="7"/>
      <c r="C1722" s="6"/>
      <c r="D1722" s="6"/>
      <c r="E1722" s="6"/>
      <c r="F1722" s="6"/>
      <c r="G1722" s="6"/>
      <c r="H1722" s="6"/>
      <c r="I1722" s="6"/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</row>
    <row r="1723" spans="1:26" ht="16.8" x14ac:dyDescent="0.45">
      <c r="A1723" s="6"/>
      <c r="B1723" s="7"/>
      <c r="C1723" s="6"/>
      <c r="D1723" s="6"/>
      <c r="E1723" s="6"/>
      <c r="F1723" s="6"/>
      <c r="G1723" s="6"/>
      <c r="H1723" s="6"/>
      <c r="I1723" s="6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</row>
    <row r="1724" spans="1:26" ht="16.8" x14ac:dyDescent="0.45">
      <c r="A1724" s="6"/>
      <c r="B1724" s="7"/>
      <c r="C1724" s="6"/>
      <c r="D1724" s="6"/>
      <c r="E1724" s="6"/>
      <c r="F1724" s="6"/>
      <c r="G1724" s="6"/>
      <c r="H1724" s="6"/>
      <c r="I1724" s="6"/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</row>
    <row r="1725" spans="1:26" ht="16.8" x14ac:dyDescent="0.45">
      <c r="A1725" s="6"/>
      <c r="B1725" s="7"/>
      <c r="C1725" s="6"/>
      <c r="D1725" s="6"/>
      <c r="E1725" s="6"/>
      <c r="F1725" s="6"/>
      <c r="G1725" s="6"/>
      <c r="H1725" s="6"/>
      <c r="I1725" s="6"/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</row>
    <row r="1726" spans="1:26" ht="16.8" x14ac:dyDescent="0.45">
      <c r="A1726" s="6"/>
      <c r="B1726" s="7"/>
      <c r="C1726" s="6"/>
      <c r="D1726" s="6"/>
      <c r="E1726" s="6"/>
      <c r="F1726" s="6"/>
      <c r="G1726" s="6"/>
      <c r="H1726" s="6"/>
      <c r="I1726" s="6"/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</row>
    <row r="1727" spans="1:26" ht="16.8" x14ac:dyDescent="0.45">
      <c r="A1727" s="6"/>
      <c r="B1727" s="7"/>
      <c r="C1727" s="6"/>
      <c r="D1727" s="6"/>
      <c r="E1727" s="6"/>
      <c r="F1727" s="6"/>
      <c r="G1727" s="6"/>
      <c r="H1727" s="6"/>
      <c r="I1727" s="6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</row>
    <row r="1728" spans="1:26" ht="16.8" x14ac:dyDescent="0.45">
      <c r="A1728" s="6"/>
      <c r="B1728" s="7"/>
      <c r="C1728" s="6"/>
      <c r="D1728" s="6"/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</row>
    <row r="1729" spans="1:26" ht="16.8" x14ac:dyDescent="0.45">
      <c r="A1729" s="6"/>
      <c r="B1729" s="7"/>
      <c r="C1729" s="6"/>
      <c r="D1729" s="6"/>
      <c r="E1729" s="6"/>
      <c r="F1729" s="6"/>
      <c r="G1729" s="6"/>
      <c r="H1729" s="6"/>
      <c r="I1729" s="6"/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</row>
    <row r="1730" spans="1:26" ht="16.8" x14ac:dyDescent="0.45">
      <c r="A1730" s="6"/>
      <c r="B1730" s="7"/>
      <c r="C1730" s="6"/>
      <c r="D1730" s="6"/>
      <c r="E1730" s="6"/>
      <c r="F1730" s="6"/>
      <c r="G1730" s="6"/>
      <c r="H1730" s="6"/>
      <c r="I1730" s="6"/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</row>
    <row r="1731" spans="1:26" ht="16.8" x14ac:dyDescent="0.45">
      <c r="A1731" s="6"/>
      <c r="B1731" s="7"/>
      <c r="C1731" s="6"/>
      <c r="D1731" s="6"/>
      <c r="E1731" s="6"/>
      <c r="F1731" s="6"/>
      <c r="G1731" s="6"/>
      <c r="H1731" s="6"/>
      <c r="I1731" s="6"/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</row>
    <row r="1732" spans="1:26" ht="16.8" x14ac:dyDescent="0.45">
      <c r="A1732" s="6"/>
      <c r="B1732" s="7"/>
      <c r="C1732" s="6"/>
      <c r="D1732" s="6"/>
      <c r="E1732" s="6"/>
      <c r="F1732" s="6"/>
      <c r="G1732" s="6"/>
      <c r="H1732" s="6"/>
      <c r="I1732" s="6"/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</row>
    <row r="1733" spans="1:26" ht="16.8" x14ac:dyDescent="0.45">
      <c r="A1733" s="6"/>
      <c r="B1733" s="7"/>
      <c r="C1733" s="6"/>
      <c r="D1733" s="6"/>
      <c r="E1733" s="6"/>
      <c r="F1733" s="6"/>
      <c r="G1733" s="6"/>
      <c r="H1733" s="6"/>
      <c r="I1733" s="6"/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</row>
    <row r="1734" spans="1:26" ht="16.8" x14ac:dyDescent="0.45">
      <c r="A1734" s="6"/>
      <c r="B1734" s="7"/>
      <c r="C1734" s="6"/>
      <c r="D1734" s="6"/>
      <c r="E1734" s="6"/>
      <c r="F1734" s="6"/>
      <c r="G1734" s="6"/>
      <c r="H1734" s="6"/>
      <c r="I1734" s="6"/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</row>
    <row r="1735" spans="1:26" ht="16.8" x14ac:dyDescent="0.45">
      <c r="A1735" s="6"/>
      <c r="B1735" s="7"/>
      <c r="C1735" s="6"/>
      <c r="D1735" s="6"/>
      <c r="E1735" s="6"/>
      <c r="F1735" s="6"/>
      <c r="G1735" s="6"/>
      <c r="H1735" s="6"/>
      <c r="I1735" s="6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</row>
    <row r="1736" spans="1:26" ht="16.8" x14ac:dyDescent="0.45">
      <c r="A1736" s="6"/>
      <c r="B1736" s="7"/>
      <c r="C1736" s="6"/>
      <c r="D1736" s="6"/>
      <c r="E1736" s="6"/>
      <c r="F1736" s="6"/>
      <c r="G1736" s="6"/>
      <c r="H1736" s="6"/>
      <c r="I1736" s="6"/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</row>
    <row r="1737" spans="1:26" ht="16.8" x14ac:dyDescent="0.45">
      <c r="A1737" s="6"/>
      <c r="B1737" s="7"/>
      <c r="C1737" s="6"/>
      <c r="D1737" s="6"/>
      <c r="E1737" s="6"/>
      <c r="F1737" s="6"/>
      <c r="G1737" s="6"/>
      <c r="H1737" s="6"/>
      <c r="I1737" s="6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</row>
    <row r="1738" spans="1:26" ht="16.8" x14ac:dyDescent="0.45">
      <c r="A1738" s="6"/>
      <c r="B1738" s="7"/>
      <c r="C1738" s="6"/>
      <c r="D1738" s="6"/>
      <c r="E1738" s="6"/>
      <c r="F1738" s="6"/>
      <c r="G1738" s="6"/>
      <c r="H1738" s="6"/>
      <c r="I1738" s="6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</row>
    <row r="1739" spans="1:26" ht="16.8" x14ac:dyDescent="0.45">
      <c r="A1739" s="6"/>
      <c r="B1739" s="7"/>
      <c r="C1739" s="6"/>
      <c r="D1739" s="6"/>
      <c r="E1739" s="6"/>
      <c r="F1739" s="6"/>
      <c r="G1739" s="6"/>
      <c r="H1739" s="6"/>
      <c r="I1739" s="6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</row>
    <row r="1740" spans="1:26" ht="16.8" x14ac:dyDescent="0.45">
      <c r="A1740" s="6"/>
      <c r="B1740" s="7"/>
      <c r="C1740" s="6"/>
      <c r="D1740" s="6"/>
      <c r="E1740" s="6"/>
      <c r="F1740" s="6"/>
      <c r="G1740" s="6"/>
      <c r="H1740" s="6"/>
      <c r="I1740" s="6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</row>
    <row r="1741" spans="1:26" ht="16.8" x14ac:dyDescent="0.45">
      <c r="A1741" s="6"/>
      <c r="B1741" s="7"/>
      <c r="C1741" s="6"/>
      <c r="D1741" s="6"/>
      <c r="E1741" s="6"/>
      <c r="F1741" s="6"/>
      <c r="G1741" s="6"/>
      <c r="H1741" s="6"/>
      <c r="I1741" s="6"/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</row>
    <row r="1742" spans="1:26" ht="16.8" x14ac:dyDescent="0.45">
      <c r="A1742" s="6"/>
      <c r="B1742" s="7"/>
      <c r="C1742" s="6"/>
      <c r="D1742" s="6"/>
      <c r="E1742" s="6"/>
      <c r="F1742" s="6"/>
      <c r="G1742" s="6"/>
      <c r="H1742" s="6"/>
      <c r="I1742" s="6"/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</row>
    <row r="1743" spans="1:26" ht="16.8" x14ac:dyDescent="0.45">
      <c r="A1743" s="6"/>
      <c r="B1743" s="7"/>
      <c r="C1743" s="6"/>
      <c r="D1743" s="6"/>
      <c r="E1743" s="6"/>
      <c r="F1743" s="6"/>
      <c r="G1743" s="6"/>
      <c r="H1743" s="6"/>
      <c r="I1743" s="6"/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</row>
    <row r="1744" spans="1:26" ht="16.8" x14ac:dyDescent="0.45">
      <c r="A1744" s="6"/>
      <c r="B1744" s="7"/>
      <c r="C1744" s="6"/>
      <c r="D1744" s="6"/>
      <c r="E1744" s="6"/>
      <c r="F1744" s="6"/>
      <c r="G1744" s="6"/>
      <c r="H1744" s="6"/>
      <c r="I1744" s="6"/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</row>
    <row r="1745" spans="1:26" ht="16.8" x14ac:dyDescent="0.45">
      <c r="A1745" s="6"/>
      <c r="B1745" s="7"/>
      <c r="C1745" s="6"/>
      <c r="D1745" s="6"/>
      <c r="E1745" s="6"/>
      <c r="F1745" s="6"/>
      <c r="G1745" s="6"/>
      <c r="H1745" s="6"/>
      <c r="I1745" s="6"/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</row>
    <row r="1746" spans="1:26" ht="16.8" x14ac:dyDescent="0.45">
      <c r="A1746" s="6"/>
      <c r="B1746" s="7"/>
      <c r="C1746" s="6"/>
      <c r="D1746" s="6"/>
      <c r="E1746" s="6"/>
      <c r="F1746" s="6"/>
      <c r="G1746" s="6"/>
      <c r="H1746" s="6"/>
      <c r="I1746" s="6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</row>
    <row r="1747" spans="1:26" ht="16.8" x14ac:dyDescent="0.45">
      <c r="A1747" s="6"/>
      <c r="B1747" s="7"/>
      <c r="C1747" s="6"/>
      <c r="D1747" s="6"/>
      <c r="E1747" s="6"/>
      <c r="F1747" s="6"/>
      <c r="G1747" s="6"/>
      <c r="H1747" s="6"/>
      <c r="I1747" s="6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</row>
    <row r="1748" spans="1:26" ht="16.8" x14ac:dyDescent="0.45">
      <c r="A1748" s="6"/>
      <c r="B1748" s="7"/>
      <c r="C1748" s="6"/>
      <c r="D1748" s="6"/>
      <c r="E1748" s="6"/>
      <c r="F1748" s="6"/>
      <c r="G1748" s="6"/>
      <c r="H1748" s="6"/>
      <c r="I1748" s="6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</row>
    <row r="1749" spans="1:26" ht="16.8" x14ac:dyDescent="0.45">
      <c r="A1749" s="6"/>
      <c r="B1749" s="7"/>
      <c r="C1749" s="6"/>
      <c r="D1749" s="6"/>
      <c r="E1749" s="6"/>
      <c r="F1749" s="6"/>
      <c r="G1749" s="6"/>
      <c r="H1749" s="6"/>
      <c r="I1749" s="6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</row>
    <row r="1750" spans="1:26" ht="16.8" x14ac:dyDescent="0.45">
      <c r="A1750" s="6"/>
      <c r="B1750" s="7"/>
      <c r="C1750" s="6"/>
      <c r="D1750" s="6"/>
      <c r="E1750" s="6"/>
      <c r="F1750" s="6"/>
      <c r="G1750" s="6"/>
      <c r="H1750" s="6"/>
      <c r="I1750" s="6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</row>
    <row r="1751" spans="1:26" ht="16.8" x14ac:dyDescent="0.45">
      <c r="A1751" s="6"/>
      <c r="B1751" s="7"/>
      <c r="C1751" s="6"/>
      <c r="D1751" s="6"/>
      <c r="E1751" s="6"/>
      <c r="F1751" s="6"/>
      <c r="G1751" s="6"/>
      <c r="H1751" s="6"/>
      <c r="I1751" s="6"/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</row>
    <row r="1752" spans="1:26" ht="16.8" x14ac:dyDescent="0.45">
      <c r="A1752" s="6"/>
      <c r="B1752" s="7"/>
      <c r="C1752" s="6"/>
      <c r="D1752" s="6"/>
      <c r="E1752" s="6"/>
      <c r="F1752" s="6"/>
      <c r="G1752" s="6"/>
      <c r="H1752" s="6"/>
      <c r="I1752" s="6"/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</row>
    <row r="1753" spans="1:26" ht="16.8" x14ac:dyDescent="0.45">
      <c r="A1753" s="6"/>
      <c r="B1753" s="7"/>
      <c r="C1753" s="6"/>
      <c r="D1753" s="6"/>
      <c r="E1753" s="6"/>
      <c r="F1753" s="6"/>
      <c r="G1753" s="6"/>
      <c r="H1753" s="6"/>
      <c r="I1753" s="6"/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</row>
    <row r="1754" spans="1:26" ht="16.8" x14ac:dyDescent="0.45">
      <c r="A1754" s="6"/>
      <c r="B1754" s="7"/>
      <c r="C1754" s="6"/>
      <c r="D1754" s="6"/>
      <c r="E1754" s="6"/>
      <c r="F1754" s="6"/>
      <c r="G1754" s="6"/>
      <c r="H1754" s="6"/>
      <c r="I1754" s="6"/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</row>
    <row r="1755" spans="1:26" ht="16.8" x14ac:dyDescent="0.45">
      <c r="A1755" s="6"/>
      <c r="B1755" s="7"/>
      <c r="C1755" s="6"/>
      <c r="D1755" s="6"/>
      <c r="E1755" s="6"/>
      <c r="F1755" s="6"/>
      <c r="G1755" s="6"/>
      <c r="H1755" s="6"/>
      <c r="I1755" s="6"/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</row>
    <row r="1756" spans="1:26" ht="16.8" x14ac:dyDescent="0.45">
      <c r="A1756" s="6"/>
      <c r="B1756" s="7"/>
      <c r="C1756" s="6"/>
      <c r="D1756" s="6"/>
      <c r="E1756" s="6"/>
      <c r="F1756" s="6"/>
      <c r="G1756" s="6"/>
      <c r="H1756" s="6"/>
      <c r="I1756" s="6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</row>
    <row r="1757" spans="1:26" ht="16.8" x14ac:dyDescent="0.45">
      <c r="A1757" s="6"/>
      <c r="B1757" s="7"/>
      <c r="C1757" s="6"/>
      <c r="D1757" s="6"/>
      <c r="E1757" s="6"/>
      <c r="F1757" s="6"/>
      <c r="G1757" s="6"/>
      <c r="H1757" s="6"/>
      <c r="I1757" s="6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</row>
    <row r="1758" spans="1:26" ht="16.8" x14ac:dyDescent="0.45">
      <c r="A1758" s="6"/>
      <c r="B1758" s="7"/>
      <c r="C1758" s="6"/>
      <c r="D1758" s="6"/>
      <c r="E1758" s="6"/>
      <c r="F1758" s="6"/>
      <c r="G1758" s="6"/>
      <c r="H1758" s="6"/>
      <c r="I1758" s="6"/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</row>
    <row r="1759" spans="1:26" ht="16.8" x14ac:dyDescent="0.45">
      <c r="A1759" s="6"/>
      <c r="B1759" s="7"/>
      <c r="C1759" s="6"/>
      <c r="D1759" s="6"/>
      <c r="E1759" s="6"/>
      <c r="F1759" s="6"/>
      <c r="G1759" s="6"/>
      <c r="H1759" s="6"/>
      <c r="I1759" s="6"/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</row>
    <row r="1760" spans="1:26" ht="16.8" x14ac:dyDescent="0.45">
      <c r="A1760" s="6"/>
      <c r="B1760" s="7"/>
      <c r="C1760" s="6"/>
      <c r="D1760" s="6"/>
      <c r="E1760" s="6"/>
      <c r="F1760" s="6"/>
      <c r="G1760" s="6"/>
      <c r="H1760" s="6"/>
      <c r="I1760" s="6"/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</row>
    <row r="1761" spans="1:26" ht="16.8" x14ac:dyDescent="0.45">
      <c r="A1761" s="6"/>
      <c r="B1761" s="7"/>
      <c r="C1761" s="6"/>
      <c r="D1761" s="6"/>
      <c r="E1761" s="6"/>
      <c r="F1761" s="6"/>
      <c r="G1761" s="6"/>
      <c r="H1761" s="6"/>
      <c r="I1761" s="6"/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</row>
    <row r="1762" spans="1:26" ht="16.8" x14ac:dyDescent="0.45">
      <c r="A1762" s="6"/>
      <c r="B1762" s="7"/>
      <c r="C1762" s="6"/>
      <c r="D1762" s="6"/>
      <c r="E1762" s="6"/>
      <c r="F1762" s="6"/>
      <c r="G1762" s="6"/>
      <c r="H1762" s="6"/>
      <c r="I1762" s="6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</row>
    <row r="1763" spans="1:26" ht="16.8" x14ac:dyDescent="0.45">
      <c r="A1763" s="6"/>
      <c r="B1763" s="7"/>
      <c r="C1763" s="6"/>
      <c r="D1763" s="6"/>
      <c r="E1763" s="6"/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</row>
    <row r="1764" spans="1:26" ht="16.8" x14ac:dyDescent="0.45">
      <c r="A1764" s="6"/>
      <c r="B1764" s="7"/>
      <c r="C1764" s="6"/>
      <c r="D1764" s="6"/>
      <c r="E1764" s="6"/>
      <c r="F1764" s="6"/>
      <c r="G1764" s="6"/>
      <c r="H1764" s="6"/>
      <c r="I1764" s="6"/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</row>
    <row r="1765" spans="1:26" ht="16.8" x14ac:dyDescent="0.45">
      <c r="A1765" s="6"/>
      <c r="B1765" s="7"/>
      <c r="C1765" s="6"/>
      <c r="D1765" s="6"/>
      <c r="E1765" s="6"/>
      <c r="F1765" s="6"/>
      <c r="G1765" s="6"/>
      <c r="H1765" s="6"/>
      <c r="I1765" s="6"/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</row>
    <row r="1766" spans="1:26" ht="16.8" x14ac:dyDescent="0.45">
      <c r="A1766" s="6"/>
      <c r="B1766" s="7"/>
      <c r="C1766" s="6"/>
      <c r="D1766" s="6"/>
      <c r="E1766" s="6"/>
      <c r="F1766" s="6"/>
      <c r="G1766" s="6"/>
      <c r="H1766" s="6"/>
      <c r="I1766" s="6"/>
      <c r="J1766" s="6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</row>
    <row r="1767" spans="1:26" ht="16.8" x14ac:dyDescent="0.45">
      <c r="A1767" s="6"/>
      <c r="B1767" s="7"/>
      <c r="C1767" s="6"/>
      <c r="D1767" s="6"/>
      <c r="E1767" s="6"/>
      <c r="F1767" s="6"/>
      <c r="G1767" s="6"/>
      <c r="H1767" s="6"/>
      <c r="I1767" s="6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</row>
    <row r="1768" spans="1:26" ht="16.8" x14ac:dyDescent="0.45">
      <c r="A1768" s="6"/>
      <c r="B1768" s="7"/>
      <c r="C1768" s="6"/>
      <c r="D1768" s="6"/>
      <c r="E1768" s="6"/>
      <c r="F1768" s="6"/>
      <c r="G1768" s="6"/>
      <c r="H1768" s="6"/>
      <c r="I1768" s="6"/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</row>
    <row r="1769" spans="1:26" ht="16.8" x14ac:dyDescent="0.45">
      <c r="A1769" s="6"/>
      <c r="B1769" s="7"/>
      <c r="C1769" s="6"/>
      <c r="D1769" s="6"/>
      <c r="E1769" s="6"/>
      <c r="F1769" s="6"/>
      <c r="G1769" s="6"/>
      <c r="H1769" s="6"/>
      <c r="I1769" s="6"/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</row>
    <row r="1770" spans="1:26" ht="16.8" x14ac:dyDescent="0.45">
      <c r="A1770" s="6"/>
      <c r="B1770" s="7"/>
      <c r="C1770" s="6"/>
      <c r="D1770" s="6"/>
      <c r="E1770" s="6"/>
      <c r="F1770" s="6"/>
      <c r="G1770" s="6"/>
      <c r="H1770" s="6"/>
      <c r="I1770" s="6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</row>
    <row r="1771" spans="1:26" ht="16.8" x14ac:dyDescent="0.45">
      <c r="A1771" s="6"/>
      <c r="B1771" s="7"/>
      <c r="C1771" s="6"/>
      <c r="D1771" s="6"/>
      <c r="E1771" s="6"/>
      <c r="F1771" s="6"/>
      <c r="G1771" s="6"/>
      <c r="H1771" s="6"/>
      <c r="I1771" s="6"/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</row>
    <row r="1772" spans="1:26" ht="16.8" x14ac:dyDescent="0.45">
      <c r="A1772" s="6"/>
      <c r="B1772" s="7"/>
      <c r="C1772" s="6"/>
      <c r="D1772" s="6"/>
      <c r="E1772" s="6"/>
      <c r="F1772" s="6"/>
      <c r="G1772" s="6"/>
      <c r="H1772" s="6"/>
      <c r="I1772" s="6"/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</row>
    <row r="1773" spans="1:26" ht="16.8" x14ac:dyDescent="0.45">
      <c r="A1773" s="6"/>
      <c r="B1773" s="7"/>
      <c r="C1773" s="6"/>
      <c r="D1773" s="6"/>
      <c r="E1773" s="6"/>
      <c r="F1773" s="6"/>
      <c r="G1773" s="6"/>
      <c r="H1773" s="6"/>
      <c r="I1773" s="6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</row>
    <row r="1774" spans="1:26" ht="16.8" x14ac:dyDescent="0.45">
      <c r="A1774" s="6"/>
      <c r="B1774" s="7"/>
      <c r="C1774" s="6"/>
      <c r="D1774" s="6"/>
      <c r="E1774" s="6"/>
      <c r="F1774" s="6"/>
      <c r="G1774" s="6"/>
      <c r="H1774" s="6"/>
      <c r="I1774" s="6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</row>
    <row r="1775" spans="1:26" ht="16.8" x14ac:dyDescent="0.45">
      <c r="A1775" s="6"/>
      <c r="B1775" s="7"/>
      <c r="C1775" s="6"/>
      <c r="D1775" s="6"/>
      <c r="E1775" s="6"/>
      <c r="F1775" s="6"/>
      <c r="G1775" s="6"/>
      <c r="H1775" s="6"/>
      <c r="I1775" s="6"/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</row>
    <row r="1776" spans="1:26" ht="16.8" x14ac:dyDescent="0.45">
      <c r="A1776" s="6"/>
      <c r="B1776" s="7"/>
      <c r="C1776" s="6"/>
      <c r="D1776" s="6"/>
      <c r="E1776" s="6"/>
      <c r="F1776" s="6"/>
      <c r="G1776" s="6"/>
      <c r="H1776" s="6"/>
      <c r="I1776" s="6"/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</row>
    <row r="1777" spans="1:26" ht="16.8" x14ac:dyDescent="0.45">
      <c r="A1777" s="6"/>
      <c r="B1777" s="7"/>
      <c r="C1777" s="6"/>
      <c r="D1777" s="6"/>
      <c r="E1777" s="6"/>
      <c r="F1777" s="6"/>
      <c r="G1777" s="6"/>
      <c r="H1777" s="6"/>
      <c r="I1777" s="6"/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</row>
    <row r="1778" spans="1:26" ht="16.8" x14ac:dyDescent="0.45">
      <c r="A1778" s="6"/>
      <c r="B1778" s="7"/>
      <c r="C1778" s="6"/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</row>
    <row r="1779" spans="1:26" ht="16.8" x14ac:dyDescent="0.45">
      <c r="A1779" s="6"/>
      <c r="B1779" s="7"/>
      <c r="C1779" s="6"/>
      <c r="D1779" s="6"/>
      <c r="E1779" s="6"/>
      <c r="F1779" s="6"/>
      <c r="G1779" s="6"/>
      <c r="H1779" s="6"/>
      <c r="I1779" s="6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</row>
    <row r="1780" spans="1:26" ht="16.8" x14ac:dyDescent="0.45">
      <c r="A1780" s="6"/>
      <c r="B1780" s="7"/>
      <c r="C1780" s="6"/>
      <c r="D1780" s="6"/>
      <c r="E1780" s="6"/>
      <c r="F1780" s="6"/>
      <c r="G1780" s="6"/>
      <c r="H1780" s="6"/>
      <c r="I1780" s="6"/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</row>
    <row r="1781" spans="1:26" ht="16.8" x14ac:dyDescent="0.45">
      <c r="A1781" s="6"/>
      <c r="B1781" s="7"/>
      <c r="C1781" s="6"/>
      <c r="D1781" s="6"/>
      <c r="E1781" s="6"/>
      <c r="F1781" s="6"/>
      <c r="G1781" s="6"/>
      <c r="H1781" s="6"/>
      <c r="I1781" s="6"/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</row>
    <row r="1782" spans="1:26" ht="16.8" x14ac:dyDescent="0.45">
      <c r="A1782" s="6"/>
      <c r="B1782" s="7"/>
      <c r="C1782" s="6"/>
      <c r="D1782" s="6"/>
      <c r="E1782" s="6"/>
      <c r="F1782" s="6"/>
      <c r="G1782" s="6"/>
      <c r="H1782" s="6"/>
      <c r="I1782" s="6"/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</row>
    <row r="1783" spans="1:26" ht="16.8" x14ac:dyDescent="0.45">
      <c r="A1783" s="6"/>
      <c r="B1783" s="7"/>
      <c r="C1783" s="6"/>
      <c r="D1783" s="6"/>
      <c r="E1783" s="6"/>
      <c r="F1783" s="6"/>
      <c r="G1783" s="6"/>
      <c r="H1783" s="6"/>
      <c r="I1783" s="6"/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</row>
    <row r="1784" spans="1:26" ht="16.8" x14ac:dyDescent="0.45">
      <c r="A1784" s="6"/>
      <c r="B1784" s="7"/>
      <c r="C1784" s="6"/>
      <c r="D1784" s="6"/>
      <c r="E1784" s="6"/>
      <c r="F1784" s="6"/>
      <c r="G1784" s="6"/>
      <c r="H1784" s="6"/>
      <c r="I1784" s="6"/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</row>
    <row r="1785" spans="1:26" ht="16.8" x14ac:dyDescent="0.45">
      <c r="A1785" s="6"/>
      <c r="B1785" s="7"/>
      <c r="C1785" s="6"/>
      <c r="D1785" s="6"/>
      <c r="E1785" s="6"/>
      <c r="F1785" s="6"/>
      <c r="G1785" s="6"/>
      <c r="H1785" s="6"/>
      <c r="I1785" s="6"/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</row>
    <row r="1786" spans="1:26" ht="16.8" x14ac:dyDescent="0.45">
      <c r="A1786" s="6"/>
      <c r="B1786" s="7"/>
      <c r="C1786" s="6"/>
      <c r="D1786" s="6"/>
      <c r="E1786" s="6"/>
      <c r="F1786" s="6"/>
      <c r="G1786" s="6"/>
      <c r="H1786" s="6"/>
      <c r="I1786" s="6"/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</row>
    <row r="1787" spans="1:26" ht="16.8" x14ac:dyDescent="0.45">
      <c r="A1787" s="6"/>
      <c r="B1787" s="7"/>
      <c r="C1787" s="6"/>
      <c r="D1787" s="6"/>
      <c r="E1787" s="6"/>
      <c r="F1787" s="6"/>
      <c r="G1787" s="6"/>
      <c r="H1787" s="6"/>
      <c r="I1787" s="6"/>
      <c r="J1787" s="6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</row>
    <row r="1788" spans="1:26" ht="16.8" x14ac:dyDescent="0.45">
      <c r="A1788" s="6"/>
      <c r="B1788" s="7"/>
      <c r="C1788" s="6"/>
      <c r="D1788" s="6"/>
      <c r="E1788" s="6"/>
      <c r="F1788" s="6"/>
      <c r="G1788" s="6"/>
      <c r="H1788" s="6"/>
      <c r="I1788" s="6"/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</row>
    <row r="1789" spans="1:26" ht="16.8" x14ac:dyDescent="0.45">
      <c r="A1789" s="6"/>
      <c r="B1789" s="7"/>
      <c r="C1789" s="6"/>
      <c r="D1789" s="6"/>
      <c r="E1789" s="6"/>
      <c r="F1789" s="6"/>
      <c r="G1789" s="6"/>
      <c r="H1789" s="6"/>
      <c r="I1789" s="6"/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</row>
    <row r="1790" spans="1:26" ht="16.8" x14ac:dyDescent="0.45">
      <c r="A1790" s="6"/>
      <c r="B1790" s="7"/>
      <c r="C1790" s="6"/>
      <c r="D1790" s="6"/>
      <c r="E1790" s="6"/>
      <c r="F1790" s="6"/>
      <c r="G1790" s="6"/>
      <c r="H1790" s="6"/>
      <c r="I1790" s="6"/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</row>
    <row r="1791" spans="1:26" ht="16.8" x14ac:dyDescent="0.45">
      <c r="A1791" s="6"/>
      <c r="B1791" s="7"/>
      <c r="C1791" s="6"/>
      <c r="D1791" s="6"/>
      <c r="E1791" s="6"/>
      <c r="F1791" s="6"/>
      <c r="G1791" s="6"/>
      <c r="H1791" s="6"/>
      <c r="I1791" s="6"/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</row>
    <row r="1792" spans="1:26" ht="16.8" x14ac:dyDescent="0.45">
      <c r="A1792" s="6"/>
      <c r="B1792" s="7"/>
      <c r="C1792" s="6"/>
      <c r="D1792" s="6"/>
      <c r="E1792" s="6"/>
      <c r="F1792" s="6"/>
      <c r="G1792" s="6"/>
      <c r="H1792" s="6"/>
      <c r="I1792" s="6"/>
      <c r="J1792" s="6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</row>
    <row r="1793" spans="1:26" ht="16.8" x14ac:dyDescent="0.45">
      <c r="A1793" s="6"/>
      <c r="B1793" s="7"/>
      <c r="C1793" s="6"/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</row>
    <row r="1794" spans="1:26" ht="16.8" x14ac:dyDescent="0.45">
      <c r="A1794" s="6"/>
      <c r="B1794" s="7"/>
      <c r="C1794" s="6"/>
      <c r="D1794" s="6"/>
      <c r="E1794" s="6"/>
      <c r="F1794" s="6"/>
      <c r="G1794" s="6"/>
      <c r="H1794" s="6"/>
      <c r="I1794" s="6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</row>
    <row r="1795" spans="1:26" ht="16.8" x14ac:dyDescent="0.45">
      <c r="A1795" s="6"/>
      <c r="B1795" s="7"/>
      <c r="C1795" s="6"/>
      <c r="D1795" s="6"/>
      <c r="E1795" s="6"/>
      <c r="F1795" s="6"/>
      <c r="G1795" s="6"/>
      <c r="H1795" s="6"/>
      <c r="I1795" s="6"/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</row>
    <row r="1796" spans="1:26" ht="16.8" x14ac:dyDescent="0.45">
      <c r="A1796" s="6"/>
      <c r="B1796" s="7"/>
      <c r="C1796" s="6"/>
      <c r="D1796" s="6"/>
      <c r="E1796" s="6"/>
      <c r="F1796" s="6"/>
      <c r="G1796" s="6"/>
      <c r="H1796" s="6"/>
      <c r="I1796" s="6"/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</row>
    <row r="1797" spans="1:26" ht="16.8" x14ac:dyDescent="0.45">
      <c r="A1797" s="6"/>
      <c r="B1797" s="7"/>
      <c r="C1797" s="6"/>
      <c r="D1797" s="6"/>
      <c r="E1797" s="6"/>
      <c r="F1797" s="6"/>
      <c r="G1797" s="6"/>
      <c r="H1797" s="6"/>
      <c r="I1797" s="6"/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</row>
    <row r="1798" spans="1:26" ht="16.8" x14ac:dyDescent="0.45">
      <c r="A1798" s="6"/>
      <c r="B1798" s="7"/>
      <c r="C1798" s="6"/>
      <c r="D1798" s="6"/>
      <c r="E1798" s="6"/>
      <c r="F1798" s="6"/>
      <c r="G1798" s="6"/>
      <c r="H1798" s="6"/>
      <c r="I1798" s="6"/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</row>
    <row r="1799" spans="1:26" ht="16.8" x14ac:dyDescent="0.45">
      <c r="A1799" s="6"/>
      <c r="B1799" s="7"/>
      <c r="C1799" s="6"/>
      <c r="D1799" s="6"/>
      <c r="E1799" s="6"/>
      <c r="F1799" s="6"/>
      <c r="G1799" s="6"/>
      <c r="H1799" s="6"/>
      <c r="I1799" s="6"/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</row>
    <row r="1800" spans="1:26" ht="16.8" x14ac:dyDescent="0.45">
      <c r="A1800" s="6"/>
      <c r="B1800" s="7"/>
      <c r="C1800" s="6"/>
      <c r="D1800" s="6"/>
      <c r="E1800" s="6"/>
      <c r="F1800" s="6"/>
      <c r="G1800" s="6"/>
      <c r="H1800" s="6"/>
      <c r="I1800" s="6"/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</row>
    <row r="1801" spans="1:26" ht="16.8" x14ac:dyDescent="0.45">
      <c r="A1801" s="6"/>
      <c r="B1801" s="7"/>
      <c r="C1801" s="6"/>
      <c r="D1801" s="6"/>
      <c r="E1801" s="6"/>
      <c r="F1801" s="6"/>
      <c r="G1801" s="6"/>
      <c r="H1801" s="6"/>
      <c r="I1801" s="6"/>
      <c r="J1801" s="6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</row>
    <row r="1802" spans="1:26" ht="16.8" x14ac:dyDescent="0.45">
      <c r="A1802" s="6"/>
      <c r="B1802" s="7"/>
      <c r="C1802" s="6"/>
      <c r="D1802" s="6"/>
      <c r="E1802" s="6"/>
      <c r="F1802" s="6"/>
      <c r="G1802" s="6"/>
      <c r="H1802" s="6"/>
      <c r="I1802" s="6"/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</row>
    <row r="1803" spans="1:26" ht="16.8" x14ac:dyDescent="0.45">
      <c r="A1803" s="6"/>
      <c r="B1803" s="7"/>
      <c r="C1803" s="6"/>
      <c r="D1803" s="6"/>
      <c r="E1803" s="6"/>
      <c r="F1803" s="6"/>
      <c r="G1803" s="6"/>
      <c r="H1803" s="6"/>
      <c r="I1803" s="6"/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</row>
    <row r="1804" spans="1:26" ht="16.8" x14ac:dyDescent="0.45">
      <c r="A1804" s="6"/>
      <c r="B1804" s="7"/>
      <c r="C1804" s="6"/>
      <c r="D1804" s="6"/>
      <c r="E1804" s="6"/>
      <c r="F1804" s="6"/>
      <c r="G1804" s="6"/>
      <c r="H1804" s="6"/>
      <c r="I1804" s="6"/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</row>
    <row r="1805" spans="1:26" ht="16.8" x14ac:dyDescent="0.45">
      <c r="A1805" s="6"/>
      <c r="B1805" s="7"/>
      <c r="C1805" s="6"/>
      <c r="D1805" s="6"/>
      <c r="E1805" s="6"/>
      <c r="F1805" s="6"/>
      <c r="G1805" s="6"/>
      <c r="H1805" s="6"/>
      <c r="I1805" s="6"/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</row>
    <row r="1806" spans="1:26" ht="16.8" x14ac:dyDescent="0.45">
      <c r="A1806" s="6"/>
      <c r="B1806" s="7"/>
      <c r="C1806" s="6"/>
      <c r="D1806" s="6"/>
      <c r="E1806" s="6"/>
      <c r="F1806" s="6"/>
      <c r="G1806" s="6"/>
      <c r="H1806" s="6"/>
      <c r="I1806" s="6"/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</row>
    <row r="1807" spans="1:26" ht="16.8" x14ac:dyDescent="0.45">
      <c r="A1807" s="6"/>
      <c r="B1807" s="7"/>
      <c r="C1807" s="6"/>
      <c r="D1807" s="6"/>
      <c r="E1807" s="6"/>
      <c r="F1807" s="6"/>
      <c r="G1807" s="6"/>
      <c r="H1807" s="6"/>
      <c r="I1807" s="6"/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</row>
    <row r="1808" spans="1:26" ht="16.8" x14ac:dyDescent="0.45">
      <c r="A1808" s="6"/>
      <c r="B1808" s="7"/>
      <c r="C1808" s="6"/>
      <c r="D1808" s="6"/>
      <c r="E1808" s="6"/>
      <c r="F1808" s="6"/>
      <c r="G1808" s="6"/>
      <c r="H1808" s="6"/>
      <c r="I1808" s="6"/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</row>
    <row r="1809" spans="1:26" ht="16.8" x14ac:dyDescent="0.45">
      <c r="A1809" s="6"/>
      <c r="B1809" s="7"/>
      <c r="C1809" s="6"/>
      <c r="D1809" s="6"/>
      <c r="E1809" s="6"/>
      <c r="F1809" s="6"/>
      <c r="G1809" s="6"/>
      <c r="H1809" s="6"/>
      <c r="I1809" s="6"/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</row>
    <row r="1810" spans="1:26" ht="16.8" x14ac:dyDescent="0.45">
      <c r="A1810" s="6"/>
      <c r="B1810" s="7"/>
      <c r="C1810" s="6"/>
      <c r="D1810" s="6"/>
      <c r="E1810" s="6"/>
      <c r="F1810" s="6"/>
      <c r="G1810" s="6"/>
      <c r="H1810" s="6"/>
      <c r="I1810" s="6"/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</row>
    <row r="1811" spans="1:26" ht="16.8" x14ac:dyDescent="0.45">
      <c r="A1811" s="6"/>
      <c r="B1811" s="7"/>
      <c r="C1811" s="6"/>
      <c r="D1811" s="6"/>
      <c r="E1811" s="6"/>
      <c r="F1811" s="6"/>
      <c r="G1811" s="6"/>
      <c r="H1811" s="6"/>
      <c r="I1811" s="6"/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</row>
    <row r="1812" spans="1:26" ht="16.8" x14ac:dyDescent="0.45">
      <c r="A1812" s="6"/>
      <c r="B1812" s="7"/>
      <c r="C1812" s="6"/>
      <c r="D1812" s="6"/>
      <c r="E1812" s="6"/>
      <c r="F1812" s="6"/>
      <c r="G1812" s="6"/>
      <c r="H1812" s="6"/>
      <c r="I1812" s="6"/>
      <c r="J1812" s="6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</row>
    <row r="1813" spans="1:26" ht="16.8" x14ac:dyDescent="0.45">
      <c r="A1813" s="6"/>
      <c r="B1813" s="7"/>
      <c r="C1813" s="6"/>
      <c r="D1813" s="6"/>
      <c r="E1813" s="6"/>
      <c r="F1813" s="6"/>
      <c r="G1813" s="6"/>
      <c r="H1813" s="6"/>
      <c r="I1813" s="6"/>
      <c r="J1813" s="6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</row>
    <row r="1814" spans="1:26" ht="16.8" x14ac:dyDescent="0.45">
      <c r="A1814" s="6"/>
      <c r="B1814" s="7"/>
      <c r="C1814" s="6"/>
      <c r="D1814" s="6"/>
      <c r="E1814" s="6"/>
      <c r="F1814" s="6"/>
      <c r="G1814" s="6"/>
      <c r="H1814" s="6"/>
      <c r="I1814" s="6"/>
      <c r="J1814" s="6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</row>
    <row r="1815" spans="1:26" ht="16.8" x14ac:dyDescent="0.45">
      <c r="A1815" s="6"/>
      <c r="B1815" s="7"/>
      <c r="C1815" s="6"/>
      <c r="D1815" s="6"/>
      <c r="E1815" s="6"/>
      <c r="F1815" s="6"/>
      <c r="G1815" s="6"/>
      <c r="H1815" s="6"/>
      <c r="I1815" s="6"/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</row>
    <row r="1816" spans="1:26" ht="16.8" x14ac:dyDescent="0.45">
      <c r="A1816" s="6"/>
      <c r="B1816" s="7"/>
      <c r="C1816" s="6"/>
      <c r="D1816" s="6"/>
      <c r="E1816" s="6"/>
      <c r="F1816" s="6"/>
      <c r="G1816" s="6"/>
      <c r="H1816" s="6"/>
      <c r="I1816" s="6"/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</row>
    <row r="1817" spans="1:26" ht="16.8" x14ac:dyDescent="0.45">
      <c r="A1817" s="6"/>
      <c r="B1817" s="7"/>
      <c r="C1817" s="6"/>
      <c r="D1817" s="6"/>
      <c r="E1817" s="6"/>
      <c r="F1817" s="6"/>
      <c r="G1817" s="6"/>
      <c r="H1817" s="6"/>
      <c r="I1817" s="6"/>
      <c r="J1817" s="6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</row>
    <row r="1818" spans="1:26" ht="16.8" x14ac:dyDescent="0.45">
      <c r="A1818" s="6"/>
      <c r="B1818" s="7"/>
      <c r="C1818" s="6"/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</row>
    <row r="1819" spans="1:26" ht="16.8" x14ac:dyDescent="0.45">
      <c r="A1819" s="6"/>
      <c r="B1819" s="7"/>
      <c r="C1819" s="6"/>
      <c r="D1819" s="6"/>
      <c r="E1819" s="6"/>
      <c r="F1819" s="6"/>
      <c r="G1819" s="6"/>
      <c r="H1819" s="6"/>
      <c r="I1819" s="6"/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</row>
    <row r="1820" spans="1:26" ht="16.8" x14ac:dyDescent="0.45">
      <c r="A1820" s="6"/>
      <c r="B1820" s="7"/>
      <c r="C1820" s="6"/>
      <c r="D1820" s="6"/>
      <c r="E1820" s="6"/>
      <c r="F1820" s="6"/>
      <c r="G1820" s="6"/>
      <c r="H1820" s="6"/>
      <c r="I1820" s="6"/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</row>
    <row r="1821" spans="1:26" ht="16.8" x14ac:dyDescent="0.45">
      <c r="A1821" s="6"/>
      <c r="B1821" s="7"/>
      <c r="C1821" s="6"/>
      <c r="D1821" s="6"/>
      <c r="E1821" s="6"/>
      <c r="F1821" s="6"/>
      <c r="G1821" s="6"/>
      <c r="H1821" s="6"/>
      <c r="I1821" s="6"/>
      <c r="J1821" s="6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</row>
    <row r="1822" spans="1:26" ht="16.8" x14ac:dyDescent="0.45">
      <c r="A1822" s="6"/>
      <c r="B1822" s="7"/>
      <c r="C1822" s="6"/>
      <c r="D1822" s="6"/>
      <c r="E1822" s="6"/>
      <c r="F1822" s="6"/>
      <c r="G1822" s="6"/>
      <c r="H1822" s="6"/>
      <c r="I1822" s="6"/>
      <c r="J1822" s="6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</row>
    <row r="1823" spans="1:26" ht="16.8" x14ac:dyDescent="0.45">
      <c r="A1823" s="6"/>
      <c r="B1823" s="7"/>
      <c r="C1823" s="6"/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</row>
    <row r="1824" spans="1:26" ht="16.8" x14ac:dyDescent="0.45">
      <c r="A1824" s="6"/>
      <c r="B1824" s="7"/>
      <c r="C1824" s="6"/>
      <c r="D1824" s="6"/>
      <c r="E1824" s="6"/>
      <c r="F1824" s="6"/>
      <c r="G1824" s="6"/>
      <c r="H1824" s="6"/>
      <c r="I1824" s="6"/>
      <c r="J1824" s="6"/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</row>
    <row r="1825" spans="1:26" ht="16.8" x14ac:dyDescent="0.45">
      <c r="A1825" s="6"/>
      <c r="B1825" s="7"/>
      <c r="C1825" s="6"/>
      <c r="D1825" s="6"/>
      <c r="E1825" s="6"/>
      <c r="F1825" s="6"/>
      <c r="G1825" s="6"/>
      <c r="H1825" s="6"/>
      <c r="I1825" s="6"/>
      <c r="J1825" s="6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</row>
    <row r="1826" spans="1:26" ht="16.8" x14ac:dyDescent="0.45">
      <c r="A1826" s="6"/>
      <c r="B1826" s="7"/>
      <c r="C1826" s="6"/>
      <c r="D1826" s="6"/>
      <c r="E1826" s="6"/>
      <c r="F1826" s="6"/>
      <c r="G1826" s="6"/>
      <c r="H1826" s="6"/>
      <c r="I1826" s="6"/>
      <c r="J1826" s="6"/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</row>
    <row r="1827" spans="1:26" ht="16.8" x14ac:dyDescent="0.45">
      <c r="A1827" s="6"/>
      <c r="B1827" s="7"/>
      <c r="C1827" s="6"/>
      <c r="D1827" s="6"/>
      <c r="E1827" s="6"/>
      <c r="F1827" s="6"/>
      <c r="G1827" s="6"/>
      <c r="H1827" s="6"/>
      <c r="I1827" s="6"/>
      <c r="J1827" s="6"/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</row>
    <row r="1828" spans="1:26" ht="16.8" x14ac:dyDescent="0.45">
      <c r="A1828" s="6"/>
      <c r="B1828" s="7"/>
      <c r="C1828" s="6"/>
      <c r="D1828" s="6"/>
      <c r="E1828" s="6"/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</row>
    <row r="1829" spans="1:26" ht="16.8" x14ac:dyDescent="0.45">
      <c r="A1829" s="6"/>
      <c r="B1829" s="7"/>
      <c r="C1829" s="6"/>
      <c r="D1829" s="6"/>
      <c r="E1829" s="6"/>
      <c r="F1829" s="6"/>
      <c r="G1829" s="6"/>
      <c r="H1829" s="6"/>
      <c r="I1829" s="6"/>
      <c r="J1829" s="6"/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</row>
    <row r="1830" spans="1:26" ht="16.8" x14ac:dyDescent="0.45">
      <c r="A1830" s="6"/>
      <c r="B1830" s="7"/>
      <c r="C1830" s="6"/>
      <c r="D1830" s="6"/>
      <c r="E1830" s="6"/>
      <c r="F1830" s="6"/>
      <c r="G1830" s="6"/>
      <c r="H1830" s="6"/>
      <c r="I1830" s="6"/>
      <c r="J1830" s="6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</row>
    <row r="1831" spans="1:26" ht="16.8" x14ac:dyDescent="0.45">
      <c r="A1831" s="6"/>
      <c r="B1831" s="7"/>
      <c r="C1831" s="6"/>
      <c r="D1831" s="6"/>
      <c r="E1831" s="6"/>
      <c r="F1831" s="6"/>
      <c r="G1831" s="6"/>
      <c r="H1831" s="6"/>
      <c r="I1831" s="6"/>
      <c r="J1831" s="6"/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</row>
    <row r="1832" spans="1:26" ht="16.8" x14ac:dyDescent="0.45">
      <c r="A1832" s="6"/>
      <c r="B1832" s="7"/>
      <c r="C1832" s="6"/>
      <c r="D1832" s="6"/>
      <c r="E1832" s="6"/>
      <c r="F1832" s="6"/>
      <c r="G1832" s="6"/>
      <c r="H1832" s="6"/>
      <c r="I1832" s="6"/>
      <c r="J1832" s="6"/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</row>
    <row r="1833" spans="1:26" ht="16.8" x14ac:dyDescent="0.45">
      <c r="A1833" s="6"/>
      <c r="B1833" s="7"/>
      <c r="C1833" s="6"/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</row>
    <row r="1834" spans="1:26" ht="16.8" x14ac:dyDescent="0.45">
      <c r="A1834" s="6"/>
      <c r="B1834" s="7"/>
      <c r="C1834" s="6"/>
      <c r="D1834" s="6"/>
      <c r="E1834" s="6"/>
      <c r="F1834" s="6"/>
      <c r="G1834" s="6"/>
      <c r="H1834" s="6"/>
      <c r="I1834" s="6"/>
      <c r="J1834" s="6"/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</row>
    <row r="1835" spans="1:26" ht="16.8" x14ac:dyDescent="0.45">
      <c r="A1835" s="6"/>
      <c r="B1835" s="7"/>
      <c r="C1835" s="6"/>
      <c r="D1835" s="6"/>
      <c r="E1835" s="6"/>
      <c r="F1835" s="6"/>
      <c r="G1835" s="6"/>
      <c r="H1835" s="6"/>
      <c r="I1835" s="6"/>
      <c r="J1835" s="6"/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</row>
    <row r="1836" spans="1:26" ht="16.8" x14ac:dyDescent="0.45">
      <c r="A1836" s="6"/>
      <c r="B1836" s="7"/>
      <c r="C1836" s="6"/>
      <c r="D1836" s="6"/>
      <c r="E1836" s="6"/>
      <c r="F1836" s="6"/>
      <c r="G1836" s="6"/>
      <c r="H1836" s="6"/>
      <c r="I1836" s="6"/>
      <c r="J1836" s="6"/>
      <c r="K1836" s="6"/>
      <c r="L1836" s="6"/>
      <c r="M1836" s="6"/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</row>
    <row r="1837" spans="1:26" ht="16.8" x14ac:dyDescent="0.45">
      <c r="A1837" s="6"/>
      <c r="B1837" s="7"/>
      <c r="C1837" s="6"/>
      <c r="D1837" s="6"/>
      <c r="E1837" s="6"/>
      <c r="F1837" s="6"/>
      <c r="G1837" s="6"/>
      <c r="H1837" s="6"/>
      <c r="I1837" s="6"/>
      <c r="J1837" s="6"/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</row>
    <row r="1838" spans="1:26" ht="16.8" x14ac:dyDescent="0.45">
      <c r="A1838" s="6"/>
      <c r="B1838" s="7"/>
      <c r="C1838" s="6"/>
      <c r="D1838" s="6"/>
      <c r="E1838" s="6"/>
      <c r="F1838" s="6"/>
      <c r="G1838" s="6"/>
      <c r="H1838" s="6"/>
      <c r="I1838" s="6"/>
      <c r="J1838" s="6"/>
      <c r="K1838" s="6"/>
      <c r="L1838" s="6"/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</row>
    <row r="1839" spans="1:26" ht="16.8" x14ac:dyDescent="0.45">
      <c r="A1839" s="6"/>
      <c r="B1839" s="7"/>
      <c r="C1839" s="6"/>
      <c r="D1839" s="6"/>
      <c r="E1839" s="6"/>
      <c r="F1839" s="6"/>
      <c r="G1839" s="6"/>
      <c r="H1839" s="6"/>
      <c r="I1839" s="6"/>
      <c r="J1839" s="6"/>
      <c r="K1839" s="6"/>
      <c r="L1839" s="6"/>
      <c r="M1839" s="6"/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</row>
    <row r="1840" spans="1:26" ht="16.8" x14ac:dyDescent="0.45">
      <c r="A1840" s="6"/>
      <c r="B1840" s="7"/>
      <c r="C1840" s="6"/>
      <c r="D1840" s="6"/>
      <c r="E1840" s="6"/>
      <c r="F1840" s="6"/>
      <c r="G1840" s="6"/>
      <c r="H1840" s="6"/>
      <c r="I1840" s="6"/>
      <c r="J1840" s="6"/>
      <c r="K1840" s="6"/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</row>
    <row r="1841" spans="1:26" ht="16.8" x14ac:dyDescent="0.45">
      <c r="A1841" s="6"/>
      <c r="B1841" s="7"/>
      <c r="C1841" s="6"/>
      <c r="D1841" s="6"/>
      <c r="E1841" s="6"/>
      <c r="F1841" s="6"/>
      <c r="G1841" s="6"/>
      <c r="H1841" s="6"/>
      <c r="I1841" s="6"/>
      <c r="J1841" s="6"/>
      <c r="K1841" s="6"/>
      <c r="L1841" s="6"/>
      <c r="M1841" s="6"/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</row>
    <row r="1842" spans="1:26" ht="16.8" x14ac:dyDescent="0.45">
      <c r="A1842" s="6"/>
      <c r="B1842" s="7"/>
      <c r="C1842" s="6"/>
      <c r="D1842" s="6"/>
      <c r="E1842" s="6"/>
      <c r="F1842" s="6"/>
      <c r="G1842" s="6"/>
      <c r="H1842" s="6"/>
      <c r="I1842" s="6"/>
      <c r="J1842" s="6"/>
      <c r="K1842" s="6"/>
      <c r="L1842" s="6"/>
      <c r="M1842" s="6"/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</row>
    <row r="1843" spans="1:26" ht="16.8" x14ac:dyDescent="0.45">
      <c r="A1843" s="6"/>
      <c r="B1843" s="7"/>
      <c r="C1843" s="6"/>
      <c r="D1843" s="6"/>
      <c r="E1843" s="6"/>
      <c r="F1843" s="6"/>
      <c r="G1843" s="6"/>
      <c r="H1843" s="6"/>
      <c r="I1843" s="6"/>
      <c r="J1843" s="6"/>
      <c r="K1843" s="6"/>
      <c r="L1843" s="6"/>
      <c r="M1843" s="6"/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</row>
    <row r="1844" spans="1:26" ht="16.8" x14ac:dyDescent="0.45">
      <c r="A1844" s="6"/>
      <c r="B1844" s="7"/>
      <c r="C1844" s="6"/>
      <c r="D1844" s="6"/>
      <c r="E1844" s="6"/>
      <c r="F1844" s="6"/>
      <c r="G1844" s="6"/>
      <c r="H1844" s="6"/>
      <c r="I1844" s="6"/>
      <c r="J1844" s="6"/>
      <c r="K1844" s="6"/>
      <c r="L1844" s="6"/>
      <c r="M1844" s="6"/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</row>
    <row r="1845" spans="1:26" ht="16.8" x14ac:dyDescent="0.45">
      <c r="A1845" s="6"/>
      <c r="B1845" s="7"/>
      <c r="C1845" s="6"/>
      <c r="D1845" s="6"/>
      <c r="E1845" s="6"/>
      <c r="F1845" s="6"/>
      <c r="G1845" s="6"/>
      <c r="H1845" s="6"/>
      <c r="I1845" s="6"/>
      <c r="J1845" s="6"/>
      <c r="K1845" s="6"/>
      <c r="L1845" s="6"/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</row>
    <row r="1846" spans="1:26" ht="16.8" x14ac:dyDescent="0.45">
      <c r="A1846" s="6"/>
      <c r="B1846" s="7"/>
      <c r="C1846" s="6"/>
      <c r="D1846" s="6"/>
      <c r="E1846" s="6"/>
      <c r="F1846" s="6"/>
      <c r="G1846" s="6"/>
      <c r="H1846" s="6"/>
      <c r="I1846" s="6"/>
      <c r="J1846" s="6"/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</row>
    <row r="1847" spans="1:26" ht="16.8" x14ac:dyDescent="0.45">
      <c r="A1847" s="6"/>
      <c r="B1847" s="7"/>
      <c r="C1847" s="6"/>
      <c r="D1847" s="6"/>
      <c r="E1847" s="6"/>
      <c r="F1847" s="6"/>
      <c r="G1847" s="6"/>
      <c r="H1847" s="6"/>
      <c r="I1847" s="6"/>
      <c r="J1847" s="6"/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</row>
    <row r="1848" spans="1:26" ht="16.8" x14ac:dyDescent="0.45">
      <c r="A1848" s="6"/>
      <c r="B1848" s="7"/>
      <c r="C1848" s="6"/>
      <c r="D1848" s="6"/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</row>
    <row r="1849" spans="1:26" ht="16.8" x14ac:dyDescent="0.45">
      <c r="A1849" s="6"/>
      <c r="B1849" s="7"/>
      <c r="C1849" s="6"/>
      <c r="D1849" s="6"/>
      <c r="E1849" s="6"/>
      <c r="F1849" s="6"/>
      <c r="G1849" s="6"/>
      <c r="H1849" s="6"/>
      <c r="I1849" s="6"/>
      <c r="J1849" s="6"/>
      <c r="K1849" s="6"/>
      <c r="L1849" s="6"/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</row>
    <row r="1850" spans="1:26" ht="16.8" x14ac:dyDescent="0.45">
      <c r="A1850" s="6"/>
      <c r="B1850" s="7"/>
      <c r="C1850" s="6"/>
      <c r="D1850" s="6"/>
      <c r="E1850" s="6"/>
      <c r="F1850" s="6"/>
      <c r="G1850" s="6"/>
      <c r="H1850" s="6"/>
      <c r="I1850" s="6"/>
      <c r="J1850" s="6"/>
      <c r="K1850" s="6"/>
      <c r="L1850" s="6"/>
      <c r="M1850" s="6"/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</row>
    <row r="1851" spans="1:26" ht="16.8" x14ac:dyDescent="0.45">
      <c r="A1851" s="6"/>
      <c r="B1851" s="7"/>
      <c r="C1851" s="6"/>
      <c r="D1851" s="6"/>
      <c r="E1851" s="6"/>
      <c r="F1851" s="6"/>
      <c r="G1851" s="6"/>
      <c r="H1851" s="6"/>
      <c r="I1851" s="6"/>
      <c r="J1851" s="6"/>
      <c r="K1851" s="6"/>
      <c r="L1851" s="6"/>
      <c r="M1851" s="6"/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</row>
    <row r="1852" spans="1:26" ht="16.8" x14ac:dyDescent="0.45">
      <c r="A1852" s="6"/>
      <c r="B1852" s="7"/>
      <c r="C1852" s="6"/>
      <c r="D1852" s="6"/>
      <c r="E1852" s="6"/>
      <c r="F1852" s="6"/>
      <c r="G1852" s="6"/>
      <c r="H1852" s="6"/>
      <c r="I1852" s="6"/>
      <c r="J1852" s="6"/>
      <c r="K1852" s="6"/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</row>
    <row r="1853" spans="1:26" ht="16.8" x14ac:dyDescent="0.45">
      <c r="A1853" s="6"/>
      <c r="B1853" s="7"/>
      <c r="C1853" s="6"/>
      <c r="D1853" s="6"/>
      <c r="E1853" s="6"/>
      <c r="F1853" s="6"/>
      <c r="G1853" s="6"/>
      <c r="H1853" s="6"/>
      <c r="I1853" s="6"/>
      <c r="J1853" s="6"/>
      <c r="K1853" s="6"/>
      <c r="L1853" s="6"/>
      <c r="M1853" s="6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</row>
    <row r="1854" spans="1:26" ht="16.8" x14ac:dyDescent="0.45">
      <c r="A1854" s="6"/>
      <c r="B1854" s="7"/>
      <c r="C1854" s="6"/>
      <c r="D1854" s="6"/>
      <c r="E1854" s="6"/>
      <c r="F1854" s="6"/>
      <c r="G1854" s="6"/>
      <c r="H1854" s="6"/>
      <c r="I1854" s="6"/>
      <c r="J1854" s="6"/>
      <c r="K1854" s="6"/>
      <c r="L1854" s="6"/>
      <c r="M1854" s="6"/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</row>
    <row r="1855" spans="1:26" ht="16.8" x14ac:dyDescent="0.45">
      <c r="A1855" s="6"/>
      <c r="B1855" s="7"/>
      <c r="C1855" s="6"/>
      <c r="D1855" s="6"/>
      <c r="E1855" s="6"/>
      <c r="F1855" s="6"/>
      <c r="G1855" s="6"/>
      <c r="H1855" s="6"/>
      <c r="I1855" s="6"/>
      <c r="J1855" s="6"/>
      <c r="K1855" s="6"/>
      <c r="L1855" s="6"/>
      <c r="M1855" s="6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</row>
    <row r="1856" spans="1:26" ht="16.8" x14ac:dyDescent="0.45">
      <c r="A1856" s="6"/>
      <c r="B1856" s="7"/>
      <c r="C1856" s="6"/>
      <c r="D1856" s="6"/>
      <c r="E1856" s="6"/>
      <c r="F1856" s="6"/>
      <c r="G1856" s="6"/>
      <c r="H1856" s="6"/>
      <c r="I1856" s="6"/>
      <c r="J1856" s="6"/>
      <c r="K1856" s="6"/>
      <c r="L1856" s="6"/>
      <c r="M1856" s="6"/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</row>
    <row r="1857" spans="1:26" ht="16.8" x14ac:dyDescent="0.45">
      <c r="A1857" s="6"/>
      <c r="B1857" s="7"/>
      <c r="C1857" s="6"/>
      <c r="D1857" s="6"/>
      <c r="E1857" s="6"/>
      <c r="F1857" s="6"/>
      <c r="G1857" s="6"/>
      <c r="H1857" s="6"/>
      <c r="I1857" s="6"/>
      <c r="J1857" s="6"/>
      <c r="K1857" s="6"/>
      <c r="L1857" s="6"/>
      <c r="M1857" s="6"/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</row>
    <row r="1858" spans="1:26" ht="16.8" x14ac:dyDescent="0.45">
      <c r="A1858" s="6"/>
      <c r="B1858" s="7"/>
      <c r="C1858" s="6"/>
      <c r="D1858" s="6"/>
      <c r="E1858" s="6"/>
      <c r="F1858" s="6"/>
      <c r="G1858" s="6"/>
      <c r="H1858" s="6"/>
      <c r="I1858" s="6"/>
      <c r="J1858" s="6"/>
      <c r="K1858" s="6"/>
      <c r="L1858" s="6"/>
      <c r="M1858" s="6"/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</row>
    <row r="1859" spans="1:26" ht="16.8" x14ac:dyDescent="0.45">
      <c r="A1859" s="6"/>
      <c r="B1859" s="7"/>
      <c r="C1859" s="6"/>
      <c r="D1859" s="6"/>
      <c r="E1859" s="6"/>
      <c r="F1859" s="6"/>
      <c r="G1859" s="6"/>
      <c r="H1859" s="6"/>
      <c r="I1859" s="6"/>
      <c r="J1859" s="6"/>
      <c r="K1859" s="6"/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</row>
    <row r="1860" spans="1:26" ht="16.8" x14ac:dyDescent="0.45">
      <c r="A1860" s="6"/>
      <c r="B1860" s="7"/>
      <c r="C1860" s="6"/>
      <c r="D1860" s="6"/>
      <c r="E1860" s="6"/>
      <c r="F1860" s="6"/>
      <c r="G1860" s="6"/>
      <c r="H1860" s="6"/>
      <c r="I1860" s="6"/>
      <c r="J1860" s="6"/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</row>
    <row r="1861" spans="1:26" ht="16.8" x14ac:dyDescent="0.45">
      <c r="A1861" s="6"/>
      <c r="B1861" s="7"/>
      <c r="C1861" s="6"/>
      <c r="D1861" s="6"/>
      <c r="E1861" s="6"/>
      <c r="F1861" s="6"/>
      <c r="G1861" s="6"/>
      <c r="H1861" s="6"/>
      <c r="I1861" s="6"/>
      <c r="J1861" s="6"/>
      <c r="K1861" s="6"/>
      <c r="L1861" s="6"/>
      <c r="M1861" s="6"/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</row>
    <row r="1862" spans="1:26" ht="16.8" x14ac:dyDescent="0.45">
      <c r="A1862" s="6"/>
      <c r="B1862" s="7"/>
      <c r="C1862" s="6"/>
      <c r="D1862" s="6"/>
      <c r="E1862" s="6"/>
      <c r="F1862" s="6"/>
      <c r="G1862" s="6"/>
      <c r="H1862" s="6"/>
      <c r="I1862" s="6"/>
      <c r="J1862" s="6"/>
      <c r="K1862" s="6"/>
      <c r="L1862" s="6"/>
      <c r="M1862" s="6"/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</row>
    <row r="1863" spans="1:26" ht="16.8" x14ac:dyDescent="0.45">
      <c r="A1863" s="6"/>
      <c r="B1863" s="7"/>
      <c r="C1863" s="6"/>
      <c r="D1863" s="6"/>
      <c r="E1863" s="6"/>
      <c r="F1863" s="6"/>
      <c r="G1863" s="6"/>
      <c r="H1863" s="6"/>
      <c r="I1863" s="6"/>
      <c r="J1863" s="6"/>
      <c r="K1863" s="6"/>
      <c r="L1863" s="6"/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</row>
    <row r="1864" spans="1:26" ht="16.8" x14ac:dyDescent="0.45">
      <c r="A1864" s="6"/>
      <c r="B1864" s="7"/>
      <c r="C1864" s="6"/>
      <c r="D1864" s="6"/>
      <c r="E1864" s="6"/>
      <c r="F1864" s="6"/>
      <c r="G1864" s="6"/>
      <c r="H1864" s="6"/>
      <c r="I1864" s="6"/>
      <c r="J1864" s="6"/>
      <c r="K1864" s="6"/>
      <c r="L1864" s="6"/>
      <c r="M1864" s="6"/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</row>
    <row r="1865" spans="1:26" ht="16.8" x14ac:dyDescent="0.45">
      <c r="A1865" s="6"/>
      <c r="B1865" s="7"/>
      <c r="C1865" s="6"/>
      <c r="D1865" s="6"/>
      <c r="E1865" s="6"/>
      <c r="F1865" s="6"/>
      <c r="G1865" s="6"/>
      <c r="H1865" s="6"/>
      <c r="I1865" s="6"/>
      <c r="J1865" s="6"/>
      <c r="K1865" s="6"/>
      <c r="L1865" s="6"/>
      <c r="M1865" s="6"/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</row>
    <row r="1866" spans="1:26" ht="16.8" x14ac:dyDescent="0.45">
      <c r="A1866" s="6"/>
      <c r="B1866" s="7"/>
      <c r="C1866" s="6"/>
      <c r="D1866" s="6"/>
      <c r="E1866" s="6"/>
      <c r="F1866" s="6"/>
      <c r="G1866" s="6"/>
      <c r="H1866" s="6"/>
      <c r="I1866" s="6"/>
      <c r="J1866" s="6"/>
      <c r="K1866" s="6"/>
      <c r="L1866" s="6"/>
      <c r="M1866" s="6"/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</row>
    <row r="1867" spans="1:26" ht="16.8" x14ac:dyDescent="0.45">
      <c r="A1867" s="6"/>
      <c r="B1867" s="7"/>
      <c r="C1867" s="6"/>
      <c r="D1867" s="6"/>
      <c r="E1867" s="6"/>
      <c r="F1867" s="6"/>
      <c r="G1867" s="6"/>
      <c r="H1867" s="6"/>
      <c r="I1867" s="6"/>
      <c r="J1867" s="6"/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</row>
    <row r="1868" spans="1:26" ht="16.8" x14ac:dyDescent="0.45">
      <c r="A1868" s="6"/>
      <c r="B1868" s="7"/>
      <c r="C1868" s="6"/>
      <c r="D1868" s="6"/>
      <c r="E1868" s="6"/>
      <c r="F1868" s="6"/>
      <c r="G1868" s="6"/>
      <c r="H1868" s="6"/>
      <c r="I1868" s="6"/>
      <c r="J1868" s="6"/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</row>
    <row r="1869" spans="1:26" ht="16.8" x14ac:dyDescent="0.45">
      <c r="A1869" s="6"/>
      <c r="B1869" s="7"/>
      <c r="C1869" s="6"/>
      <c r="D1869" s="6"/>
      <c r="E1869" s="6"/>
      <c r="F1869" s="6"/>
      <c r="G1869" s="6"/>
      <c r="H1869" s="6"/>
      <c r="I1869" s="6"/>
      <c r="J1869" s="6"/>
      <c r="K1869" s="6"/>
      <c r="L1869" s="6"/>
      <c r="M1869" s="6"/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</row>
    <row r="1870" spans="1:26" ht="16.8" x14ac:dyDescent="0.45">
      <c r="A1870" s="6"/>
      <c r="B1870" s="7"/>
      <c r="C1870" s="6"/>
      <c r="D1870" s="6"/>
      <c r="E1870" s="6"/>
      <c r="F1870" s="6"/>
      <c r="G1870" s="6"/>
      <c r="H1870" s="6"/>
      <c r="I1870" s="6"/>
      <c r="J1870" s="6"/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</row>
    <row r="1871" spans="1:26" ht="16.8" x14ac:dyDescent="0.45">
      <c r="A1871" s="6"/>
      <c r="B1871" s="7"/>
      <c r="C1871" s="6"/>
      <c r="D1871" s="6"/>
      <c r="E1871" s="6"/>
      <c r="F1871" s="6"/>
      <c r="G1871" s="6"/>
      <c r="H1871" s="6"/>
      <c r="I1871" s="6"/>
      <c r="J1871" s="6"/>
      <c r="K1871" s="6"/>
      <c r="L1871" s="6"/>
      <c r="M1871" s="6"/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</row>
    <row r="1872" spans="1:26" ht="16.8" x14ac:dyDescent="0.45">
      <c r="A1872" s="6"/>
      <c r="B1872" s="7"/>
      <c r="C1872" s="6"/>
      <c r="D1872" s="6"/>
      <c r="E1872" s="6"/>
      <c r="F1872" s="6"/>
      <c r="G1872" s="6"/>
      <c r="H1872" s="6"/>
      <c r="I1872" s="6"/>
      <c r="J1872" s="6"/>
      <c r="K1872" s="6"/>
      <c r="L1872" s="6"/>
      <c r="M1872" s="6"/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</row>
    <row r="1873" spans="1:26" ht="16.8" x14ac:dyDescent="0.45">
      <c r="A1873" s="6"/>
      <c r="B1873" s="7"/>
      <c r="C1873" s="6"/>
      <c r="D1873" s="6"/>
      <c r="E1873" s="6"/>
      <c r="F1873" s="6"/>
      <c r="G1873" s="6"/>
      <c r="H1873" s="6"/>
      <c r="I1873" s="6"/>
      <c r="J1873" s="6"/>
      <c r="K1873" s="6"/>
      <c r="L1873" s="6"/>
      <c r="M1873" s="6"/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</row>
    <row r="1874" spans="1:26" ht="16.8" x14ac:dyDescent="0.45">
      <c r="A1874" s="6"/>
      <c r="B1874" s="7"/>
      <c r="C1874" s="6"/>
      <c r="D1874" s="6"/>
      <c r="E1874" s="6"/>
      <c r="F1874" s="6"/>
      <c r="G1874" s="6"/>
      <c r="H1874" s="6"/>
      <c r="I1874" s="6"/>
      <c r="J1874" s="6"/>
      <c r="K1874" s="6"/>
      <c r="L1874" s="6"/>
      <c r="M1874" s="6"/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</row>
    <row r="1875" spans="1:26" ht="16.8" x14ac:dyDescent="0.45">
      <c r="A1875" s="6"/>
      <c r="B1875" s="7"/>
      <c r="C1875" s="6"/>
      <c r="D1875" s="6"/>
      <c r="E1875" s="6"/>
      <c r="F1875" s="6"/>
      <c r="G1875" s="6"/>
      <c r="H1875" s="6"/>
      <c r="I1875" s="6"/>
      <c r="J1875" s="6"/>
      <c r="K1875" s="6"/>
      <c r="L1875" s="6"/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</row>
    <row r="1876" spans="1:26" ht="16.8" x14ac:dyDescent="0.45">
      <c r="A1876" s="6"/>
      <c r="B1876" s="7"/>
      <c r="C1876" s="6"/>
      <c r="D1876" s="6"/>
      <c r="E1876" s="6"/>
      <c r="F1876" s="6"/>
      <c r="G1876" s="6"/>
      <c r="H1876" s="6"/>
      <c r="I1876" s="6"/>
      <c r="J1876" s="6"/>
      <c r="K1876" s="6"/>
      <c r="L1876" s="6"/>
      <c r="M1876" s="6"/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</row>
    <row r="1877" spans="1:26" ht="16.8" x14ac:dyDescent="0.45">
      <c r="A1877" s="6"/>
      <c r="B1877" s="7"/>
      <c r="C1877" s="6"/>
      <c r="D1877" s="6"/>
      <c r="E1877" s="6"/>
      <c r="F1877" s="6"/>
      <c r="G1877" s="6"/>
      <c r="H1877" s="6"/>
      <c r="I1877" s="6"/>
      <c r="J1877" s="6"/>
      <c r="K1877" s="6"/>
      <c r="L1877" s="6"/>
      <c r="M1877" s="6"/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</row>
    <row r="1878" spans="1:26" ht="16.8" x14ac:dyDescent="0.45">
      <c r="A1878" s="6"/>
      <c r="B1878" s="7"/>
      <c r="C1878" s="6"/>
      <c r="D1878" s="6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</row>
    <row r="1879" spans="1:26" ht="16.8" x14ac:dyDescent="0.45">
      <c r="A1879" s="6"/>
      <c r="B1879" s="7"/>
      <c r="C1879" s="6"/>
      <c r="D1879" s="6"/>
      <c r="E1879" s="6"/>
      <c r="F1879" s="6"/>
      <c r="G1879" s="6"/>
      <c r="H1879" s="6"/>
      <c r="I1879" s="6"/>
      <c r="J1879" s="6"/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</row>
    <row r="1880" spans="1:26" ht="16.8" x14ac:dyDescent="0.45">
      <c r="A1880" s="6"/>
      <c r="B1880" s="7"/>
      <c r="C1880" s="6"/>
      <c r="D1880" s="6"/>
      <c r="E1880" s="6"/>
      <c r="F1880" s="6"/>
      <c r="G1880" s="6"/>
      <c r="H1880" s="6"/>
      <c r="I1880" s="6"/>
      <c r="J1880" s="6"/>
      <c r="K1880" s="6"/>
      <c r="L1880" s="6"/>
      <c r="M1880" s="6"/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</row>
    <row r="1881" spans="1:26" ht="16.8" x14ac:dyDescent="0.45">
      <c r="A1881" s="6"/>
      <c r="B1881" s="7"/>
      <c r="C1881" s="6"/>
      <c r="D1881" s="6"/>
      <c r="E1881" s="6"/>
      <c r="F1881" s="6"/>
      <c r="G1881" s="6"/>
      <c r="H1881" s="6"/>
      <c r="I1881" s="6"/>
      <c r="J1881" s="6"/>
      <c r="K1881" s="6"/>
      <c r="L1881" s="6"/>
      <c r="M1881" s="6"/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</row>
    <row r="1882" spans="1:26" ht="16.8" x14ac:dyDescent="0.45">
      <c r="A1882" s="6"/>
      <c r="B1882" s="7"/>
      <c r="C1882" s="6"/>
      <c r="D1882" s="6"/>
      <c r="E1882" s="6"/>
      <c r="F1882" s="6"/>
      <c r="G1882" s="6"/>
      <c r="H1882" s="6"/>
      <c r="I1882" s="6"/>
      <c r="J1882" s="6"/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</row>
    <row r="1883" spans="1:26" ht="16.8" x14ac:dyDescent="0.45">
      <c r="A1883" s="6"/>
      <c r="B1883" s="7"/>
      <c r="C1883" s="6"/>
      <c r="D1883" s="6"/>
      <c r="E1883" s="6"/>
      <c r="F1883" s="6"/>
      <c r="G1883" s="6"/>
      <c r="H1883" s="6"/>
      <c r="I1883" s="6"/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</row>
    <row r="1884" spans="1:26" ht="16.8" x14ac:dyDescent="0.45">
      <c r="A1884" s="6"/>
      <c r="B1884" s="7"/>
      <c r="C1884" s="6"/>
      <c r="D1884" s="6"/>
      <c r="E1884" s="6"/>
      <c r="F1884" s="6"/>
      <c r="G1884" s="6"/>
      <c r="H1884" s="6"/>
      <c r="I1884" s="6"/>
      <c r="J1884" s="6"/>
      <c r="K1884" s="6"/>
      <c r="L1884" s="6"/>
      <c r="M1884" s="6"/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</row>
    <row r="1885" spans="1:26" ht="16.8" x14ac:dyDescent="0.45">
      <c r="A1885" s="6"/>
      <c r="B1885" s="7"/>
      <c r="C1885" s="6"/>
      <c r="D1885" s="6"/>
      <c r="E1885" s="6"/>
      <c r="F1885" s="6"/>
      <c r="G1885" s="6"/>
      <c r="H1885" s="6"/>
      <c r="I1885" s="6"/>
      <c r="J1885" s="6"/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</row>
    <row r="1886" spans="1:26" ht="16.8" x14ac:dyDescent="0.45">
      <c r="A1886" s="6"/>
      <c r="B1886" s="7"/>
      <c r="C1886" s="6"/>
      <c r="D1886" s="6"/>
      <c r="E1886" s="6"/>
      <c r="F1886" s="6"/>
      <c r="G1886" s="6"/>
      <c r="H1886" s="6"/>
      <c r="I1886" s="6"/>
      <c r="J1886" s="6"/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</row>
    <row r="1887" spans="1:26" ht="16.8" x14ac:dyDescent="0.45">
      <c r="A1887" s="6"/>
      <c r="B1887" s="7"/>
      <c r="C1887" s="6"/>
      <c r="D1887" s="6"/>
      <c r="E1887" s="6"/>
      <c r="F1887" s="6"/>
      <c r="G1887" s="6"/>
      <c r="H1887" s="6"/>
      <c r="I1887" s="6"/>
      <c r="J1887" s="6"/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</row>
    <row r="1888" spans="1:26" ht="16.8" x14ac:dyDescent="0.45">
      <c r="A1888" s="6"/>
      <c r="B1888" s="7"/>
      <c r="C1888" s="6"/>
      <c r="D1888" s="6"/>
      <c r="E1888" s="6"/>
      <c r="F1888" s="6"/>
      <c r="G1888" s="6"/>
      <c r="H1888" s="6"/>
      <c r="I1888" s="6"/>
      <c r="J1888" s="6"/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</row>
    <row r="1889" spans="1:26" ht="16.8" x14ac:dyDescent="0.45">
      <c r="A1889" s="6"/>
      <c r="B1889" s="7"/>
      <c r="C1889" s="6"/>
      <c r="D1889" s="6"/>
      <c r="E1889" s="6"/>
      <c r="F1889" s="6"/>
      <c r="G1889" s="6"/>
      <c r="H1889" s="6"/>
      <c r="I1889" s="6"/>
      <c r="J1889" s="6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</row>
    <row r="1890" spans="1:26" ht="16.8" x14ac:dyDescent="0.45">
      <c r="A1890" s="6"/>
      <c r="B1890" s="7"/>
      <c r="C1890" s="6"/>
      <c r="D1890" s="6"/>
      <c r="E1890" s="6"/>
      <c r="F1890" s="6"/>
      <c r="G1890" s="6"/>
      <c r="H1890" s="6"/>
      <c r="I1890" s="6"/>
      <c r="J1890" s="6"/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</row>
    <row r="1891" spans="1:26" ht="16.8" x14ac:dyDescent="0.45">
      <c r="A1891" s="6"/>
      <c r="B1891" s="7"/>
      <c r="C1891" s="6"/>
      <c r="D1891" s="6"/>
      <c r="E1891" s="6"/>
      <c r="F1891" s="6"/>
      <c r="G1891" s="6"/>
      <c r="H1891" s="6"/>
      <c r="I1891" s="6"/>
      <c r="J1891" s="6"/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</row>
    <row r="1892" spans="1:26" ht="16.8" x14ac:dyDescent="0.45">
      <c r="A1892" s="6"/>
      <c r="B1892" s="7"/>
      <c r="C1892" s="6"/>
      <c r="D1892" s="6"/>
      <c r="E1892" s="6"/>
      <c r="F1892" s="6"/>
      <c r="G1892" s="6"/>
      <c r="H1892" s="6"/>
      <c r="I1892" s="6"/>
      <c r="J1892" s="6"/>
      <c r="K1892" s="6"/>
      <c r="L1892" s="6"/>
      <c r="M1892" s="6"/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</row>
    <row r="1893" spans="1:26" ht="16.8" x14ac:dyDescent="0.45">
      <c r="A1893" s="6"/>
      <c r="B1893" s="7"/>
      <c r="C1893" s="6"/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</row>
    <row r="1894" spans="1:26" ht="16.8" x14ac:dyDescent="0.45">
      <c r="A1894" s="6"/>
      <c r="B1894" s="7"/>
      <c r="C1894" s="6"/>
      <c r="D1894" s="6"/>
      <c r="E1894" s="6"/>
      <c r="F1894" s="6"/>
      <c r="G1894" s="6"/>
      <c r="H1894" s="6"/>
      <c r="I1894" s="6"/>
      <c r="J1894" s="6"/>
      <c r="K1894" s="6"/>
      <c r="L1894" s="6"/>
      <c r="M1894" s="6"/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</row>
    <row r="1895" spans="1:26" ht="16.8" x14ac:dyDescent="0.45">
      <c r="A1895" s="6"/>
      <c r="B1895" s="7"/>
      <c r="C1895" s="6"/>
      <c r="D1895" s="6"/>
      <c r="E1895" s="6"/>
      <c r="F1895" s="6"/>
      <c r="G1895" s="6"/>
      <c r="H1895" s="6"/>
      <c r="I1895" s="6"/>
      <c r="J1895" s="6"/>
      <c r="K1895" s="6"/>
      <c r="L1895" s="6"/>
      <c r="M1895" s="6"/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</row>
    <row r="1896" spans="1:26" ht="16.8" x14ac:dyDescent="0.45">
      <c r="A1896" s="6"/>
      <c r="B1896" s="7"/>
      <c r="C1896" s="6"/>
      <c r="D1896" s="6"/>
      <c r="E1896" s="6"/>
      <c r="F1896" s="6"/>
      <c r="G1896" s="6"/>
      <c r="H1896" s="6"/>
      <c r="I1896" s="6"/>
      <c r="J1896" s="6"/>
      <c r="K1896" s="6"/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</row>
    <row r="1897" spans="1:26" ht="16.8" x14ac:dyDescent="0.45">
      <c r="A1897" s="6"/>
      <c r="B1897" s="7"/>
      <c r="C1897" s="6"/>
      <c r="D1897" s="6"/>
      <c r="E1897" s="6"/>
      <c r="F1897" s="6"/>
      <c r="G1897" s="6"/>
      <c r="H1897" s="6"/>
      <c r="I1897" s="6"/>
      <c r="J1897" s="6"/>
      <c r="K1897" s="6"/>
      <c r="L1897" s="6"/>
      <c r="M1897" s="6"/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</row>
    <row r="1898" spans="1:26" ht="16.8" x14ac:dyDescent="0.45">
      <c r="A1898" s="6"/>
      <c r="B1898" s="7"/>
      <c r="C1898" s="6"/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</row>
    <row r="1899" spans="1:26" ht="16.8" x14ac:dyDescent="0.45">
      <c r="A1899" s="6"/>
      <c r="B1899" s="7"/>
      <c r="C1899" s="6"/>
      <c r="D1899" s="6"/>
      <c r="E1899" s="6"/>
      <c r="F1899" s="6"/>
      <c r="G1899" s="6"/>
      <c r="H1899" s="6"/>
      <c r="I1899" s="6"/>
      <c r="J1899" s="6"/>
      <c r="K1899" s="6"/>
      <c r="L1899" s="6"/>
      <c r="M1899" s="6"/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</row>
    <row r="1900" spans="1:26" ht="16.8" x14ac:dyDescent="0.45">
      <c r="A1900" s="6"/>
      <c r="B1900" s="7"/>
      <c r="C1900" s="6"/>
      <c r="D1900" s="6"/>
      <c r="E1900" s="6"/>
      <c r="F1900" s="6"/>
      <c r="G1900" s="6"/>
      <c r="H1900" s="6"/>
      <c r="I1900" s="6"/>
      <c r="J1900" s="6"/>
      <c r="K1900" s="6"/>
      <c r="L1900" s="6"/>
      <c r="M1900" s="6"/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</row>
    <row r="1901" spans="1:26" ht="16.8" x14ac:dyDescent="0.45">
      <c r="A1901" s="6"/>
      <c r="B1901" s="7"/>
      <c r="C1901" s="6"/>
      <c r="D1901" s="6"/>
      <c r="E1901" s="6"/>
      <c r="F1901" s="6"/>
      <c r="G1901" s="6"/>
      <c r="H1901" s="6"/>
      <c r="I1901" s="6"/>
      <c r="J1901" s="6"/>
      <c r="K1901" s="6"/>
      <c r="L1901" s="6"/>
      <c r="M1901" s="6"/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</row>
    <row r="1902" spans="1:26" ht="16.8" x14ac:dyDescent="0.45">
      <c r="A1902" s="6"/>
      <c r="B1902" s="7"/>
      <c r="C1902" s="6"/>
      <c r="D1902" s="6"/>
      <c r="E1902" s="6"/>
      <c r="F1902" s="6"/>
      <c r="G1902" s="6"/>
      <c r="H1902" s="6"/>
      <c r="I1902" s="6"/>
      <c r="J1902" s="6"/>
      <c r="K1902" s="6"/>
      <c r="L1902" s="6"/>
      <c r="M1902" s="6"/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</row>
    <row r="1903" spans="1:26" ht="16.8" x14ac:dyDescent="0.45">
      <c r="A1903" s="6"/>
      <c r="B1903" s="7"/>
      <c r="C1903" s="6"/>
      <c r="D1903" s="6"/>
      <c r="E1903" s="6"/>
      <c r="F1903" s="6"/>
      <c r="G1903" s="6"/>
      <c r="H1903" s="6"/>
      <c r="I1903" s="6"/>
      <c r="J1903" s="6"/>
      <c r="K1903" s="6"/>
      <c r="L1903" s="6"/>
      <c r="M1903" s="6"/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</row>
    <row r="1904" spans="1:26" ht="16.8" x14ac:dyDescent="0.45">
      <c r="A1904" s="6"/>
      <c r="B1904" s="7"/>
      <c r="C1904" s="6"/>
      <c r="D1904" s="6"/>
      <c r="E1904" s="6"/>
      <c r="F1904" s="6"/>
      <c r="G1904" s="6"/>
      <c r="H1904" s="6"/>
      <c r="I1904" s="6"/>
      <c r="J1904" s="6"/>
      <c r="K1904" s="6"/>
      <c r="L1904" s="6"/>
      <c r="M1904" s="6"/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</row>
    <row r="1905" spans="1:26" ht="16.8" x14ac:dyDescent="0.45">
      <c r="A1905" s="6"/>
      <c r="B1905" s="7"/>
      <c r="C1905" s="6"/>
      <c r="D1905" s="6"/>
      <c r="E1905" s="6"/>
      <c r="F1905" s="6"/>
      <c r="G1905" s="6"/>
      <c r="H1905" s="6"/>
      <c r="I1905" s="6"/>
      <c r="J1905" s="6"/>
      <c r="K1905" s="6"/>
      <c r="L1905" s="6"/>
      <c r="M1905" s="6"/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</row>
    <row r="1906" spans="1:26" ht="16.8" x14ac:dyDescent="0.45">
      <c r="A1906" s="6"/>
      <c r="B1906" s="7"/>
      <c r="C1906" s="6"/>
      <c r="D1906" s="6"/>
      <c r="E1906" s="6"/>
      <c r="F1906" s="6"/>
      <c r="G1906" s="6"/>
      <c r="H1906" s="6"/>
      <c r="I1906" s="6"/>
      <c r="J1906" s="6"/>
      <c r="K1906" s="6"/>
      <c r="L1906" s="6"/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</row>
    <row r="1907" spans="1:26" ht="16.8" x14ac:dyDescent="0.45">
      <c r="A1907" s="6"/>
      <c r="B1907" s="7"/>
      <c r="C1907" s="6"/>
      <c r="D1907" s="6"/>
      <c r="E1907" s="6"/>
      <c r="F1907" s="6"/>
      <c r="G1907" s="6"/>
      <c r="H1907" s="6"/>
      <c r="I1907" s="6"/>
      <c r="J1907" s="6"/>
      <c r="K1907" s="6"/>
      <c r="L1907" s="6"/>
      <c r="M1907" s="6"/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</row>
    <row r="1908" spans="1:26" ht="16.8" x14ac:dyDescent="0.45">
      <c r="A1908" s="6"/>
      <c r="B1908" s="7"/>
      <c r="C1908" s="6"/>
      <c r="D1908" s="6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</row>
    <row r="1909" spans="1:26" ht="16.8" x14ac:dyDescent="0.45">
      <c r="A1909" s="6"/>
      <c r="B1909" s="7"/>
      <c r="C1909" s="6"/>
      <c r="D1909" s="6"/>
      <c r="E1909" s="6"/>
      <c r="F1909" s="6"/>
      <c r="G1909" s="6"/>
      <c r="H1909" s="6"/>
      <c r="I1909" s="6"/>
      <c r="J1909" s="6"/>
      <c r="K1909" s="6"/>
      <c r="L1909" s="6"/>
      <c r="M1909" s="6"/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</row>
    <row r="1910" spans="1:26" ht="16.8" x14ac:dyDescent="0.45">
      <c r="A1910" s="6"/>
      <c r="B1910" s="7"/>
      <c r="C1910" s="6"/>
      <c r="D1910" s="6"/>
      <c r="E1910" s="6"/>
      <c r="F1910" s="6"/>
      <c r="G1910" s="6"/>
      <c r="H1910" s="6"/>
      <c r="I1910" s="6"/>
      <c r="J1910" s="6"/>
      <c r="K1910" s="6"/>
      <c r="L1910" s="6"/>
      <c r="M1910" s="6"/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</row>
    <row r="1911" spans="1:26" ht="16.8" x14ac:dyDescent="0.45">
      <c r="A1911" s="6"/>
      <c r="B1911" s="7"/>
      <c r="C1911" s="6"/>
      <c r="D1911" s="6"/>
      <c r="E1911" s="6"/>
      <c r="F1911" s="6"/>
      <c r="G1911" s="6"/>
      <c r="H1911" s="6"/>
      <c r="I1911" s="6"/>
      <c r="J1911" s="6"/>
      <c r="K1911" s="6"/>
      <c r="L1911" s="6"/>
      <c r="M1911" s="6"/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</row>
    <row r="1912" spans="1:26" ht="16.8" x14ac:dyDescent="0.45">
      <c r="A1912" s="6"/>
      <c r="B1912" s="7"/>
      <c r="C1912" s="6"/>
      <c r="D1912" s="6"/>
      <c r="E1912" s="6"/>
      <c r="F1912" s="6"/>
      <c r="G1912" s="6"/>
      <c r="H1912" s="6"/>
      <c r="I1912" s="6"/>
      <c r="J1912" s="6"/>
      <c r="K1912" s="6"/>
      <c r="L1912" s="6"/>
      <c r="M1912" s="6"/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</row>
    <row r="1913" spans="1:26" ht="16.8" x14ac:dyDescent="0.45">
      <c r="A1913" s="6"/>
      <c r="B1913" s="7"/>
      <c r="C1913" s="6"/>
      <c r="D1913" s="6"/>
      <c r="E1913" s="6"/>
      <c r="F1913" s="6"/>
      <c r="G1913" s="6"/>
      <c r="H1913" s="6"/>
      <c r="I1913" s="6"/>
      <c r="J1913" s="6"/>
      <c r="K1913" s="6"/>
      <c r="L1913" s="6"/>
      <c r="M1913" s="6"/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</row>
    <row r="1914" spans="1:26" ht="16.8" x14ac:dyDescent="0.45">
      <c r="A1914" s="6"/>
      <c r="B1914" s="7"/>
      <c r="C1914" s="6"/>
      <c r="D1914" s="6"/>
      <c r="E1914" s="6"/>
      <c r="F1914" s="6"/>
      <c r="G1914" s="6"/>
      <c r="H1914" s="6"/>
      <c r="I1914" s="6"/>
      <c r="J1914" s="6"/>
      <c r="K1914" s="6"/>
      <c r="L1914" s="6"/>
      <c r="M1914" s="6"/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</row>
    <row r="1915" spans="1:26" ht="16.8" x14ac:dyDescent="0.45">
      <c r="A1915" s="6"/>
      <c r="B1915" s="7"/>
      <c r="C1915" s="6"/>
      <c r="D1915" s="6"/>
      <c r="E1915" s="6"/>
      <c r="F1915" s="6"/>
      <c r="G1915" s="6"/>
      <c r="H1915" s="6"/>
      <c r="I1915" s="6"/>
      <c r="J1915" s="6"/>
      <c r="K1915" s="6"/>
      <c r="L1915" s="6"/>
      <c r="M1915" s="6"/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</row>
    <row r="1916" spans="1:26" ht="16.8" x14ac:dyDescent="0.45">
      <c r="A1916" s="6"/>
      <c r="B1916" s="7"/>
      <c r="C1916" s="6"/>
      <c r="D1916" s="6"/>
      <c r="E1916" s="6"/>
      <c r="F1916" s="6"/>
      <c r="G1916" s="6"/>
      <c r="H1916" s="6"/>
      <c r="I1916" s="6"/>
      <c r="J1916" s="6"/>
      <c r="K1916" s="6"/>
      <c r="L1916" s="6"/>
      <c r="M1916" s="6"/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</row>
    <row r="1917" spans="1:26" ht="16.8" x14ac:dyDescent="0.45">
      <c r="A1917" s="6"/>
      <c r="B1917" s="7"/>
      <c r="C1917" s="6"/>
      <c r="D1917" s="6"/>
      <c r="E1917" s="6"/>
      <c r="F1917" s="6"/>
      <c r="G1917" s="6"/>
      <c r="H1917" s="6"/>
      <c r="I1917" s="6"/>
      <c r="J1917" s="6"/>
      <c r="K1917" s="6"/>
      <c r="L1917" s="6"/>
      <c r="M1917" s="6"/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</row>
    <row r="1918" spans="1:26" ht="16.8" x14ac:dyDescent="0.45">
      <c r="A1918" s="6"/>
      <c r="B1918" s="7"/>
      <c r="C1918" s="6"/>
      <c r="D1918" s="6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</row>
    <row r="1919" spans="1:26" ht="16.8" x14ac:dyDescent="0.45">
      <c r="A1919" s="6"/>
      <c r="B1919" s="7"/>
      <c r="C1919" s="6"/>
      <c r="D1919" s="6"/>
      <c r="E1919" s="6"/>
      <c r="F1919" s="6"/>
      <c r="G1919" s="6"/>
      <c r="H1919" s="6"/>
      <c r="I1919" s="6"/>
      <c r="J1919" s="6"/>
      <c r="K1919" s="6"/>
      <c r="L1919" s="6"/>
      <c r="M1919" s="6"/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</row>
    <row r="1920" spans="1:26" ht="16.8" x14ac:dyDescent="0.45">
      <c r="A1920" s="6"/>
      <c r="B1920" s="7"/>
      <c r="C1920" s="6"/>
      <c r="D1920" s="6"/>
      <c r="E1920" s="6"/>
      <c r="F1920" s="6"/>
      <c r="G1920" s="6"/>
      <c r="H1920" s="6"/>
      <c r="I1920" s="6"/>
      <c r="J1920" s="6"/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</row>
    <row r="1921" spans="1:26" ht="16.8" x14ac:dyDescent="0.45">
      <c r="A1921" s="6"/>
      <c r="B1921" s="7"/>
      <c r="C1921" s="6"/>
      <c r="D1921" s="6"/>
      <c r="E1921" s="6"/>
      <c r="F1921" s="6"/>
      <c r="G1921" s="6"/>
      <c r="H1921" s="6"/>
      <c r="I1921" s="6"/>
      <c r="J1921" s="6"/>
      <c r="K1921" s="6"/>
      <c r="L1921" s="6"/>
      <c r="M1921" s="6"/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</row>
    <row r="1922" spans="1:26" ht="16.8" x14ac:dyDescent="0.45">
      <c r="A1922" s="6"/>
      <c r="B1922" s="7"/>
      <c r="C1922" s="6"/>
      <c r="D1922" s="6"/>
      <c r="E1922" s="6"/>
      <c r="F1922" s="6"/>
      <c r="G1922" s="6"/>
      <c r="H1922" s="6"/>
      <c r="I1922" s="6"/>
      <c r="J1922" s="6"/>
      <c r="K1922" s="6"/>
      <c r="L1922" s="6"/>
      <c r="M1922" s="6"/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</row>
    <row r="1923" spans="1:26" ht="16.8" x14ac:dyDescent="0.45">
      <c r="A1923" s="6"/>
      <c r="B1923" s="7"/>
      <c r="C1923" s="6"/>
      <c r="D1923" s="6"/>
      <c r="E1923" s="6"/>
      <c r="F1923" s="6"/>
      <c r="G1923" s="6"/>
      <c r="H1923" s="6"/>
      <c r="I1923" s="6"/>
      <c r="J1923" s="6"/>
      <c r="K1923" s="6"/>
      <c r="L1923" s="6"/>
      <c r="M1923" s="6"/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</row>
    <row r="1924" spans="1:26" ht="16.8" x14ac:dyDescent="0.45">
      <c r="A1924" s="6"/>
      <c r="B1924" s="7"/>
      <c r="C1924" s="6"/>
      <c r="D1924" s="6"/>
      <c r="E1924" s="6"/>
      <c r="F1924" s="6"/>
      <c r="G1924" s="6"/>
      <c r="H1924" s="6"/>
      <c r="I1924" s="6"/>
      <c r="J1924" s="6"/>
      <c r="K1924" s="6"/>
      <c r="L1924" s="6"/>
      <c r="M1924" s="6"/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</row>
    <row r="1925" spans="1:26" ht="16.8" x14ac:dyDescent="0.45">
      <c r="A1925" s="6"/>
      <c r="B1925" s="7"/>
      <c r="C1925" s="6"/>
      <c r="D1925" s="6"/>
      <c r="E1925" s="6"/>
      <c r="F1925" s="6"/>
      <c r="G1925" s="6"/>
      <c r="H1925" s="6"/>
      <c r="I1925" s="6"/>
      <c r="J1925" s="6"/>
      <c r="K1925" s="6"/>
      <c r="L1925" s="6"/>
      <c r="M1925" s="6"/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</row>
    <row r="1926" spans="1:26" ht="16.8" x14ac:dyDescent="0.45">
      <c r="A1926" s="6"/>
      <c r="B1926" s="7"/>
      <c r="C1926" s="6"/>
      <c r="D1926" s="6"/>
      <c r="E1926" s="6"/>
      <c r="F1926" s="6"/>
      <c r="G1926" s="6"/>
      <c r="H1926" s="6"/>
      <c r="I1926" s="6"/>
      <c r="J1926" s="6"/>
      <c r="K1926" s="6"/>
      <c r="L1926" s="6"/>
      <c r="M1926" s="6"/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</row>
    <row r="1927" spans="1:26" ht="16.8" x14ac:dyDescent="0.45">
      <c r="A1927" s="6"/>
      <c r="B1927" s="7"/>
      <c r="C1927" s="6"/>
      <c r="D1927" s="6"/>
      <c r="E1927" s="6"/>
      <c r="F1927" s="6"/>
      <c r="G1927" s="6"/>
      <c r="H1927" s="6"/>
      <c r="I1927" s="6"/>
      <c r="J1927" s="6"/>
      <c r="K1927" s="6"/>
      <c r="L1927" s="6"/>
      <c r="M1927" s="6"/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</row>
    <row r="1928" spans="1:26" ht="16.8" x14ac:dyDescent="0.45">
      <c r="A1928" s="6"/>
      <c r="B1928" s="7"/>
      <c r="C1928" s="6"/>
      <c r="D1928" s="6"/>
      <c r="E1928" s="6"/>
      <c r="F1928" s="6"/>
      <c r="G1928" s="6"/>
      <c r="H1928" s="6"/>
      <c r="I1928" s="6"/>
      <c r="J1928" s="6"/>
      <c r="K1928" s="6"/>
      <c r="L1928" s="6"/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</row>
    <row r="1929" spans="1:26" ht="16.8" x14ac:dyDescent="0.45">
      <c r="A1929" s="6"/>
      <c r="B1929" s="7"/>
      <c r="C1929" s="6"/>
      <c r="D1929" s="6"/>
      <c r="E1929" s="6"/>
      <c r="F1929" s="6"/>
      <c r="G1929" s="6"/>
      <c r="H1929" s="6"/>
      <c r="I1929" s="6"/>
      <c r="J1929" s="6"/>
      <c r="K1929" s="6"/>
      <c r="L1929" s="6"/>
      <c r="M1929" s="6"/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</row>
    <row r="1930" spans="1:26" ht="16.8" x14ac:dyDescent="0.45">
      <c r="A1930" s="6"/>
      <c r="B1930" s="7"/>
      <c r="C1930" s="6"/>
      <c r="D1930" s="6"/>
      <c r="E1930" s="6"/>
      <c r="F1930" s="6"/>
      <c r="G1930" s="6"/>
      <c r="H1930" s="6"/>
      <c r="I1930" s="6"/>
      <c r="J1930" s="6"/>
      <c r="K1930" s="6"/>
      <c r="L1930" s="6"/>
      <c r="M1930" s="6"/>
      <c r="N1930" s="6"/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</row>
    <row r="1931" spans="1:26" ht="16.8" x14ac:dyDescent="0.45">
      <c r="A1931" s="6"/>
      <c r="B1931" s="7"/>
      <c r="C1931" s="6"/>
      <c r="D1931" s="6"/>
      <c r="E1931" s="6"/>
      <c r="F1931" s="6"/>
      <c r="G1931" s="6"/>
      <c r="H1931" s="6"/>
      <c r="I1931" s="6"/>
      <c r="J1931" s="6"/>
      <c r="K1931" s="6"/>
      <c r="L1931" s="6"/>
      <c r="M1931" s="6"/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</row>
    <row r="1932" spans="1:26" ht="16.8" x14ac:dyDescent="0.45">
      <c r="A1932" s="6"/>
      <c r="B1932" s="7"/>
      <c r="C1932" s="6"/>
      <c r="D1932" s="6"/>
      <c r="E1932" s="6"/>
      <c r="F1932" s="6"/>
      <c r="G1932" s="6"/>
      <c r="H1932" s="6"/>
      <c r="I1932" s="6"/>
      <c r="J1932" s="6"/>
      <c r="K1932" s="6"/>
      <c r="L1932" s="6"/>
      <c r="M1932" s="6"/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</row>
    <row r="1933" spans="1:26" ht="16.8" x14ac:dyDescent="0.45">
      <c r="A1933" s="6"/>
      <c r="B1933" s="7"/>
      <c r="C1933" s="6"/>
      <c r="D1933" s="6"/>
      <c r="E1933" s="6"/>
      <c r="F1933" s="6"/>
      <c r="G1933" s="6"/>
      <c r="H1933" s="6"/>
      <c r="I1933" s="6"/>
      <c r="J1933" s="6"/>
      <c r="K1933" s="6"/>
      <c r="L1933" s="6"/>
      <c r="M1933" s="6"/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</row>
    <row r="1934" spans="1:26" ht="16.8" x14ac:dyDescent="0.45">
      <c r="A1934" s="6"/>
      <c r="B1934" s="7"/>
      <c r="C1934" s="6"/>
      <c r="D1934" s="6"/>
      <c r="E1934" s="6"/>
      <c r="F1934" s="6"/>
      <c r="G1934" s="6"/>
      <c r="H1934" s="6"/>
      <c r="I1934" s="6"/>
      <c r="J1934" s="6"/>
      <c r="K1934" s="6"/>
      <c r="L1934" s="6"/>
      <c r="M1934" s="6"/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</row>
    <row r="1935" spans="1:26" ht="16.8" x14ac:dyDescent="0.45">
      <c r="A1935" s="6"/>
      <c r="B1935" s="7"/>
      <c r="C1935" s="6"/>
      <c r="D1935" s="6"/>
      <c r="E1935" s="6"/>
      <c r="F1935" s="6"/>
      <c r="G1935" s="6"/>
      <c r="H1935" s="6"/>
      <c r="I1935" s="6"/>
      <c r="J1935" s="6"/>
      <c r="K1935" s="6"/>
      <c r="L1935" s="6"/>
      <c r="M1935" s="6"/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</row>
    <row r="1936" spans="1:26" ht="16.8" x14ac:dyDescent="0.45">
      <c r="A1936" s="6"/>
      <c r="B1936" s="7"/>
      <c r="C1936" s="6"/>
      <c r="D1936" s="6"/>
      <c r="E1936" s="6"/>
      <c r="F1936" s="6"/>
      <c r="G1936" s="6"/>
      <c r="H1936" s="6"/>
      <c r="I1936" s="6"/>
      <c r="J1936" s="6"/>
      <c r="K1936" s="6"/>
      <c r="L1936" s="6"/>
      <c r="M1936" s="6"/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</row>
    <row r="1937" spans="1:26" ht="16.8" x14ac:dyDescent="0.45">
      <c r="A1937" s="6"/>
      <c r="B1937" s="7"/>
      <c r="C1937" s="6"/>
      <c r="D1937" s="6"/>
      <c r="E1937" s="6"/>
      <c r="F1937" s="6"/>
      <c r="G1937" s="6"/>
      <c r="H1937" s="6"/>
      <c r="I1937" s="6"/>
      <c r="J1937" s="6"/>
      <c r="K1937" s="6"/>
      <c r="L1937" s="6"/>
      <c r="M1937" s="6"/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</row>
    <row r="1938" spans="1:26" ht="16.8" x14ac:dyDescent="0.45">
      <c r="A1938" s="6"/>
      <c r="B1938" s="7"/>
      <c r="C1938" s="6"/>
      <c r="D1938" s="6"/>
      <c r="E1938" s="6"/>
      <c r="F1938" s="6"/>
      <c r="G1938" s="6"/>
      <c r="H1938" s="6"/>
      <c r="I1938" s="6"/>
      <c r="J1938" s="6"/>
      <c r="K1938" s="6"/>
      <c r="L1938" s="6"/>
      <c r="M1938" s="6"/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</row>
    <row r="1939" spans="1:26" ht="16.8" x14ac:dyDescent="0.45">
      <c r="A1939" s="6"/>
      <c r="B1939" s="7"/>
      <c r="C1939" s="6"/>
      <c r="D1939" s="6"/>
      <c r="E1939" s="6"/>
      <c r="F1939" s="6"/>
      <c r="G1939" s="6"/>
      <c r="H1939" s="6"/>
      <c r="I1939" s="6"/>
      <c r="J1939" s="6"/>
      <c r="K1939" s="6"/>
      <c r="L1939" s="6"/>
      <c r="M1939" s="6"/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</row>
    <row r="1940" spans="1:26" ht="16.8" x14ac:dyDescent="0.45">
      <c r="A1940" s="6"/>
      <c r="B1940" s="7"/>
      <c r="C1940" s="6"/>
      <c r="D1940" s="6"/>
      <c r="E1940" s="6"/>
      <c r="F1940" s="6"/>
      <c r="G1940" s="6"/>
      <c r="H1940" s="6"/>
      <c r="I1940" s="6"/>
      <c r="J1940" s="6"/>
      <c r="K1940" s="6"/>
      <c r="L1940" s="6"/>
      <c r="M1940" s="6"/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</row>
    <row r="1941" spans="1:26" ht="16.8" x14ac:dyDescent="0.45">
      <c r="A1941" s="6"/>
      <c r="B1941" s="7"/>
      <c r="C1941" s="6"/>
      <c r="D1941" s="6"/>
      <c r="E1941" s="6"/>
      <c r="F1941" s="6"/>
      <c r="G1941" s="6"/>
      <c r="H1941" s="6"/>
      <c r="I1941" s="6"/>
      <c r="J1941" s="6"/>
      <c r="K1941" s="6"/>
      <c r="L1941" s="6"/>
      <c r="M1941" s="6"/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</row>
    <row r="1942" spans="1:26" ht="16.8" x14ac:dyDescent="0.45">
      <c r="A1942" s="6"/>
      <c r="B1942" s="7"/>
      <c r="C1942" s="6"/>
      <c r="D1942" s="6"/>
      <c r="E1942" s="6"/>
      <c r="F1942" s="6"/>
      <c r="G1942" s="6"/>
      <c r="H1942" s="6"/>
      <c r="I1942" s="6"/>
      <c r="J1942" s="6"/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</row>
    <row r="1943" spans="1:26" ht="16.8" x14ac:dyDescent="0.45">
      <c r="A1943" s="6"/>
      <c r="B1943" s="7"/>
      <c r="C1943" s="6"/>
      <c r="D1943" s="6"/>
      <c r="E1943" s="6"/>
      <c r="F1943" s="6"/>
      <c r="G1943" s="6"/>
      <c r="H1943" s="6"/>
      <c r="I1943" s="6"/>
      <c r="J1943" s="6"/>
      <c r="K1943" s="6"/>
      <c r="L1943" s="6"/>
      <c r="M1943" s="6"/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</row>
    <row r="1944" spans="1:26" ht="16.8" x14ac:dyDescent="0.45">
      <c r="A1944" s="6"/>
      <c r="B1944" s="7"/>
      <c r="C1944" s="6"/>
      <c r="D1944" s="6"/>
      <c r="E1944" s="6"/>
      <c r="F1944" s="6"/>
      <c r="G1944" s="6"/>
      <c r="H1944" s="6"/>
      <c r="I1944" s="6"/>
      <c r="J1944" s="6"/>
      <c r="K1944" s="6"/>
      <c r="L1944" s="6"/>
      <c r="M1944" s="6"/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</row>
    <row r="1945" spans="1:26" ht="16.8" x14ac:dyDescent="0.45">
      <c r="A1945" s="6"/>
      <c r="B1945" s="7"/>
      <c r="C1945" s="6"/>
      <c r="D1945" s="6"/>
      <c r="E1945" s="6"/>
      <c r="F1945" s="6"/>
      <c r="G1945" s="6"/>
      <c r="H1945" s="6"/>
      <c r="I1945" s="6"/>
      <c r="J1945" s="6"/>
      <c r="K1945" s="6"/>
      <c r="L1945" s="6"/>
      <c r="M1945" s="6"/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</row>
    <row r="1946" spans="1:26" ht="16.8" x14ac:dyDescent="0.45">
      <c r="A1946" s="6"/>
      <c r="B1946" s="7"/>
      <c r="C1946" s="6"/>
      <c r="D1946" s="6"/>
      <c r="E1946" s="6"/>
      <c r="F1946" s="6"/>
      <c r="G1946" s="6"/>
      <c r="H1946" s="6"/>
      <c r="I1946" s="6"/>
      <c r="J1946" s="6"/>
      <c r="K1946" s="6"/>
      <c r="L1946" s="6"/>
      <c r="M1946" s="6"/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</row>
    <row r="1947" spans="1:26" ht="16.8" x14ac:dyDescent="0.45">
      <c r="A1947" s="6"/>
      <c r="B1947" s="7"/>
      <c r="C1947" s="6"/>
      <c r="D1947" s="6"/>
      <c r="E1947" s="6"/>
      <c r="F1947" s="6"/>
      <c r="G1947" s="6"/>
      <c r="H1947" s="6"/>
      <c r="I1947" s="6"/>
      <c r="J1947" s="6"/>
      <c r="K1947" s="6"/>
      <c r="L1947" s="6"/>
      <c r="M1947" s="6"/>
      <c r="N1947" s="6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</row>
    <row r="1948" spans="1:26" ht="16.8" x14ac:dyDescent="0.45">
      <c r="A1948" s="6"/>
      <c r="B1948" s="7"/>
      <c r="C1948" s="6"/>
      <c r="D1948" s="6"/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</row>
    <row r="1949" spans="1:26" ht="16.8" x14ac:dyDescent="0.45">
      <c r="A1949" s="6"/>
      <c r="B1949" s="7"/>
      <c r="C1949" s="6"/>
      <c r="D1949" s="6"/>
      <c r="E1949" s="6"/>
      <c r="F1949" s="6"/>
      <c r="G1949" s="6"/>
      <c r="H1949" s="6"/>
      <c r="I1949" s="6"/>
      <c r="J1949" s="6"/>
      <c r="K1949" s="6"/>
      <c r="L1949" s="6"/>
      <c r="M1949" s="6"/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</row>
    <row r="1950" spans="1:26" ht="16.8" x14ac:dyDescent="0.45">
      <c r="A1950" s="6"/>
      <c r="B1950" s="7"/>
      <c r="C1950" s="6"/>
      <c r="D1950" s="6"/>
      <c r="E1950" s="6"/>
      <c r="F1950" s="6"/>
      <c r="G1950" s="6"/>
      <c r="H1950" s="6"/>
      <c r="I1950" s="6"/>
      <c r="J1950" s="6"/>
      <c r="K1950" s="6"/>
      <c r="L1950" s="6"/>
      <c r="M1950" s="6"/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</row>
    <row r="1951" spans="1:26" ht="16.8" x14ac:dyDescent="0.45">
      <c r="A1951" s="6"/>
      <c r="B1951" s="7"/>
      <c r="C1951" s="6"/>
      <c r="D1951" s="6"/>
      <c r="E1951" s="6"/>
      <c r="F1951" s="6"/>
      <c r="G1951" s="6"/>
      <c r="H1951" s="6"/>
      <c r="I1951" s="6"/>
      <c r="J1951" s="6"/>
      <c r="K1951" s="6"/>
      <c r="L1951" s="6"/>
      <c r="M1951" s="6"/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</row>
    <row r="1952" spans="1:26" ht="16.8" x14ac:dyDescent="0.45">
      <c r="A1952" s="6"/>
      <c r="B1952" s="7"/>
      <c r="C1952" s="6"/>
      <c r="D1952" s="6"/>
      <c r="E1952" s="6"/>
      <c r="F1952" s="6"/>
      <c r="G1952" s="6"/>
      <c r="H1952" s="6"/>
      <c r="I1952" s="6"/>
      <c r="J1952" s="6"/>
      <c r="K1952" s="6"/>
      <c r="L1952" s="6"/>
      <c r="M1952" s="6"/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</row>
    <row r="1953" spans="1:26" ht="16.8" x14ac:dyDescent="0.45">
      <c r="A1953" s="6"/>
      <c r="B1953" s="7"/>
      <c r="C1953" s="6"/>
      <c r="D1953" s="6"/>
      <c r="E1953" s="6"/>
      <c r="F1953" s="6"/>
      <c r="G1953" s="6"/>
      <c r="H1953" s="6"/>
      <c r="I1953" s="6"/>
      <c r="J1953" s="6"/>
      <c r="K1953" s="6"/>
      <c r="L1953" s="6"/>
      <c r="M1953" s="6"/>
      <c r="N1953" s="6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</row>
    <row r="1954" spans="1:26" ht="16.8" x14ac:dyDescent="0.45">
      <c r="A1954" s="6"/>
      <c r="B1954" s="7"/>
      <c r="C1954" s="6"/>
      <c r="D1954" s="6"/>
      <c r="E1954" s="6"/>
      <c r="F1954" s="6"/>
      <c r="G1954" s="6"/>
      <c r="H1954" s="6"/>
      <c r="I1954" s="6"/>
      <c r="J1954" s="6"/>
      <c r="K1954" s="6"/>
      <c r="L1954" s="6"/>
      <c r="M1954" s="6"/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</row>
    <row r="1955" spans="1:26" ht="16.8" x14ac:dyDescent="0.45">
      <c r="A1955" s="6"/>
      <c r="B1955" s="7"/>
      <c r="C1955" s="6"/>
      <c r="D1955" s="6"/>
      <c r="E1955" s="6"/>
      <c r="F1955" s="6"/>
      <c r="G1955" s="6"/>
      <c r="H1955" s="6"/>
      <c r="I1955" s="6"/>
      <c r="J1955" s="6"/>
      <c r="K1955" s="6"/>
      <c r="L1955" s="6"/>
      <c r="M1955" s="6"/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</row>
    <row r="1956" spans="1:26" ht="16.8" x14ac:dyDescent="0.45">
      <c r="A1956" s="6"/>
      <c r="B1956" s="7"/>
      <c r="C1956" s="6"/>
      <c r="D1956" s="6"/>
      <c r="E1956" s="6"/>
      <c r="F1956" s="6"/>
      <c r="G1956" s="6"/>
      <c r="H1956" s="6"/>
      <c r="I1956" s="6"/>
      <c r="J1956" s="6"/>
      <c r="K1956" s="6"/>
      <c r="L1956" s="6"/>
      <c r="M1956" s="6"/>
      <c r="N1956" s="6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</row>
    <row r="1957" spans="1:26" ht="16.8" x14ac:dyDescent="0.45">
      <c r="A1957" s="6"/>
      <c r="B1957" s="7"/>
      <c r="C1957" s="6"/>
      <c r="D1957" s="6"/>
      <c r="E1957" s="6"/>
      <c r="F1957" s="6"/>
      <c r="G1957" s="6"/>
      <c r="H1957" s="6"/>
      <c r="I1957" s="6"/>
      <c r="J1957" s="6"/>
      <c r="K1957" s="6"/>
      <c r="L1957" s="6"/>
      <c r="M1957" s="6"/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</row>
    <row r="1958" spans="1:26" ht="16.8" x14ac:dyDescent="0.45">
      <c r="A1958" s="6"/>
      <c r="B1958" s="7"/>
      <c r="C1958" s="6"/>
      <c r="D1958" s="6"/>
      <c r="E1958" s="6"/>
      <c r="F1958" s="6"/>
      <c r="G1958" s="6"/>
      <c r="H1958" s="6"/>
      <c r="I1958" s="6"/>
      <c r="J1958" s="6"/>
      <c r="K1958" s="6"/>
      <c r="L1958" s="6"/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</row>
    <row r="1959" spans="1:26" ht="16.8" x14ac:dyDescent="0.45">
      <c r="A1959" s="6"/>
      <c r="B1959" s="7"/>
      <c r="C1959" s="6"/>
      <c r="D1959" s="6"/>
      <c r="E1959" s="6"/>
      <c r="F1959" s="6"/>
      <c r="G1959" s="6"/>
      <c r="H1959" s="6"/>
      <c r="I1959" s="6"/>
      <c r="J1959" s="6"/>
      <c r="K1959" s="6"/>
      <c r="L1959" s="6"/>
      <c r="M1959" s="6"/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6"/>
    </row>
    <row r="1960" spans="1:26" ht="16.8" x14ac:dyDescent="0.45">
      <c r="A1960" s="6"/>
      <c r="B1960" s="7"/>
      <c r="C1960" s="6"/>
      <c r="D1960" s="6"/>
      <c r="E1960" s="6"/>
      <c r="F1960" s="6"/>
      <c r="G1960" s="6"/>
      <c r="H1960" s="6"/>
      <c r="I1960" s="6"/>
      <c r="J1960" s="6"/>
      <c r="K1960" s="6"/>
      <c r="L1960" s="6"/>
      <c r="M1960" s="6"/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</row>
    <row r="1961" spans="1:26" ht="16.8" x14ac:dyDescent="0.45">
      <c r="A1961" s="6"/>
      <c r="B1961" s="7"/>
      <c r="C1961" s="6"/>
      <c r="D1961" s="6"/>
      <c r="E1961" s="6"/>
      <c r="F1961" s="6"/>
      <c r="G1961" s="6"/>
      <c r="H1961" s="6"/>
      <c r="I1961" s="6"/>
      <c r="J1961" s="6"/>
      <c r="K1961" s="6"/>
      <c r="L1961" s="6"/>
      <c r="M1961" s="6"/>
      <c r="N1961" s="6"/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/>
    </row>
    <row r="1962" spans="1:26" ht="16.8" x14ac:dyDescent="0.45">
      <c r="A1962" s="6"/>
      <c r="B1962" s="7"/>
      <c r="C1962" s="6"/>
      <c r="D1962" s="6"/>
      <c r="E1962" s="6"/>
      <c r="F1962" s="6"/>
      <c r="G1962" s="6"/>
      <c r="H1962" s="6"/>
      <c r="I1962" s="6"/>
      <c r="J1962" s="6"/>
      <c r="K1962" s="6"/>
      <c r="L1962" s="6"/>
      <c r="M1962" s="6"/>
      <c r="N1962" s="6"/>
      <c r="O1962" s="6"/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6"/>
    </row>
    <row r="1963" spans="1:26" ht="16.8" x14ac:dyDescent="0.45">
      <c r="A1963" s="6"/>
      <c r="B1963" s="7"/>
      <c r="C1963" s="6"/>
      <c r="D1963" s="6"/>
      <c r="E1963" s="6"/>
      <c r="F1963" s="6"/>
      <c r="G1963" s="6"/>
      <c r="H1963" s="6"/>
      <c r="I1963" s="6"/>
      <c r="J1963" s="6"/>
      <c r="K1963" s="6"/>
      <c r="L1963" s="6"/>
      <c r="M1963" s="6"/>
      <c r="N1963" s="6"/>
      <c r="O1963" s="6"/>
      <c r="P1963" s="6"/>
      <c r="Q1963" s="6"/>
      <c r="R1963" s="6"/>
      <c r="S1963" s="6"/>
      <c r="T1963" s="6"/>
      <c r="U1963" s="6"/>
      <c r="V1963" s="6"/>
      <c r="W1963" s="6"/>
      <c r="X1963" s="6"/>
      <c r="Y1963" s="6"/>
      <c r="Z1963" s="6"/>
    </row>
    <row r="1964" spans="1:26" ht="16.8" x14ac:dyDescent="0.45">
      <c r="A1964" s="6"/>
      <c r="B1964" s="7"/>
      <c r="C1964" s="6"/>
      <c r="D1964" s="6"/>
      <c r="E1964" s="6"/>
      <c r="F1964" s="6"/>
      <c r="G1964" s="6"/>
      <c r="H1964" s="6"/>
      <c r="I1964" s="6"/>
      <c r="J1964" s="6"/>
      <c r="K1964" s="6"/>
      <c r="L1964" s="6"/>
      <c r="M1964" s="6"/>
      <c r="N1964" s="6"/>
      <c r="O1964" s="6"/>
      <c r="P1964" s="6"/>
      <c r="Q1964" s="6"/>
      <c r="R1964" s="6"/>
      <c r="S1964" s="6"/>
      <c r="T1964" s="6"/>
      <c r="U1964" s="6"/>
      <c r="V1964" s="6"/>
      <c r="W1964" s="6"/>
      <c r="X1964" s="6"/>
      <c r="Y1964" s="6"/>
      <c r="Z1964" s="6"/>
    </row>
    <row r="1965" spans="1:26" ht="16.8" x14ac:dyDescent="0.45">
      <c r="A1965" s="6"/>
      <c r="B1965" s="7"/>
      <c r="C1965" s="6"/>
      <c r="D1965" s="6"/>
      <c r="E1965" s="6"/>
      <c r="F1965" s="6"/>
      <c r="G1965" s="6"/>
      <c r="H1965" s="6"/>
      <c r="I1965" s="6"/>
      <c r="J1965" s="6"/>
      <c r="K1965" s="6"/>
      <c r="L1965" s="6"/>
      <c r="M1965" s="6"/>
      <c r="N1965" s="6"/>
      <c r="O1965" s="6"/>
      <c r="P1965" s="6"/>
      <c r="Q1965" s="6"/>
      <c r="R1965" s="6"/>
      <c r="S1965" s="6"/>
      <c r="T1965" s="6"/>
      <c r="U1965" s="6"/>
      <c r="V1965" s="6"/>
      <c r="W1965" s="6"/>
      <c r="X1965" s="6"/>
      <c r="Y1965" s="6"/>
      <c r="Z1965" s="6"/>
    </row>
    <row r="1966" spans="1:26" ht="16.8" x14ac:dyDescent="0.45">
      <c r="A1966" s="6"/>
      <c r="B1966" s="7"/>
      <c r="C1966" s="6"/>
      <c r="D1966" s="6"/>
      <c r="E1966" s="6"/>
      <c r="F1966" s="6"/>
      <c r="G1966" s="6"/>
      <c r="H1966" s="6"/>
      <c r="I1966" s="6"/>
      <c r="J1966" s="6"/>
      <c r="K1966" s="6"/>
      <c r="L1966" s="6"/>
      <c r="M1966" s="6"/>
      <c r="N1966" s="6"/>
      <c r="O1966" s="6"/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6"/>
    </row>
    <row r="1967" spans="1:26" ht="16.8" x14ac:dyDescent="0.45">
      <c r="A1967" s="6"/>
      <c r="B1967" s="7"/>
      <c r="C1967" s="6"/>
      <c r="D1967" s="6"/>
      <c r="E1967" s="6"/>
      <c r="F1967" s="6"/>
      <c r="G1967" s="6"/>
      <c r="H1967" s="6"/>
      <c r="I1967" s="6"/>
      <c r="J1967" s="6"/>
      <c r="K1967" s="6"/>
      <c r="L1967" s="6"/>
      <c r="M1967" s="6"/>
      <c r="N1967" s="6"/>
      <c r="O1967" s="6"/>
      <c r="P1967" s="6"/>
      <c r="Q1967" s="6"/>
      <c r="R1967" s="6"/>
      <c r="S1967" s="6"/>
      <c r="T1967" s="6"/>
      <c r="U1967" s="6"/>
      <c r="V1967" s="6"/>
      <c r="W1967" s="6"/>
      <c r="X1967" s="6"/>
      <c r="Y1967" s="6"/>
      <c r="Z1967" s="6"/>
    </row>
    <row r="1968" spans="1:26" ht="16.8" x14ac:dyDescent="0.45">
      <c r="A1968" s="6"/>
      <c r="B1968" s="7"/>
      <c r="C1968" s="6"/>
      <c r="D1968" s="6"/>
      <c r="E1968" s="6"/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</row>
    <row r="1969" spans="1:26" ht="16.8" x14ac:dyDescent="0.45">
      <c r="A1969" s="6"/>
      <c r="B1969" s="7"/>
      <c r="C1969" s="6"/>
      <c r="D1969" s="6"/>
      <c r="E1969" s="6"/>
      <c r="F1969" s="6"/>
      <c r="G1969" s="6"/>
      <c r="H1969" s="6"/>
      <c r="I1969" s="6"/>
      <c r="J1969" s="6"/>
      <c r="K1969" s="6"/>
      <c r="L1969" s="6"/>
      <c r="M1969" s="6"/>
      <c r="N1969" s="6"/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/>
    </row>
    <row r="1970" spans="1:26" ht="16.8" x14ac:dyDescent="0.45">
      <c r="A1970" s="6"/>
      <c r="B1970" s="7"/>
      <c r="C1970" s="6"/>
      <c r="D1970" s="6"/>
      <c r="E1970" s="6"/>
      <c r="F1970" s="6"/>
      <c r="G1970" s="6"/>
      <c r="H1970" s="6"/>
      <c r="I1970" s="6"/>
      <c r="J1970" s="6"/>
      <c r="K1970" s="6"/>
      <c r="L1970" s="6"/>
      <c r="M1970" s="6"/>
      <c r="N1970" s="6"/>
      <c r="O1970" s="6"/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6"/>
    </row>
    <row r="1971" spans="1:26" ht="16.8" x14ac:dyDescent="0.45">
      <c r="A1971" s="6"/>
      <c r="B1971" s="7"/>
      <c r="C1971" s="6"/>
      <c r="D1971" s="6"/>
      <c r="E1971" s="6"/>
      <c r="F1971" s="6"/>
      <c r="G1971" s="6"/>
      <c r="H1971" s="6"/>
      <c r="I1971" s="6"/>
      <c r="J1971" s="6"/>
      <c r="K1971" s="6"/>
      <c r="L1971" s="6"/>
      <c r="M1971" s="6"/>
      <c r="N1971" s="6"/>
      <c r="O1971" s="6"/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6"/>
    </row>
    <row r="1972" spans="1:26" ht="16.8" x14ac:dyDescent="0.45">
      <c r="A1972" s="6"/>
      <c r="B1972" s="7"/>
      <c r="C1972" s="6"/>
      <c r="D1972" s="6"/>
      <c r="E1972" s="6"/>
      <c r="F1972" s="6"/>
      <c r="G1972" s="6"/>
      <c r="H1972" s="6"/>
      <c r="I1972" s="6"/>
      <c r="J1972" s="6"/>
      <c r="K1972" s="6"/>
      <c r="L1972" s="6"/>
      <c r="M1972" s="6"/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</row>
    <row r="1973" spans="1:26" ht="16.8" x14ac:dyDescent="0.45">
      <c r="A1973" s="6"/>
      <c r="B1973" s="7"/>
      <c r="C1973" s="6"/>
      <c r="D1973" s="6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</row>
    <row r="1974" spans="1:26" ht="16.8" x14ac:dyDescent="0.45">
      <c r="A1974" s="6"/>
      <c r="B1974" s="7"/>
      <c r="C1974" s="6"/>
      <c r="D1974" s="6"/>
      <c r="E1974" s="6"/>
      <c r="F1974" s="6"/>
      <c r="G1974" s="6"/>
      <c r="H1974" s="6"/>
      <c r="I1974" s="6"/>
      <c r="J1974" s="6"/>
      <c r="K1974" s="6"/>
      <c r="L1974" s="6"/>
      <c r="M1974" s="6"/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/>
    </row>
    <row r="1975" spans="1:26" ht="16.8" x14ac:dyDescent="0.45">
      <c r="A1975" s="6"/>
      <c r="B1975" s="7"/>
      <c r="C1975" s="6"/>
      <c r="D1975" s="6"/>
      <c r="E1975" s="6"/>
      <c r="F1975" s="6"/>
      <c r="G1975" s="6"/>
      <c r="H1975" s="6"/>
      <c r="I1975" s="6"/>
      <c r="J1975" s="6"/>
      <c r="K1975" s="6"/>
      <c r="L1975" s="6"/>
      <c r="M1975" s="6"/>
      <c r="N1975" s="6"/>
      <c r="O1975" s="6"/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6"/>
    </row>
    <row r="1976" spans="1:26" ht="16.8" x14ac:dyDescent="0.45">
      <c r="A1976" s="6"/>
      <c r="B1976" s="7"/>
      <c r="C1976" s="6"/>
      <c r="D1976" s="6"/>
      <c r="E1976" s="6"/>
      <c r="F1976" s="6"/>
      <c r="G1976" s="6"/>
      <c r="H1976" s="6"/>
      <c r="I1976" s="6"/>
      <c r="J1976" s="6"/>
      <c r="K1976" s="6"/>
      <c r="L1976" s="6"/>
      <c r="M1976" s="6"/>
      <c r="N1976" s="6"/>
      <c r="O1976" s="6"/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6"/>
    </row>
    <row r="1977" spans="1:26" ht="16.8" x14ac:dyDescent="0.45">
      <c r="A1977" s="6"/>
      <c r="B1977" s="7"/>
      <c r="C1977" s="6"/>
      <c r="D1977" s="6"/>
      <c r="E1977" s="6"/>
      <c r="F1977" s="6"/>
      <c r="G1977" s="6"/>
      <c r="H1977" s="6"/>
      <c r="I1977" s="6"/>
      <c r="J1977" s="6"/>
      <c r="K1977" s="6"/>
      <c r="L1977" s="6"/>
      <c r="M1977" s="6"/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/>
    </row>
    <row r="1978" spans="1:26" ht="16.8" x14ac:dyDescent="0.45">
      <c r="A1978" s="6"/>
      <c r="B1978" s="7"/>
      <c r="C1978" s="6"/>
      <c r="D1978" s="6"/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</row>
    <row r="1979" spans="1:26" ht="16.8" x14ac:dyDescent="0.45">
      <c r="A1979" s="6"/>
      <c r="B1979" s="7"/>
      <c r="C1979" s="6"/>
      <c r="D1979" s="6"/>
      <c r="E1979" s="6"/>
      <c r="F1979" s="6"/>
      <c r="G1979" s="6"/>
      <c r="H1979" s="6"/>
      <c r="I1979" s="6"/>
      <c r="J1979" s="6"/>
      <c r="K1979" s="6"/>
      <c r="L1979" s="6"/>
      <c r="M1979" s="6"/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6"/>
    </row>
    <row r="1980" spans="1:26" ht="16.8" x14ac:dyDescent="0.45">
      <c r="A1980" s="6"/>
      <c r="B1980" s="7"/>
      <c r="C1980" s="6"/>
      <c r="D1980" s="6"/>
      <c r="E1980" s="6"/>
      <c r="F1980" s="6"/>
      <c r="G1980" s="6"/>
      <c r="H1980" s="6"/>
      <c r="I1980" s="6"/>
      <c r="J1980" s="6"/>
      <c r="K1980" s="6"/>
      <c r="L1980" s="6"/>
      <c r="M1980" s="6"/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</row>
    <row r="1981" spans="1:26" ht="16.8" x14ac:dyDescent="0.45">
      <c r="A1981" s="6"/>
      <c r="B1981" s="7"/>
      <c r="C1981" s="6"/>
      <c r="D1981" s="6"/>
      <c r="E1981" s="6"/>
      <c r="F1981" s="6"/>
      <c r="G1981" s="6"/>
      <c r="H1981" s="6"/>
      <c r="I1981" s="6"/>
      <c r="J1981" s="6"/>
      <c r="K1981" s="6"/>
      <c r="L1981" s="6"/>
      <c r="M1981" s="6"/>
      <c r="N1981" s="6"/>
      <c r="O1981" s="6"/>
      <c r="P1981" s="6"/>
      <c r="Q1981" s="6"/>
      <c r="R1981" s="6"/>
      <c r="S1981" s="6"/>
      <c r="T1981" s="6"/>
      <c r="U1981" s="6"/>
      <c r="V1981" s="6"/>
      <c r="W1981" s="6"/>
      <c r="X1981" s="6"/>
      <c r="Y1981" s="6"/>
      <c r="Z1981" s="6"/>
    </row>
    <row r="1982" spans="1:26" ht="16.8" x14ac:dyDescent="0.45">
      <c r="A1982" s="6"/>
      <c r="B1982" s="7"/>
      <c r="C1982" s="6"/>
      <c r="D1982" s="6"/>
      <c r="E1982" s="6"/>
      <c r="F1982" s="6"/>
      <c r="G1982" s="6"/>
      <c r="H1982" s="6"/>
      <c r="I1982" s="6"/>
      <c r="J1982" s="6"/>
      <c r="K1982" s="6"/>
      <c r="L1982" s="6"/>
      <c r="M1982" s="6"/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/>
      <c r="Y1982" s="6"/>
      <c r="Z1982" s="6"/>
    </row>
    <row r="1983" spans="1:26" ht="16.8" x14ac:dyDescent="0.45">
      <c r="A1983" s="6"/>
      <c r="B1983" s="7"/>
      <c r="C1983" s="6"/>
      <c r="D1983" s="6"/>
      <c r="E1983" s="6"/>
      <c r="F1983" s="6"/>
      <c r="G1983" s="6"/>
      <c r="H1983" s="6"/>
      <c r="I1983" s="6"/>
      <c r="J1983" s="6"/>
      <c r="K1983" s="6"/>
      <c r="L1983" s="6"/>
      <c r="M1983" s="6"/>
      <c r="N1983" s="6"/>
      <c r="O1983" s="6"/>
      <c r="P1983" s="6"/>
      <c r="Q1983" s="6"/>
      <c r="R1983" s="6"/>
      <c r="S1983" s="6"/>
      <c r="T1983" s="6"/>
      <c r="U1983" s="6"/>
      <c r="V1983" s="6"/>
      <c r="W1983" s="6"/>
      <c r="X1983" s="6"/>
      <c r="Y1983" s="6"/>
      <c r="Z1983" s="6"/>
    </row>
    <row r="1984" spans="1:26" ht="16.8" x14ac:dyDescent="0.45">
      <c r="A1984" s="6"/>
      <c r="B1984" s="7"/>
      <c r="C1984" s="6"/>
      <c r="D1984" s="6"/>
      <c r="E1984" s="6"/>
      <c r="F1984" s="6"/>
      <c r="G1984" s="6"/>
      <c r="H1984" s="6"/>
      <c r="I1984" s="6"/>
      <c r="J1984" s="6"/>
      <c r="K1984" s="6"/>
      <c r="L1984" s="6"/>
      <c r="M1984" s="6"/>
      <c r="N1984" s="6"/>
      <c r="O1984" s="6"/>
      <c r="P1984" s="6"/>
      <c r="Q1984" s="6"/>
      <c r="R1984" s="6"/>
      <c r="S1984" s="6"/>
      <c r="T1984" s="6"/>
      <c r="U1984" s="6"/>
      <c r="V1984" s="6"/>
      <c r="W1984" s="6"/>
      <c r="X1984" s="6"/>
      <c r="Y1984" s="6"/>
      <c r="Z1984" s="6"/>
    </row>
    <row r="1985" spans="1:26" ht="16.8" x14ac:dyDescent="0.45">
      <c r="A1985" s="6"/>
      <c r="B1985" s="7"/>
      <c r="C1985" s="6"/>
      <c r="D1985" s="6"/>
      <c r="E1985" s="6"/>
      <c r="F1985" s="6"/>
      <c r="G1985" s="6"/>
      <c r="H1985" s="6"/>
      <c r="I1985" s="6"/>
      <c r="J1985" s="6"/>
      <c r="K1985" s="6"/>
      <c r="L1985" s="6"/>
      <c r="M1985" s="6"/>
      <c r="N1985" s="6"/>
      <c r="O1985" s="6"/>
      <c r="P1985" s="6"/>
      <c r="Q1985" s="6"/>
      <c r="R1985" s="6"/>
      <c r="S1985" s="6"/>
      <c r="T1985" s="6"/>
      <c r="U1985" s="6"/>
      <c r="V1985" s="6"/>
      <c r="W1985" s="6"/>
      <c r="X1985" s="6"/>
      <c r="Y1985" s="6"/>
      <c r="Z1985" s="6"/>
    </row>
    <row r="1986" spans="1:26" ht="16.8" x14ac:dyDescent="0.45">
      <c r="A1986" s="6"/>
      <c r="B1986" s="7"/>
      <c r="C1986" s="6"/>
      <c r="D1986" s="6"/>
      <c r="E1986" s="6"/>
      <c r="F1986" s="6"/>
      <c r="G1986" s="6"/>
      <c r="H1986" s="6"/>
      <c r="I1986" s="6"/>
      <c r="J1986" s="6"/>
      <c r="K1986" s="6"/>
      <c r="L1986" s="6"/>
      <c r="M1986" s="6"/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/>
    </row>
    <row r="1987" spans="1:26" ht="16.8" x14ac:dyDescent="0.45">
      <c r="A1987" s="6"/>
      <c r="B1987" s="7"/>
      <c r="C1987" s="6"/>
      <c r="D1987" s="6"/>
      <c r="E1987" s="6"/>
      <c r="F1987" s="6"/>
      <c r="G1987" s="6"/>
      <c r="H1987" s="6"/>
      <c r="I1987" s="6"/>
      <c r="J1987" s="6"/>
      <c r="K1987" s="6"/>
      <c r="L1987" s="6"/>
      <c r="M1987" s="6"/>
      <c r="N1987" s="6"/>
      <c r="O1987" s="6"/>
      <c r="P1987" s="6"/>
      <c r="Q1987" s="6"/>
      <c r="R1987" s="6"/>
      <c r="S1987" s="6"/>
      <c r="T1987" s="6"/>
      <c r="U1987" s="6"/>
      <c r="V1987" s="6"/>
      <c r="W1987" s="6"/>
      <c r="X1987" s="6"/>
      <c r="Y1987" s="6"/>
      <c r="Z1987" s="6"/>
    </row>
    <row r="1988" spans="1:26" ht="16.8" x14ac:dyDescent="0.45">
      <c r="A1988" s="6"/>
      <c r="B1988" s="7"/>
      <c r="C1988" s="6"/>
      <c r="D1988" s="6"/>
      <c r="E1988" s="6"/>
      <c r="F1988" s="6"/>
      <c r="G1988" s="6"/>
      <c r="H1988" s="6"/>
      <c r="I1988" s="6"/>
      <c r="J1988" s="6"/>
      <c r="K1988" s="6"/>
      <c r="L1988" s="6"/>
      <c r="M1988" s="6"/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/>
    </row>
    <row r="1989" spans="1:26" ht="16.8" x14ac:dyDescent="0.45">
      <c r="A1989" s="6"/>
      <c r="B1989" s="7"/>
      <c r="C1989" s="6"/>
      <c r="D1989" s="6"/>
      <c r="E1989" s="6"/>
      <c r="F1989" s="6"/>
      <c r="G1989" s="6"/>
      <c r="H1989" s="6"/>
      <c r="I1989" s="6"/>
      <c r="J1989" s="6"/>
      <c r="K1989" s="6"/>
      <c r="L1989" s="6"/>
      <c r="M1989" s="6"/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/>
      <c r="Y1989" s="6"/>
      <c r="Z1989" s="6"/>
    </row>
    <row r="1990" spans="1:26" ht="16.8" x14ac:dyDescent="0.45">
      <c r="A1990" s="6"/>
      <c r="B1990" s="7"/>
      <c r="C1990" s="6"/>
      <c r="D1990" s="6"/>
      <c r="E1990" s="6"/>
      <c r="F1990" s="6"/>
      <c r="G1990" s="6"/>
      <c r="H1990" s="6"/>
      <c r="I1990" s="6"/>
      <c r="J1990" s="6"/>
      <c r="K1990" s="6"/>
      <c r="L1990" s="6"/>
      <c r="M1990" s="6"/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/>
    </row>
    <row r="1991" spans="1:26" ht="16.8" x14ac:dyDescent="0.45">
      <c r="A1991" s="6"/>
      <c r="B1991" s="7"/>
      <c r="C1991" s="6"/>
      <c r="D1991" s="6"/>
      <c r="E1991" s="6"/>
      <c r="F1991" s="6"/>
      <c r="G1991" s="6"/>
      <c r="H1991" s="6"/>
      <c r="I1991" s="6"/>
      <c r="J1991" s="6"/>
      <c r="K1991" s="6"/>
      <c r="L1991" s="6"/>
      <c r="M1991" s="6"/>
      <c r="N1991" s="6"/>
      <c r="O1991" s="6"/>
      <c r="P1991" s="6"/>
      <c r="Q1991" s="6"/>
      <c r="R1991" s="6"/>
      <c r="S1991" s="6"/>
      <c r="T1991" s="6"/>
      <c r="U1991" s="6"/>
      <c r="V1991" s="6"/>
      <c r="W1991" s="6"/>
      <c r="X1991" s="6"/>
      <c r="Y1991" s="6"/>
      <c r="Z1991" s="6"/>
    </row>
    <row r="1992" spans="1:26" ht="16.8" x14ac:dyDescent="0.45">
      <c r="A1992" s="6"/>
      <c r="B1992" s="7"/>
      <c r="C1992" s="6"/>
      <c r="D1992" s="6"/>
      <c r="E1992" s="6"/>
      <c r="F1992" s="6"/>
      <c r="G1992" s="6"/>
      <c r="H1992" s="6"/>
      <c r="I1992" s="6"/>
      <c r="J1992" s="6"/>
      <c r="K1992" s="6"/>
      <c r="L1992" s="6"/>
      <c r="M1992" s="6"/>
      <c r="N1992" s="6"/>
      <c r="O1992" s="6"/>
      <c r="P1992" s="6"/>
      <c r="Q1992" s="6"/>
      <c r="R1992" s="6"/>
      <c r="S1992" s="6"/>
      <c r="T1992" s="6"/>
      <c r="U1992" s="6"/>
      <c r="V1992" s="6"/>
      <c r="W1992" s="6"/>
      <c r="X1992" s="6"/>
      <c r="Y1992" s="6"/>
      <c r="Z1992" s="6"/>
    </row>
    <row r="1993" spans="1:26" ht="16.8" x14ac:dyDescent="0.45">
      <c r="A1993" s="6"/>
      <c r="B1993" s="7"/>
      <c r="C1993" s="6"/>
      <c r="D1993" s="6"/>
      <c r="E1993" s="6"/>
      <c r="F1993" s="6"/>
      <c r="G1993" s="6"/>
      <c r="H1993" s="6"/>
      <c r="I1993" s="6"/>
      <c r="J1993" s="6"/>
      <c r="K1993" s="6"/>
      <c r="L1993" s="6"/>
      <c r="M1993" s="6"/>
      <c r="N1993" s="6"/>
      <c r="O1993" s="6"/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/>
    </row>
    <row r="1994" spans="1:26" ht="16.8" x14ac:dyDescent="0.45">
      <c r="A1994" s="6"/>
      <c r="B1994" s="7"/>
      <c r="C1994" s="6"/>
      <c r="D1994" s="6"/>
      <c r="E1994" s="6"/>
      <c r="F1994" s="6"/>
      <c r="G1994" s="6"/>
      <c r="H1994" s="6"/>
      <c r="I1994" s="6"/>
      <c r="J1994" s="6"/>
      <c r="K1994" s="6"/>
      <c r="L1994" s="6"/>
      <c r="M1994" s="6"/>
      <c r="N1994" s="6"/>
      <c r="O1994" s="6"/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6"/>
    </row>
    <row r="1995" spans="1:26" ht="16.8" x14ac:dyDescent="0.45">
      <c r="A1995" s="6"/>
      <c r="B1995" s="7"/>
      <c r="C1995" s="6"/>
      <c r="D1995" s="6"/>
      <c r="E1995" s="6"/>
      <c r="F1995" s="6"/>
      <c r="G1995" s="6"/>
      <c r="H1995" s="6"/>
      <c r="I1995" s="6"/>
      <c r="J1995" s="6"/>
      <c r="K1995" s="6"/>
      <c r="L1995" s="6"/>
      <c r="M1995" s="6"/>
      <c r="N1995" s="6"/>
      <c r="O1995" s="6"/>
      <c r="P1995" s="6"/>
      <c r="Q1995" s="6"/>
      <c r="R1995" s="6"/>
      <c r="S1995" s="6"/>
      <c r="T1995" s="6"/>
      <c r="U1995" s="6"/>
      <c r="V1995" s="6"/>
      <c r="W1995" s="6"/>
      <c r="X1995" s="6"/>
      <c r="Y1995" s="6"/>
      <c r="Z1995" s="6"/>
    </row>
    <row r="1996" spans="1:26" ht="16.8" x14ac:dyDescent="0.45">
      <c r="A1996" s="6"/>
      <c r="B1996" s="7"/>
      <c r="C1996" s="6"/>
      <c r="D1996" s="6"/>
      <c r="E1996" s="6"/>
      <c r="F1996" s="6"/>
      <c r="G1996" s="6"/>
      <c r="H1996" s="6"/>
      <c r="I1996" s="6"/>
      <c r="J1996" s="6"/>
      <c r="K1996" s="6"/>
      <c r="L1996" s="6"/>
      <c r="M1996" s="6"/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/>
    </row>
    <row r="1997" spans="1:26" ht="16.8" x14ac:dyDescent="0.45">
      <c r="A1997" s="6"/>
      <c r="B1997" s="7"/>
      <c r="C1997" s="6"/>
      <c r="D1997" s="6"/>
      <c r="E1997" s="6"/>
      <c r="F1997" s="6"/>
      <c r="G1997" s="6"/>
      <c r="H1997" s="6"/>
      <c r="I1997" s="6"/>
      <c r="J1997" s="6"/>
      <c r="K1997" s="6"/>
      <c r="L1997" s="6"/>
      <c r="M1997" s="6"/>
      <c r="N1997" s="6"/>
      <c r="O1997" s="6"/>
      <c r="P1997" s="6"/>
      <c r="Q1997" s="6"/>
      <c r="R1997" s="6"/>
      <c r="S1997" s="6"/>
      <c r="T1997" s="6"/>
      <c r="U1997" s="6"/>
      <c r="V1997" s="6"/>
      <c r="W1997" s="6"/>
      <c r="X1997" s="6"/>
      <c r="Y1997" s="6"/>
      <c r="Z1997" s="6"/>
    </row>
    <row r="1998" spans="1:26" ht="16.8" x14ac:dyDescent="0.45">
      <c r="A1998" s="6"/>
      <c r="B1998" s="7"/>
      <c r="C1998" s="6"/>
      <c r="D1998" s="6"/>
      <c r="E1998" s="6"/>
      <c r="F1998" s="6"/>
      <c r="G1998" s="6"/>
      <c r="H1998" s="6"/>
      <c r="I1998" s="6"/>
      <c r="J1998" s="6"/>
      <c r="K1998" s="6"/>
      <c r="L1998" s="6"/>
      <c r="M1998" s="6"/>
      <c r="N1998" s="6"/>
      <c r="O1998" s="6"/>
      <c r="P1998" s="6"/>
      <c r="Q1998" s="6"/>
      <c r="R1998" s="6"/>
      <c r="S1998" s="6"/>
      <c r="T1998" s="6"/>
      <c r="U1998" s="6"/>
      <c r="V1998" s="6"/>
      <c r="W1998" s="6"/>
      <c r="X1998" s="6"/>
      <c r="Y1998" s="6"/>
      <c r="Z1998" s="6"/>
    </row>
    <row r="1999" spans="1:26" ht="16.8" x14ac:dyDescent="0.45">
      <c r="A1999" s="6"/>
      <c r="B1999" s="7"/>
      <c r="C1999" s="6"/>
      <c r="D1999" s="6"/>
      <c r="E1999" s="6"/>
      <c r="F1999" s="6"/>
      <c r="G1999" s="6"/>
      <c r="H1999" s="6"/>
      <c r="I1999" s="6"/>
      <c r="J1999" s="6"/>
      <c r="K1999" s="6"/>
      <c r="L1999" s="6"/>
      <c r="M1999" s="6"/>
      <c r="N1999" s="6"/>
      <c r="O1999" s="6"/>
      <c r="P1999" s="6"/>
      <c r="Q1999" s="6"/>
      <c r="R1999" s="6"/>
      <c r="S1999" s="6"/>
      <c r="T1999" s="6"/>
      <c r="U1999" s="6"/>
      <c r="V1999" s="6"/>
      <c r="W1999" s="6"/>
      <c r="X1999" s="6"/>
      <c r="Y1999" s="6"/>
      <c r="Z1999" s="6"/>
    </row>
    <row r="2000" spans="1:26" ht="16.8" x14ac:dyDescent="0.45">
      <c r="A2000" s="6"/>
      <c r="B2000" s="7"/>
      <c r="C2000" s="6"/>
      <c r="D2000" s="6"/>
      <c r="E2000" s="6"/>
      <c r="F2000" s="6"/>
      <c r="G2000" s="6"/>
      <c r="H2000" s="6"/>
      <c r="I2000" s="6"/>
      <c r="J2000" s="6"/>
      <c r="K2000" s="6"/>
      <c r="L2000" s="6"/>
      <c r="M2000" s="6"/>
      <c r="N2000" s="6"/>
      <c r="O2000" s="6"/>
      <c r="P2000" s="6"/>
      <c r="Q2000" s="6"/>
      <c r="R2000" s="6"/>
      <c r="S2000" s="6"/>
      <c r="T2000" s="6"/>
      <c r="U2000" s="6"/>
      <c r="V2000" s="6"/>
      <c r="W2000" s="6"/>
      <c r="X2000" s="6"/>
      <c r="Y2000" s="6"/>
      <c r="Z2000" s="6"/>
    </row>
    <row r="2001" spans="1:26" ht="16.8" x14ac:dyDescent="0.45">
      <c r="A2001" s="6"/>
      <c r="B2001" s="7"/>
      <c r="C2001" s="6"/>
      <c r="D2001" s="6"/>
      <c r="E2001" s="6"/>
      <c r="F2001" s="6"/>
      <c r="G2001" s="6"/>
      <c r="H2001" s="6"/>
      <c r="I2001" s="6"/>
      <c r="J2001" s="6"/>
      <c r="K2001" s="6"/>
      <c r="L2001" s="6"/>
      <c r="M2001" s="6"/>
      <c r="N2001" s="6"/>
      <c r="O2001" s="6"/>
      <c r="P2001" s="6"/>
      <c r="Q2001" s="6"/>
      <c r="R2001" s="6"/>
      <c r="S2001" s="6"/>
      <c r="T2001" s="6"/>
      <c r="U2001" s="6"/>
      <c r="V2001" s="6"/>
      <c r="W2001" s="6"/>
      <c r="X2001" s="6"/>
      <c r="Y2001" s="6"/>
      <c r="Z2001" s="6"/>
    </row>
    <row r="2002" spans="1:26" ht="16.8" x14ac:dyDescent="0.45">
      <c r="A2002" s="6"/>
      <c r="B2002" s="7"/>
      <c r="C2002" s="6"/>
      <c r="D2002" s="6"/>
      <c r="E2002" s="6"/>
      <c r="F2002" s="6"/>
      <c r="G2002" s="6"/>
      <c r="H2002" s="6"/>
      <c r="I2002" s="6"/>
      <c r="J2002" s="6"/>
      <c r="K2002" s="6"/>
      <c r="L2002" s="6"/>
      <c r="M2002" s="6"/>
      <c r="N2002" s="6"/>
      <c r="O2002" s="6"/>
      <c r="P2002" s="6"/>
      <c r="Q2002" s="6"/>
      <c r="R2002" s="6"/>
      <c r="S2002" s="6"/>
      <c r="T2002" s="6"/>
      <c r="U2002" s="6"/>
      <c r="V2002" s="6"/>
      <c r="W2002" s="6"/>
      <c r="X2002" s="6"/>
      <c r="Y2002" s="6"/>
      <c r="Z2002" s="6"/>
    </row>
    <row r="2003" spans="1:26" ht="16.8" x14ac:dyDescent="0.45">
      <c r="A2003" s="6"/>
      <c r="B2003" s="7"/>
      <c r="C2003" s="6"/>
      <c r="D2003" s="6"/>
      <c r="E2003" s="6"/>
      <c r="F2003" s="6"/>
      <c r="G2003" s="6"/>
      <c r="H2003" s="6"/>
      <c r="I2003" s="6"/>
      <c r="J2003" s="6"/>
      <c r="K2003" s="6"/>
      <c r="L2003" s="6"/>
      <c r="M2003" s="6"/>
      <c r="N2003" s="6"/>
      <c r="O2003" s="6"/>
      <c r="P2003" s="6"/>
      <c r="Q2003" s="6"/>
      <c r="R2003" s="6"/>
      <c r="S2003" s="6"/>
      <c r="T2003" s="6"/>
      <c r="U2003" s="6"/>
      <c r="V2003" s="6"/>
      <c r="W2003" s="6"/>
      <c r="X2003" s="6"/>
      <c r="Y2003" s="6"/>
      <c r="Z2003" s="6"/>
    </row>
    <row r="2004" spans="1:26" ht="16.8" x14ac:dyDescent="0.45">
      <c r="A2004" s="6"/>
      <c r="B2004" s="7"/>
      <c r="C2004" s="6"/>
      <c r="D2004" s="6"/>
      <c r="E2004" s="6"/>
      <c r="F2004" s="6"/>
      <c r="G2004" s="6"/>
      <c r="H2004" s="6"/>
      <c r="I2004" s="6"/>
      <c r="J2004" s="6"/>
      <c r="K2004" s="6"/>
      <c r="L2004" s="6"/>
      <c r="M2004" s="6"/>
      <c r="N2004" s="6"/>
      <c r="O2004" s="6"/>
      <c r="P2004" s="6"/>
      <c r="Q2004" s="6"/>
      <c r="R2004" s="6"/>
      <c r="S2004" s="6"/>
      <c r="T2004" s="6"/>
      <c r="U2004" s="6"/>
      <c r="V2004" s="6"/>
      <c r="W2004" s="6"/>
      <c r="X2004" s="6"/>
      <c r="Y2004" s="6"/>
      <c r="Z2004" s="6"/>
    </row>
    <row r="2005" spans="1:26" ht="16.8" x14ac:dyDescent="0.45">
      <c r="A2005" s="6"/>
      <c r="B2005" s="7"/>
      <c r="C2005" s="6"/>
      <c r="D2005" s="6"/>
      <c r="E2005" s="6"/>
      <c r="F2005" s="6"/>
      <c r="G2005" s="6"/>
      <c r="H2005" s="6"/>
      <c r="I2005" s="6"/>
      <c r="J2005" s="6"/>
      <c r="K2005" s="6"/>
      <c r="L2005" s="6"/>
      <c r="M2005" s="6"/>
      <c r="N2005" s="6"/>
      <c r="O2005" s="6"/>
      <c r="P2005" s="6"/>
      <c r="Q2005" s="6"/>
      <c r="R2005" s="6"/>
      <c r="S2005" s="6"/>
      <c r="T2005" s="6"/>
      <c r="U2005" s="6"/>
      <c r="V2005" s="6"/>
      <c r="W2005" s="6"/>
      <c r="X2005" s="6"/>
      <c r="Y2005" s="6"/>
      <c r="Z2005" s="6"/>
    </row>
    <row r="2006" spans="1:26" ht="16.8" x14ac:dyDescent="0.45">
      <c r="A2006" s="6"/>
      <c r="B2006" s="7"/>
      <c r="C2006" s="6"/>
      <c r="D2006" s="6"/>
      <c r="E2006" s="6"/>
      <c r="F2006" s="6"/>
      <c r="G2006" s="6"/>
      <c r="H2006" s="6"/>
      <c r="I2006" s="6"/>
      <c r="J2006" s="6"/>
      <c r="K2006" s="6"/>
      <c r="L2006" s="6"/>
      <c r="M2006" s="6"/>
      <c r="N2006" s="6"/>
      <c r="O2006" s="6"/>
      <c r="P2006" s="6"/>
      <c r="Q2006" s="6"/>
      <c r="R2006" s="6"/>
      <c r="S2006" s="6"/>
      <c r="T2006" s="6"/>
      <c r="U2006" s="6"/>
      <c r="V2006" s="6"/>
      <c r="W2006" s="6"/>
      <c r="X2006" s="6"/>
      <c r="Y2006" s="6"/>
      <c r="Z2006" s="6"/>
    </row>
    <row r="2007" spans="1:26" ht="16.8" x14ac:dyDescent="0.45">
      <c r="A2007" s="6"/>
      <c r="B2007" s="7"/>
      <c r="C2007" s="6"/>
      <c r="D2007" s="6"/>
      <c r="E2007" s="6"/>
      <c r="F2007" s="6"/>
      <c r="G2007" s="6"/>
      <c r="H2007" s="6"/>
      <c r="I2007" s="6"/>
      <c r="J2007" s="6"/>
      <c r="K2007" s="6"/>
      <c r="L2007" s="6"/>
      <c r="M2007" s="6"/>
      <c r="N2007" s="6"/>
      <c r="O2007" s="6"/>
      <c r="P2007" s="6"/>
      <c r="Q2007" s="6"/>
      <c r="R2007" s="6"/>
      <c r="S2007" s="6"/>
      <c r="T2007" s="6"/>
      <c r="U2007" s="6"/>
      <c r="V2007" s="6"/>
      <c r="W2007" s="6"/>
      <c r="X2007" s="6"/>
      <c r="Y2007" s="6"/>
      <c r="Z2007" s="6"/>
    </row>
    <row r="2008" spans="1:26" ht="16.8" x14ac:dyDescent="0.45">
      <c r="A2008" s="6"/>
      <c r="B2008" s="7"/>
      <c r="C2008" s="6"/>
      <c r="D2008" s="6"/>
      <c r="E2008" s="6"/>
      <c r="F2008" s="6"/>
      <c r="G2008" s="6"/>
      <c r="H2008" s="6"/>
      <c r="I2008" s="6"/>
      <c r="J2008" s="6"/>
      <c r="K2008" s="6"/>
      <c r="L2008" s="6"/>
      <c r="M2008" s="6"/>
      <c r="N2008" s="6"/>
      <c r="O2008" s="6"/>
      <c r="P2008" s="6"/>
      <c r="Q2008" s="6"/>
      <c r="R2008" s="6"/>
      <c r="S2008" s="6"/>
      <c r="T2008" s="6"/>
      <c r="U2008" s="6"/>
      <c r="V2008" s="6"/>
      <c r="W2008" s="6"/>
      <c r="X2008" s="6"/>
      <c r="Y2008" s="6"/>
      <c r="Z2008" s="6"/>
    </row>
    <row r="2009" spans="1:26" ht="16.8" x14ac:dyDescent="0.45">
      <c r="A2009" s="6"/>
      <c r="B2009" s="7"/>
      <c r="C2009" s="6"/>
      <c r="D2009" s="6"/>
      <c r="E2009" s="6"/>
      <c r="F2009" s="6"/>
      <c r="G2009" s="6"/>
      <c r="H2009" s="6"/>
      <c r="I2009" s="6"/>
      <c r="J2009" s="6"/>
      <c r="K2009" s="6"/>
      <c r="L2009" s="6"/>
      <c r="M2009" s="6"/>
      <c r="N2009" s="6"/>
      <c r="O2009" s="6"/>
      <c r="P2009" s="6"/>
      <c r="Q2009" s="6"/>
      <c r="R2009" s="6"/>
      <c r="S2009" s="6"/>
      <c r="T2009" s="6"/>
      <c r="U2009" s="6"/>
      <c r="V2009" s="6"/>
      <c r="W2009" s="6"/>
      <c r="X2009" s="6"/>
      <c r="Y2009" s="6"/>
      <c r="Z2009" s="6"/>
    </row>
    <row r="2010" spans="1:26" ht="16.8" x14ac:dyDescent="0.45">
      <c r="A2010" s="6"/>
      <c r="B2010" s="7"/>
      <c r="C2010" s="6"/>
      <c r="D2010" s="6"/>
      <c r="E2010" s="6"/>
      <c r="F2010" s="6"/>
      <c r="G2010" s="6"/>
      <c r="H2010" s="6"/>
      <c r="I2010" s="6"/>
      <c r="J2010" s="6"/>
      <c r="K2010" s="6"/>
      <c r="L2010" s="6"/>
      <c r="M2010" s="6"/>
      <c r="N2010" s="6"/>
      <c r="O2010" s="6"/>
      <c r="P2010" s="6"/>
      <c r="Q2010" s="6"/>
      <c r="R2010" s="6"/>
      <c r="S2010" s="6"/>
      <c r="T2010" s="6"/>
      <c r="U2010" s="6"/>
      <c r="V2010" s="6"/>
      <c r="W2010" s="6"/>
      <c r="X2010" s="6"/>
      <c r="Y2010" s="6"/>
      <c r="Z2010" s="6"/>
    </row>
    <row r="2011" spans="1:26" ht="16.8" x14ac:dyDescent="0.45">
      <c r="A2011" s="6"/>
      <c r="B2011" s="7"/>
      <c r="C2011" s="6"/>
      <c r="D2011" s="6"/>
      <c r="E2011" s="6"/>
      <c r="F2011" s="6"/>
      <c r="G2011" s="6"/>
      <c r="H2011" s="6"/>
      <c r="I2011" s="6"/>
      <c r="J2011" s="6"/>
      <c r="K2011" s="6"/>
      <c r="L2011" s="6"/>
      <c r="M2011" s="6"/>
      <c r="N2011" s="6"/>
      <c r="O2011" s="6"/>
      <c r="P2011" s="6"/>
      <c r="Q2011" s="6"/>
      <c r="R2011" s="6"/>
      <c r="S2011" s="6"/>
      <c r="T2011" s="6"/>
      <c r="U2011" s="6"/>
      <c r="V2011" s="6"/>
      <c r="W2011" s="6"/>
      <c r="X2011" s="6"/>
      <c r="Y2011" s="6"/>
      <c r="Z2011" s="6"/>
    </row>
    <row r="2012" spans="1:26" ht="16.8" x14ac:dyDescent="0.45">
      <c r="A2012" s="6"/>
      <c r="B2012" s="7"/>
      <c r="C2012" s="6"/>
      <c r="D2012" s="6"/>
      <c r="E2012" s="6"/>
      <c r="F2012" s="6"/>
      <c r="G2012" s="6"/>
      <c r="H2012" s="6"/>
      <c r="I2012" s="6"/>
      <c r="J2012" s="6"/>
      <c r="K2012" s="6"/>
      <c r="L2012" s="6"/>
      <c r="M2012" s="6"/>
      <c r="N2012" s="6"/>
      <c r="O2012" s="6"/>
      <c r="P2012" s="6"/>
      <c r="Q2012" s="6"/>
      <c r="R2012" s="6"/>
      <c r="S2012" s="6"/>
      <c r="T2012" s="6"/>
      <c r="U2012" s="6"/>
      <c r="V2012" s="6"/>
      <c r="W2012" s="6"/>
      <c r="X2012" s="6"/>
      <c r="Y2012" s="6"/>
      <c r="Z2012" s="6"/>
    </row>
    <row r="2013" spans="1:26" ht="16.8" x14ac:dyDescent="0.45">
      <c r="A2013" s="6"/>
      <c r="B2013" s="7"/>
      <c r="C2013" s="6"/>
      <c r="D2013" s="6"/>
      <c r="E2013" s="6"/>
      <c r="F2013" s="6"/>
      <c r="G2013" s="6"/>
      <c r="H2013" s="6"/>
      <c r="I2013" s="6"/>
      <c r="J2013" s="6"/>
      <c r="K2013" s="6"/>
      <c r="L2013" s="6"/>
      <c r="M2013" s="6"/>
      <c r="N2013" s="6"/>
      <c r="O2013" s="6"/>
      <c r="P2013" s="6"/>
      <c r="Q2013" s="6"/>
      <c r="R2013" s="6"/>
      <c r="S2013" s="6"/>
      <c r="T2013" s="6"/>
      <c r="U2013" s="6"/>
      <c r="V2013" s="6"/>
      <c r="W2013" s="6"/>
      <c r="X2013" s="6"/>
      <c r="Y2013" s="6"/>
      <c r="Z2013" s="6"/>
    </row>
    <row r="2014" spans="1:26" ht="16.8" x14ac:dyDescent="0.45">
      <c r="A2014" s="6"/>
      <c r="B2014" s="7"/>
      <c r="C2014" s="6"/>
      <c r="D2014" s="6"/>
      <c r="E2014" s="6"/>
      <c r="F2014" s="6"/>
      <c r="G2014" s="6"/>
      <c r="H2014" s="6"/>
      <c r="I2014" s="6"/>
      <c r="J2014" s="6"/>
      <c r="K2014" s="6"/>
      <c r="L2014" s="6"/>
      <c r="M2014" s="6"/>
      <c r="N2014" s="6"/>
      <c r="O2014" s="6"/>
      <c r="P2014" s="6"/>
      <c r="Q2014" s="6"/>
      <c r="R2014" s="6"/>
      <c r="S2014" s="6"/>
      <c r="T2014" s="6"/>
      <c r="U2014" s="6"/>
      <c r="V2014" s="6"/>
      <c r="W2014" s="6"/>
      <c r="X2014" s="6"/>
      <c r="Y2014" s="6"/>
      <c r="Z2014" s="6"/>
    </row>
    <row r="2015" spans="1:26" ht="16.8" x14ac:dyDescent="0.45">
      <c r="A2015" s="6"/>
      <c r="B2015" s="7"/>
      <c r="C2015" s="6"/>
      <c r="D2015" s="6"/>
      <c r="E2015" s="6"/>
      <c r="F2015" s="6"/>
      <c r="G2015" s="6"/>
      <c r="H2015" s="6"/>
      <c r="I2015" s="6"/>
      <c r="J2015" s="6"/>
      <c r="K2015" s="6"/>
      <c r="L2015" s="6"/>
      <c r="M2015" s="6"/>
      <c r="N2015" s="6"/>
      <c r="O2015" s="6"/>
      <c r="P2015" s="6"/>
      <c r="Q2015" s="6"/>
      <c r="R2015" s="6"/>
      <c r="S2015" s="6"/>
      <c r="T2015" s="6"/>
      <c r="U2015" s="6"/>
      <c r="V2015" s="6"/>
      <c r="W2015" s="6"/>
      <c r="X2015" s="6"/>
      <c r="Y2015" s="6"/>
      <c r="Z2015" s="6"/>
    </row>
    <row r="2016" spans="1:26" ht="16.8" x14ac:dyDescent="0.45">
      <c r="A2016" s="6"/>
      <c r="B2016" s="7"/>
      <c r="C2016" s="6"/>
      <c r="D2016" s="6"/>
      <c r="E2016" s="6"/>
      <c r="F2016" s="6"/>
      <c r="G2016" s="6"/>
      <c r="H2016" s="6"/>
      <c r="I2016" s="6"/>
      <c r="J2016" s="6"/>
      <c r="K2016" s="6"/>
      <c r="L2016" s="6"/>
      <c r="M2016" s="6"/>
      <c r="N2016" s="6"/>
      <c r="O2016" s="6"/>
      <c r="P2016" s="6"/>
      <c r="Q2016" s="6"/>
      <c r="R2016" s="6"/>
      <c r="S2016" s="6"/>
      <c r="T2016" s="6"/>
      <c r="U2016" s="6"/>
      <c r="V2016" s="6"/>
      <c r="W2016" s="6"/>
      <c r="X2016" s="6"/>
      <c r="Y2016" s="6"/>
      <c r="Z2016" s="6"/>
    </row>
    <row r="2017" spans="1:26" ht="16.8" x14ac:dyDescent="0.45">
      <c r="A2017" s="6"/>
      <c r="B2017" s="7"/>
      <c r="C2017" s="6"/>
      <c r="D2017" s="6"/>
      <c r="E2017" s="6"/>
      <c r="F2017" s="6"/>
      <c r="G2017" s="6"/>
      <c r="H2017" s="6"/>
      <c r="I2017" s="6"/>
      <c r="J2017" s="6"/>
      <c r="K2017" s="6"/>
      <c r="L2017" s="6"/>
      <c r="M2017" s="6"/>
      <c r="N2017" s="6"/>
      <c r="O2017" s="6"/>
      <c r="P2017" s="6"/>
      <c r="Q2017" s="6"/>
      <c r="R2017" s="6"/>
      <c r="S2017" s="6"/>
      <c r="T2017" s="6"/>
      <c r="U2017" s="6"/>
      <c r="V2017" s="6"/>
      <c r="W2017" s="6"/>
      <c r="X2017" s="6"/>
      <c r="Y2017" s="6"/>
      <c r="Z2017" s="6"/>
    </row>
    <row r="2018" spans="1:26" ht="16.8" x14ac:dyDescent="0.45">
      <c r="A2018" s="6"/>
      <c r="B2018" s="7"/>
      <c r="C2018" s="6"/>
      <c r="D2018" s="6"/>
      <c r="E2018" s="6"/>
      <c r="F2018" s="6"/>
      <c r="G2018" s="6"/>
      <c r="H2018" s="6"/>
      <c r="I2018" s="6"/>
      <c r="J2018" s="6"/>
      <c r="K2018" s="6"/>
      <c r="L2018" s="6"/>
      <c r="M2018" s="6"/>
      <c r="N2018" s="6"/>
      <c r="O2018" s="6"/>
      <c r="P2018" s="6"/>
      <c r="Q2018" s="6"/>
      <c r="R2018" s="6"/>
      <c r="S2018" s="6"/>
      <c r="T2018" s="6"/>
      <c r="U2018" s="6"/>
      <c r="V2018" s="6"/>
      <c r="W2018" s="6"/>
      <c r="X2018" s="6"/>
      <c r="Y2018" s="6"/>
      <c r="Z2018" s="6"/>
    </row>
    <row r="2019" spans="1:26" ht="16.8" x14ac:dyDescent="0.45">
      <c r="A2019" s="6"/>
      <c r="B2019" s="7"/>
      <c r="C2019" s="6"/>
      <c r="D2019" s="6"/>
      <c r="E2019" s="6"/>
      <c r="F2019" s="6"/>
      <c r="G2019" s="6"/>
      <c r="H2019" s="6"/>
      <c r="I2019" s="6"/>
      <c r="J2019" s="6"/>
      <c r="K2019" s="6"/>
      <c r="L2019" s="6"/>
      <c r="M2019" s="6"/>
      <c r="N2019" s="6"/>
      <c r="O2019" s="6"/>
      <c r="P2019" s="6"/>
      <c r="Q2019" s="6"/>
      <c r="R2019" s="6"/>
      <c r="S2019" s="6"/>
      <c r="T2019" s="6"/>
      <c r="U2019" s="6"/>
      <c r="V2019" s="6"/>
      <c r="W2019" s="6"/>
      <c r="X2019" s="6"/>
      <c r="Y2019" s="6"/>
      <c r="Z2019" s="6"/>
    </row>
    <row r="2020" spans="1:26" ht="16.8" x14ac:dyDescent="0.45">
      <c r="A2020" s="6"/>
      <c r="B2020" s="7"/>
      <c r="C2020" s="6"/>
      <c r="D2020" s="6"/>
      <c r="E2020" s="6"/>
      <c r="F2020" s="6"/>
      <c r="G2020" s="6"/>
      <c r="H2020" s="6"/>
      <c r="I2020" s="6"/>
      <c r="J2020" s="6"/>
      <c r="K2020" s="6"/>
      <c r="L2020" s="6"/>
      <c r="M2020" s="6"/>
      <c r="N2020" s="6"/>
      <c r="O2020" s="6"/>
      <c r="P2020" s="6"/>
      <c r="Q2020" s="6"/>
      <c r="R2020" s="6"/>
      <c r="S2020" s="6"/>
      <c r="T2020" s="6"/>
      <c r="U2020" s="6"/>
      <c r="V2020" s="6"/>
      <c r="W2020" s="6"/>
      <c r="X2020" s="6"/>
      <c r="Y2020" s="6"/>
      <c r="Z2020" s="6"/>
    </row>
    <row r="2021" spans="1:26" ht="16.8" x14ac:dyDescent="0.45">
      <c r="A2021" s="6"/>
      <c r="B2021" s="7"/>
      <c r="C2021" s="6"/>
      <c r="D2021" s="6"/>
      <c r="E2021" s="6"/>
      <c r="F2021" s="6"/>
      <c r="G2021" s="6"/>
      <c r="H2021" s="6"/>
      <c r="I2021" s="6"/>
      <c r="J2021" s="6"/>
      <c r="K2021" s="6"/>
      <c r="L2021" s="6"/>
      <c r="M2021" s="6"/>
      <c r="N2021" s="6"/>
      <c r="O2021" s="6"/>
      <c r="P2021" s="6"/>
      <c r="Q2021" s="6"/>
      <c r="R2021" s="6"/>
      <c r="S2021" s="6"/>
      <c r="T2021" s="6"/>
      <c r="U2021" s="6"/>
      <c r="V2021" s="6"/>
      <c r="W2021" s="6"/>
      <c r="X2021" s="6"/>
      <c r="Y2021" s="6"/>
      <c r="Z2021" s="6"/>
    </row>
    <row r="2022" spans="1:26" ht="16.8" x14ac:dyDescent="0.45">
      <c r="A2022" s="6"/>
      <c r="B2022" s="7"/>
      <c r="C2022" s="6"/>
      <c r="D2022" s="6"/>
      <c r="E2022" s="6"/>
      <c r="F2022" s="6"/>
      <c r="G2022" s="6"/>
      <c r="H2022" s="6"/>
      <c r="I2022" s="6"/>
      <c r="J2022" s="6"/>
      <c r="K2022" s="6"/>
      <c r="L2022" s="6"/>
      <c r="M2022" s="6"/>
      <c r="N2022" s="6"/>
      <c r="O2022" s="6"/>
      <c r="P2022" s="6"/>
      <c r="Q2022" s="6"/>
      <c r="R2022" s="6"/>
      <c r="S2022" s="6"/>
      <c r="T2022" s="6"/>
      <c r="U2022" s="6"/>
      <c r="V2022" s="6"/>
      <c r="W2022" s="6"/>
      <c r="X2022" s="6"/>
      <c r="Y2022" s="6"/>
      <c r="Z2022" s="6"/>
    </row>
    <row r="2023" spans="1:26" ht="16.8" x14ac:dyDescent="0.45">
      <c r="A2023" s="6"/>
      <c r="B2023" s="7"/>
      <c r="C2023" s="6"/>
      <c r="D2023" s="6"/>
      <c r="E2023" s="6"/>
      <c r="F2023" s="6"/>
      <c r="G2023" s="6"/>
      <c r="H2023" s="6"/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</row>
    <row r="2024" spans="1:26" ht="16.8" x14ac:dyDescent="0.45">
      <c r="A2024" s="6"/>
      <c r="B2024" s="7"/>
      <c r="C2024" s="6"/>
      <c r="D2024" s="6"/>
      <c r="E2024" s="6"/>
      <c r="F2024" s="6"/>
      <c r="G2024" s="6"/>
      <c r="H2024" s="6"/>
      <c r="I2024" s="6"/>
      <c r="J2024" s="6"/>
      <c r="K2024" s="6"/>
      <c r="L2024" s="6"/>
      <c r="M2024" s="6"/>
      <c r="N2024" s="6"/>
      <c r="O2024" s="6"/>
      <c r="P2024" s="6"/>
      <c r="Q2024" s="6"/>
      <c r="R2024" s="6"/>
      <c r="S2024" s="6"/>
      <c r="T2024" s="6"/>
      <c r="U2024" s="6"/>
      <c r="V2024" s="6"/>
      <c r="W2024" s="6"/>
      <c r="X2024" s="6"/>
      <c r="Y2024" s="6"/>
      <c r="Z2024" s="6"/>
    </row>
    <row r="2025" spans="1:26" ht="16.8" x14ac:dyDescent="0.45">
      <c r="A2025" s="6"/>
      <c r="B2025" s="7"/>
      <c r="C2025" s="6"/>
      <c r="D2025" s="6"/>
      <c r="E2025" s="6"/>
      <c r="F2025" s="6"/>
      <c r="G2025" s="6"/>
      <c r="H2025" s="6"/>
      <c r="I2025" s="6"/>
      <c r="J2025" s="6"/>
      <c r="K2025" s="6"/>
      <c r="L2025" s="6"/>
      <c r="M2025" s="6"/>
      <c r="N2025" s="6"/>
      <c r="O2025" s="6"/>
      <c r="P2025" s="6"/>
      <c r="Q2025" s="6"/>
      <c r="R2025" s="6"/>
      <c r="S2025" s="6"/>
      <c r="T2025" s="6"/>
      <c r="U2025" s="6"/>
      <c r="V2025" s="6"/>
      <c r="W2025" s="6"/>
      <c r="X2025" s="6"/>
      <c r="Y2025" s="6"/>
      <c r="Z2025" s="6"/>
    </row>
    <row r="2026" spans="1:26" ht="16.8" x14ac:dyDescent="0.45">
      <c r="A2026" s="6"/>
      <c r="B2026" s="7"/>
      <c r="C2026" s="6"/>
      <c r="D2026" s="6"/>
      <c r="E2026" s="6"/>
      <c r="F2026" s="6"/>
      <c r="G2026" s="6"/>
      <c r="H2026" s="6"/>
      <c r="I2026" s="6"/>
      <c r="J2026" s="6"/>
      <c r="K2026" s="6"/>
      <c r="L2026" s="6"/>
      <c r="M2026" s="6"/>
      <c r="N2026" s="6"/>
      <c r="O2026" s="6"/>
      <c r="P2026" s="6"/>
      <c r="Q2026" s="6"/>
      <c r="R2026" s="6"/>
      <c r="S2026" s="6"/>
      <c r="T2026" s="6"/>
      <c r="U2026" s="6"/>
      <c r="V2026" s="6"/>
      <c r="W2026" s="6"/>
      <c r="X2026" s="6"/>
      <c r="Y2026" s="6"/>
      <c r="Z2026" s="6"/>
    </row>
    <row r="2027" spans="1:26" ht="16.8" x14ac:dyDescent="0.45">
      <c r="A2027" s="6"/>
      <c r="B2027" s="7"/>
      <c r="C2027" s="6"/>
      <c r="D2027" s="6"/>
      <c r="E2027" s="6"/>
      <c r="F2027" s="6"/>
      <c r="G2027" s="6"/>
      <c r="H2027" s="6"/>
      <c r="I2027" s="6"/>
      <c r="J2027" s="6"/>
      <c r="K2027" s="6"/>
      <c r="L2027" s="6"/>
      <c r="M2027" s="6"/>
      <c r="N2027" s="6"/>
      <c r="O2027" s="6"/>
      <c r="P2027" s="6"/>
      <c r="Q2027" s="6"/>
      <c r="R2027" s="6"/>
      <c r="S2027" s="6"/>
      <c r="T2027" s="6"/>
      <c r="U2027" s="6"/>
      <c r="V2027" s="6"/>
      <c r="W2027" s="6"/>
      <c r="X2027" s="6"/>
      <c r="Y2027" s="6"/>
      <c r="Z2027" s="6"/>
    </row>
    <row r="2028" spans="1:26" ht="16.8" x14ac:dyDescent="0.45">
      <c r="A2028" s="6"/>
      <c r="B2028" s="7"/>
      <c r="C2028" s="6"/>
      <c r="D2028" s="6"/>
      <c r="E2028" s="6"/>
      <c r="F2028" s="6"/>
      <c r="G2028" s="6"/>
      <c r="H2028" s="6"/>
      <c r="I2028" s="6"/>
      <c r="J2028" s="6"/>
      <c r="K2028" s="6"/>
      <c r="L2028" s="6"/>
      <c r="M2028" s="6"/>
      <c r="N2028" s="6"/>
      <c r="O2028" s="6"/>
      <c r="P2028" s="6"/>
      <c r="Q2028" s="6"/>
      <c r="R2028" s="6"/>
      <c r="S2028" s="6"/>
      <c r="T2028" s="6"/>
      <c r="U2028" s="6"/>
      <c r="V2028" s="6"/>
      <c r="W2028" s="6"/>
      <c r="X2028" s="6"/>
      <c r="Y2028" s="6"/>
      <c r="Z2028" s="6"/>
    </row>
    <row r="2029" spans="1:26" ht="16.8" x14ac:dyDescent="0.45">
      <c r="A2029" s="6"/>
      <c r="B2029" s="7"/>
      <c r="C2029" s="6"/>
      <c r="D2029" s="6"/>
      <c r="E2029" s="6"/>
      <c r="F2029" s="6"/>
      <c r="G2029" s="6"/>
      <c r="H2029" s="6"/>
      <c r="I2029" s="6"/>
      <c r="J2029" s="6"/>
      <c r="K2029" s="6"/>
      <c r="L2029" s="6"/>
      <c r="M2029" s="6"/>
      <c r="N2029" s="6"/>
      <c r="O2029" s="6"/>
      <c r="P2029" s="6"/>
      <c r="Q2029" s="6"/>
      <c r="R2029" s="6"/>
      <c r="S2029" s="6"/>
      <c r="T2029" s="6"/>
      <c r="U2029" s="6"/>
      <c r="V2029" s="6"/>
      <c r="W2029" s="6"/>
      <c r="X2029" s="6"/>
      <c r="Y2029" s="6"/>
      <c r="Z2029" s="6"/>
    </row>
    <row r="2030" spans="1:26" ht="16.8" x14ac:dyDescent="0.45">
      <c r="A2030" s="6"/>
      <c r="B2030" s="7"/>
      <c r="C2030" s="6"/>
      <c r="D2030" s="6"/>
      <c r="E2030" s="6"/>
      <c r="F2030" s="6"/>
      <c r="G2030" s="6"/>
      <c r="H2030" s="6"/>
      <c r="I2030" s="6"/>
      <c r="J2030" s="6"/>
      <c r="K2030" s="6"/>
      <c r="L2030" s="6"/>
      <c r="M2030" s="6"/>
      <c r="N2030" s="6"/>
      <c r="O2030" s="6"/>
      <c r="P2030" s="6"/>
      <c r="Q2030" s="6"/>
      <c r="R2030" s="6"/>
      <c r="S2030" s="6"/>
      <c r="T2030" s="6"/>
      <c r="U2030" s="6"/>
      <c r="V2030" s="6"/>
      <c r="W2030" s="6"/>
      <c r="X2030" s="6"/>
      <c r="Y2030" s="6"/>
      <c r="Z2030" s="6"/>
    </row>
    <row r="2031" spans="1:26" ht="16.8" x14ac:dyDescent="0.45">
      <c r="A2031" s="6"/>
      <c r="B2031" s="7"/>
      <c r="C2031" s="6"/>
      <c r="D2031" s="6"/>
      <c r="E2031" s="6"/>
      <c r="F2031" s="6"/>
      <c r="G2031" s="6"/>
      <c r="H2031" s="6"/>
      <c r="I2031" s="6"/>
      <c r="J2031" s="6"/>
      <c r="K2031" s="6"/>
      <c r="L2031" s="6"/>
      <c r="M2031" s="6"/>
      <c r="N2031" s="6"/>
      <c r="O2031" s="6"/>
      <c r="P2031" s="6"/>
      <c r="Q2031" s="6"/>
      <c r="R2031" s="6"/>
      <c r="S2031" s="6"/>
      <c r="T2031" s="6"/>
      <c r="U2031" s="6"/>
      <c r="V2031" s="6"/>
      <c r="W2031" s="6"/>
      <c r="X2031" s="6"/>
      <c r="Y2031" s="6"/>
      <c r="Z2031" s="6"/>
    </row>
    <row r="2032" spans="1:26" ht="16.8" x14ac:dyDescent="0.45">
      <c r="A2032" s="6"/>
      <c r="B2032" s="7"/>
      <c r="C2032" s="6"/>
      <c r="D2032" s="6"/>
      <c r="E2032" s="6"/>
      <c r="F2032" s="6"/>
      <c r="G2032" s="6"/>
      <c r="H2032" s="6"/>
      <c r="I2032" s="6"/>
      <c r="J2032" s="6"/>
      <c r="K2032" s="6"/>
      <c r="L2032" s="6"/>
      <c r="M2032" s="6"/>
      <c r="N2032" s="6"/>
      <c r="O2032" s="6"/>
      <c r="P2032" s="6"/>
      <c r="Q2032" s="6"/>
      <c r="R2032" s="6"/>
      <c r="S2032" s="6"/>
      <c r="T2032" s="6"/>
      <c r="U2032" s="6"/>
      <c r="V2032" s="6"/>
      <c r="W2032" s="6"/>
      <c r="X2032" s="6"/>
      <c r="Y2032" s="6"/>
      <c r="Z2032" s="6"/>
    </row>
    <row r="2033" spans="1:26" ht="16.8" x14ac:dyDescent="0.45">
      <c r="A2033" s="6"/>
      <c r="B2033" s="7"/>
      <c r="C2033" s="6"/>
      <c r="D2033" s="6"/>
      <c r="E2033" s="6"/>
      <c r="F2033" s="6"/>
      <c r="G2033" s="6"/>
      <c r="H2033" s="6"/>
      <c r="I2033" s="6"/>
      <c r="J2033" s="6"/>
      <c r="K2033" s="6"/>
      <c r="L2033" s="6"/>
      <c r="M2033" s="6"/>
      <c r="N2033" s="6"/>
      <c r="O2033" s="6"/>
      <c r="P2033" s="6"/>
      <c r="Q2033" s="6"/>
      <c r="R2033" s="6"/>
      <c r="S2033" s="6"/>
      <c r="T2033" s="6"/>
      <c r="U2033" s="6"/>
      <c r="V2033" s="6"/>
      <c r="W2033" s="6"/>
      <c r="X2033" s="6"/>
      <c r="Y2033" s="6"/>
      <c r="Z2033" s="6"/>
    </row>
    <row r="2034" spans="1:26" ht="16.8" x14ac:dyDescent="0.45">
      <c r="A2034" s="6"/>
      <c r="B2034" s="7"/>
      <c r="C2034" s="6"/>
      <c r="D2034" s="6"/>
      <c r="E2034" s="6"/>
      <c r="F2034" s="6"/>
      <c r="G2034" s="6"/>
      <c r="H2034" s="6"/>
      <c r="I2034" s="6"/>
      <c r="J2034" s="6"/>
      <c r="K2034" s="6"/>
      <c r="L2034" s="6"/>
      <c r="M2034" s="6"/>
      <c r="N2034" s="6"/>
      <c r="O2034" s="6"/>
      <c r="P2034" s="6"/>
      <c r="Q2034" s="6"/>
      <c r="R2034" s="6"/>
      <c r="S2034" s="6"/>
      <c r="T2034" s="6"/>
      <c r="U2034" s="6"/>
      <c r="V2034" s="6"/>
      <c r="W2034" s="6"/>
      <c r="X2034" s="6"/>
      <c r="Y2034" s="6"/>
      <c r="Z2034" s="6"/>
    </row>
    <row r="2035" spans="1:26" ht="16.8" x14ac:dyDescent="0.45">
      <c r="A2035" s="6"/>
      <c r="B2035" s="7"/>
      <c r="C2035" s="6"/>
      <c r="D2035" s="6"/>
      <c r="E2035" s="6"/>
      <c r="F2035" s="6"/>
      <c r="G2035" s="6"/>
      <c r="H2035" s="6"/>
      <c r="I2035" s="6"/>
      <c r="J2035" s="6"/>
      <c r="K2035" s="6"/>
      <c r="L2035" s="6"/>
      <c r="M2035" s="6"/>
      <c r="N2035" s="6"/>
      <c r="O2035" s="6"/>
      <c r="P2035" s="6"/>
      <c r="Q2035" s="6"/>
      <c r="R2035" s="6"/>
      <c r="S2035" s="6"/>
      <c r="T2035" s="6"/>
      <c r="U2035" s="6"/>
      <c r="V2035" s="6"/>
      <c r="W2035" s="6"/>
      <c r="X2035" s="6"/>
      <c r="Y2035" s="6"/>
      <c r="Z2035" s="6"/>
    </row>
    <row r="2036" spans="1:26" ht="16.8" x14ac:dyDescent="0.45">
      <c r="A2036" s="6"/>
      <c r="B2036" s="7"/>
      <c r="C2036" s="6"/>
      <c r="D2036" s="6"/>
      <c r="E2036" s="6"/>
      <c r="F2036" s="6"/>
      <c r="G2036" s="6"/>
      <c r="H2036" s="6"/>
      <c r="I2036" s="6"/>
      <c r="J2036" s="6"/>
      <c r="K2036" s="6"/>
      <c r="L2036" s="6"/>
      <c r="M2036" s="6"/>
      <c r="N2036" s="6"/>
      <c r="O2036" s="6"/>
      <c r="P2036" s="6"/>
      <c r="Q2036" s="6"/>
      <c r="R2036" s="6"/>
      <c r="S2036" s="6"/>
      <c r="T2036" s="6"/>
      <c r="U2036" s="6"/>
      <c r="V2036" s="6"/>
      <c r="W2036" s="6"/>
      <c r="X2036" s="6"/>
      <c r="Y2036" s="6"/>
      <c r="Z2036" s="6"/>
    </row>
    <row r="2037" spans="1:26" ht="16.8" x14ac:dyDescent="0.45">
      <c r="A2037" s="6"/>
      <c r="B2037" s="7"/>
      <c r="C2037" s="6"/>
      <c r="D2037" s="6"/>
      <c r="E2037" s="6"/>
      <c r="F2037" s="6"/>
      <c r="G2037" s="6"/>
      <c r="H2037" s="6"/>
      <c r="I2037" s="6"/>
      <c r="J2037" s="6"/>
      <c r="K2037" s="6"/>
      <c r="L2037" s="6"/>
      <c r="M2037" s="6"/>
      <c r="N2037" s="6"/>
      <c r="O2037" s="6"/>
      <c r="P2037" s="6"/>
      <c r="Q2037" s="6"/>
      <c r="R2037" s="6"/>
      <c r="S2037" s="6"/>
      <c r="T2037" s="6"/>
      <c r="U2037" s="6"/>
      <c r="V2037" s="6"/>
      <c r="W2037" s="6"/>
      <c r="X2037" s="6"/>
      <c r="Y2037" s="6"/>
      <c r="Z2037" s="6"/>
    </row>
    <row r="2038" spans="1:26" ht="16.8" x14ac:dyDescent="0.45">
      <c r="A2038" s="6"/>
      <c r="B2038" s="7"/>
      <c r="C2038" s="6"/>
      <c r="D2038" s="6"/>
      <c r="E2038" s="6"/>
      <c r="F2038" s="6"/>
      <c r="G2038" s="6"/>
      <c r="H2038" s="6"/>
      <c r="I2038" s="6"/>
      <c r="J2038" s="6"/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</row>
    <row r="2039" spans="1:26" ht="16.8" x14ac:dyDescent="0.45">
      <c r="A2039" s="6"/>
      <c r="B2039" s="7"/>
      <c r="C2039" s="6"/>
      <c r="D2039" s="6"/>
      <c r="E2039" s="6"/>
      <c r="F2039" s="6"/>
      <c r="G2039" s="6"/>
      <c r="H2039" s="6"/>
      <c r="I2039" s="6"/>
      <c r="J2039" s="6"/>
      <c r="K2039" s="6"/>
      <c r="L2039" s="6"/>
      <c r="M2039" s="6"/>
      <c r="N2039" s="6"/>
      <c r="O2039" s="6"/>
      <c r="P2039" s="6"/>
      <c r="Q2039" s="6"/>
      <c r="R2039" s="6"/>
      <c r="S2039" s="6"/>
      <c r="T2039" s="6"/>
      <c r="U2039" s="6"/>
      <c r="V2039" s="6"/>
      <c r="W2039" s="6"/>
      <c r="X2039" s="6"/>
      <c r="Y2039" s="6"/>
      <c r="Z2039" s="6"/>
    </row>
    <row r="2040" spans="1:26" ht="16.8" x14ac:dyDescent="0.45">
      <c r="A2040" s="6"/>
      <c r="B2040" s="7"/>
      <c r="C2040" s="6"/>
      <c r="D2040" s="6"/>
      <c r="E2040" s="6"/>
      <c r="F2040" s="6"/>
      <c r="G2040" s="6"/>
      <c r="H2040" s="6"/>
      <c r="I2040" s="6"/>
      <c r="J2040" s="6"/>
      <c r="K2040" s="6"/>
      <c r="L2040" s="6"/>
      <c r="M2040" s="6"/>
      <c r="N2040" s="6"/>
      <c r="O2040" s="6"/>
      <c r="P2040" s="6"/>
      <c r="Q2040" s="6"/>
      <c r="R2040" s="6"/>
      <c r="S2040" s="6"/>
      <c r="T2040" s="6"/>
      <c r="U2040" s="6"/>
      <c r="V2040" s="6"/>
      <c r="W2040" s="6"/>
      <c r="X2040" s="6"/>
      <c r="Y2040" s="6"/>
      <c r="Z2040" s="6"/>
    </row>
    <row r="2041" spans="1:26" ht="16.8" x14ac:dyDescent="0.45">
      <c r="A2041" s="6"/>
      <c r="B2041" s="7"/>
      <c r="C2041" s="6"/>
      <c r="D2041" s="6"/>
      <c r="E2041" s="6"/>
      <c r="F2041" s="6"/>
      <c r="G2041" s="6"/>
      <c r="H2041" s="6"/>
      <c r="I2041" s="6"/>
      <c r="J2041" s="6"/>
      <c r="K2041" s="6"/>
      <c r="L2041" s="6"/>
      <c r="M2041" s="6"/>
      <c r="N2041" s="6"/>
      <c r="O2041" s="6"/>
      <c r="P2041" s="6"/>
      <c r="Q2041" s="6"/>
      <c r="R2041" s="6"/>
      <c r="S2041" s="6"/>
      <c r="T2041" s="6"/>
      <c r="U2041" s="6"/>
      <c r="V2041" s="6"/>
      <c r="W2041" s="6"/>
      <c r="X2041" s="6"/>
      <c r="Y2041" s="6"/>
      <c r="Z2041" s="6"/>
    </row>
    <row r="2042" spans="1:26" ht="16.8" x14ac:dyDescent="0.45">
      <c r="A2042" s="6"/>
      <c r="B2042" s="7"/>
      <c r="C2042" s="6"/>
      <c r="D2042" s="6"/>
      <c r="E2042" s="6"/>
      <c r="F2042" s="6"/>
      <c r="G2042" s="6"/>
      <c r="H2042" s="6"/>
      <c r="I2042" s="6"/>
      <c r="J2042" s="6"/>
      <c r="K2042" s="6"/>
      <c r="L2042" s="6"/>
      <c r="M2042" s="6"/>
      <c r="N2042" s="6"/>
      <c r="O2042" s="6"/>
      <c r="P2042" s="6"/>
      <c r="Q2042" s="6"/>
      <c r="R2042" s="6"/>
      <c r="S2042" s="6"/>
      <c r="T2042" s="6"/>
      <c r="U2042" s="6"/>
      <c r="V2042" s="6"/>
      <c r="W2042" s="6"/>
      <c r="X2042" s="6"/>
      <c r="Y2042" s="6"/>
      <c r="Z2042" s="6"/>
    </row>
    <row r="2043" spans="1:26" ht="16.8" x14ac:dyDescent="0.45">
      <c r="A2043" s="6"/>
      <c r="B2043" s="7"/>
      <c r="C2043" s="6"/>
      <c r="D2043" s="6"/>
      <c r="E2043" s="6"/>
      <c r="F2043" s="6"/>
      <c r="G2043" s="6"/>
      <c r="H2043" s="6"/>
      <c r="I2043" s="6"/>
      <c r="J2043" s="6"/>
      <c r="K2043" s="6"/>
      <c r="L2043" s="6"/>
      <c r="M2043" s="6"/>
      <c r="N2043" s="6"/>
      <c r="O2043" s="6"/>
      <c r="P2043" s="6"/>
      <c r="Q2043" s="6"/>
      <c r="R2043" s="6"/>
      <c r="S2043" s="6"/>
      <c r="T2043" s="6"/>
      <c r="U2043" s="6"/>
      <c r="V2043" s="6"/>
      <c r="W2043" s="6"/>
      <c r="X2043" s="6"/>
      <c r="Y2043" s="6"/>
      <c r="Z2043" s="6"/>
    </row>
    <row r="2044" spans="1:26" ht="16.8" x14ac:dyDescent="0.45">
      <c r="A2044" s="6"/>
      <c r="B2044" s="7"/>
      <c r="C2044" s="6"/>
      <c r="D2044" s="6"/>
      <c r="E2044" s="6"/>
      <c r="F2044" s="6"/>
      <c r="G2044" s="6"/>
      <c r="H2044" s="6"/>
      <c r="I2044" s="6"/>
      <c r="J2044" s="6"/>
      <c r="K2044" s="6"/>
      <c r="L2044" s="6"/>
      <c r="M2044" s="6"/>
      <c r="N2044" s="6"/>
      <c r="O2044" s="6"/>
      <c r="P2044" s="6"/>
      <c r="Q2044" s="6"/>
      <c r="R2044" s="6"/>
      <c r="S2044" s="6"/>
      <c r="T2044" s="6"/>
      <c r="U2044" s="6"/>
      <c r="V2044" s="6"/>
      <c r="W2044" s="6"/>
      <c r="X2044" s="6"/>
      <c r="Y2044" s="6"/>
      <c r="Z2044" s="6"/>
    </row>
    <row r="2045" spans="1:26" ht="16.8" x14ac:dyDescent="0.45">
      <c r="A2045" s="6"/>
      <c r="B2045" s="7"/>
      <c r="C2045" s="6"/>
      <c r="D2045" s="6"/>
      <c r="E2045" s="6"/>
      <c r="F2045" s="6"/>
      <c r="G2045" s="6"/>
      <c r="H2045" s="6"/>
      <c r="I2045" s="6"/>
      <c r="J2045" s="6"/>
      <c r="K2045" s="6"/>
      <c r="L2045" s="6"/>
      <c r="M2045" s="6"/>
      <c r="N2045" s="6"/>
      <c r="O2045" s="6"/>
      <c r="P2045" s="6"/>
      <c r="Q2045" s="6"/>
      <c r="R2045" s="6"/>
      <c r="S2045" s="6"/>
      <c r="T2045" s="6"/>
      <c r="U2045" s="6"/>
      <c r="V2045" s="6"/>
      <c r="W2045" s="6"/>
      <c r="X2045" s="6"/>
      <c r="Y2045" s="6"/>
      <c r="Z2045" s="6"/>
    </row>
    <row r="2046" spans="1:26" ht="16.8" x14ac:dyDescent="0.45">
      <c r="A2046" s="6"/>
      <c r="B2046" s="7"/>
      <c r="C2046" s="6"/>
      <c r="D2046" s="6"/>
      <c r="E2046" s="6"/>
      <c r="F2046" s="6"/>
      <c r="G2046" s="6"/>
      <c r="H2046" s="6"/>
      <c r="I2046" s="6"/>
      <c r="J2046" s="6"/>
      <c r="K2046" s="6"/>
      <c r="L2046" s="6"/>
      <c r="M2046" s="6"/>
      <c r="N2046" s="6"/>
      <c r="O2046" s="6"/>
      <c r="P2046" s="6"/>
      <c r="Q2046" s="6"/>
      <c r="R2046" s="6"/>
      <c r="S2046" s="6"/>
      <c r="T2046" s="6"/>
      <c r="U2046" s="6"/>
      <c r="V2046" s="6"/>
      <c r="W2046" s="6"/>
      <c r="X2046" s="6"/>
      <c r="Y2046" s="6"/>
      <c r="Z2046" s="6"/>
    </row>
    <row r="2047" spans="1:26" ht="16.8" x14ac:dyDescent="0.45">
      <c r="A2047" s="6"/>
      <c r="B2047" s="7"/>
      <c r="C2047" s="6"/>
      <c r="D2047" s="6"/>
      <c r="E2047" s="6"/>
      <c r="F2047" s="6"/>
      <c r="G2047" s="6"/>
      <c r="H2047" s="6"/>
      <c r="I2047" s="6"/>
      <c r="J2047" s="6"/>
      <c r="K2047" s="6"/>
      <c r="L2047" s="6"/>
      <c r="M2047" s="6"/>
      <c r="N2047" s="6"/>
      <c r="O2047" s="6"/>
      <c r="P2047" s="6"/>
      <c r="Q2047" s="6"/>
      <c r="R2047" s="6"/>
      <c r="S2047" s="6"/>
      <c r="T2047" s="6"/>
      <c r="U2047" s="6"/>
      <c r="V2047" s="6"/>
      <c r="W2047" s="6"/>
      <c r="X2047" s="6"/>
      <c r="Y2047" s="6"/>
      <c r="Z2047" s="6"/>
    </row>
    <row r="2048" spans="1:26" ht="16.8" x14ac:dyDescent="0.45">
      <c r="A2048" s="6"/>
      <c r="B2048" s="7"/>
      <c r="C2048" s="6"/>
      <c r="D2048" s="6"/>
      <c r="E2048" s="6"/>
      <c r="F2048" s="6"/>
      <c r="G2048" s="6"/>
      <c r="H2048" s="6"/>
      <c r="I2048" s="6"/>
      <c r="J2048" s="6"/>
      <c r="K2048" s="6"/>
      <c r="L2048" s="6"/>
      <c r="M2048" s="6"/>
      <c r="N2048" s="6"/>
      <c r="O2048" s="6"/>
      <c r="P2048" s="6"/>
      <c r="Q2048" s="6"/>
      <c r="R2048" s="6"/>
      <c r="S2048" s="6"/>
      <c r="T2048" s="6"/>
      <c r="U2048" s="6"/>
      <c r="V2048" s="6"/>
      <c r="W2048" s="6"/>
      <c r="X2048" s="6"/>
      <c r="Y2048" s="6"/>
      <c r="Z2048" s="6"/>
    </row>
    <row r="2049" spans="1:26" ht="16.8" x14ac:dyDescent="0.45">
      <c r="A2049" s="6"/>
      <c r="B2049" s="7"/>
      <c r="C2049" s="6"/>
      <c r="D2049" s="6"/>
      <c r="E2049" s="6"/>
      <c r="F2049" s="6"/>
      <c r="G2049" s="6"/>
      <c r="H2049" s="6"/>
      <c r="I2049" s="6"/>
      <c r="J2049" s="6"/>
      <c r="K2049" s="6"/>
      <c r="L2049" s="6"/>
      <c r="M2049" s="6"/>
      <c r="N2049" s="6"/>
      <c r="O2049" s="6"/>
      <c r="P2049" s="6"/>
      <c r="Q2049" s="6"/>
      <c r="R2049" s="6"/>
      <c r="S2049" s="6"/>
      <c r="T2049" s="6"/>
      <c r="U2049" s="6"/>
      <c r="V2049" s="6"/>
      <c r="W2049" s="6"/>
      <c r="X2049" s="6"/>
      <c r="Y2049" s="6"/>
      <c r="Z2049" s="6"/>
    </row>
    <row r="2050" spans="1:26" ht="16.8" x14ac:dyDescent="0.45">
      <c r="A2050" s="6"/>
      <c r="B2050" s="7"/>
      <c r="C2050" s="6"/>
      <c r="D2050" s="6"/>
      <c r="E2050" s="6"/>
      <c r="F2050" s="6"/>
      <c r="G2050" s="6"/>
      <c r="H2050" s="6"/>
      <c r="I2050" s="6"/>
      <c r="J2050" s="6"/>
      <c r="K2050" s="6"/>
      <c r="L2050" s="6"/>
      <c r="M2050" s="6"/>
      <c r="N2050" s="6"/>
      <c r="O2050" s="6"/>
      <c r="P2050" s="6"/>
      <c r="Q2050" s="6"/>
      <c r="R2050" s="6"/>
      <c r="S2050" s="6"/>
      <c r="T2050" s="6"/>
      <c r="U2050" s="6"/>
      <c r="V2050" s="6"/>
      <c r="W2050" s="6"/>
      <c r="X2050" s="6"/>
      <c r="Y2050" s="6"/>
      <c r="Z2050" s="6"/>
    </row>
    <row r="2051" spans="1:26" ht="16.8" x14ac:dyDescent="0.45">
      <c r="A2051" s="6"/>
      <c r="B2051" s="7"/>
      <c r="C2051" s="6"/>
      <c r="D2051" s="6"/>
      <c r="E2051" s="6"/>
      <c r="F2051" s="6"/>
      <c r="G2051" s="6"/>
      <c r="H2051" s="6"/>
      <c r="I2051" s="6"/>
      <c r="J2051" s="6"/>
      <c r="K2051" s="6"/>
      <c r="L2051" s="6"/>
      <c r="M2051" s="6"/>
      <c r="N2051" s="6"/>
      <c r="O2051" s="6"/>
      <c r="P2051" s="6"/>
      <c r="Q2051" s="6"/>
      <c r="R2051" s="6"/>
      <c r="S2051" s="6"/>
      <c r="T2051" s="6"/>
      <c r="U2051" s="6"/>
      <c r="V2051" s="6"/>
      <c r="W2051" s="6"/>
      <c r="X2051" s="6"/>
      <c r="Y2051" s="6"/>
      <c r="Z2051" s="6"/>
    </row>
    <row r="2052" spans="1:26" ht="16.8" x14ac:dyDescent="0.45">
      <c r="A2052" s="6"/>
      <c r="B2052" s="7"/>
      <c r="C2052" s="6"/>
      <c r="D2052" s="6"/>
      <c r="E2052" s="6"/>
      <c r="F2052" s="6"/>
      <c r="G2052" s="6"/>
      <c r="H2052" s="6"/>
      <c r="I2052" s="6"/>
      <c r="J2052" s="6"/>
      <c r="K2052" s="6"/>
      <c r="L2052" s="6"/>
      <c r="M2052" s="6"/>
      <c r="N2052" s="6"/>
      <c r="O2052" s="6"/>
      <c r="P2052" s="6"/>
      <c r="Q2052" s="6"/>
      <c r="R2052" s="6"/>
      <c r="S2052" s="6"/>
      <c r="T2052" s="6"/>
      <c r="U2052" s="6"/>
      <c r="V2052" s="6"/>
      <c r="W2052" s="6"/>
      <c r="X2052" s="6"/>
      <c r="Y2052" s="6"/>
      <c r="Z2052" s="6"/>
    </row>
    <row r="2053" spans="1:26" ht="16.8" x14ac:dyDescent="0.45">
      <c r="A2053" s="6"/>
      <c r="B2053" s="7"/>
      <c r="C2053" s="6"/>
      <c r="D2053" s="6"/>
      <c r="E2053" s="6"/>
      <c r="F2053" s="6"/>
      <c r="G2053" s="6"/>
      <c r="H2053" s="6"/>
      <c r="I2053" s="6"/>
      <c r="J2053" s="6"/>
      <c r="K2053" s="6"/>
      <c r="L2053" s="6"/>
      <c r="M2053" s="6"/>
      <c r="N2053" s="6"/>
      <c r="O2053" s="6"/>
      <c r="P2053" s="6"/>
      <c r="Q2053" s="6"/>
      <c r="R2053" s="6"/>
      <c r="S2053" s="6"/>
      <c r="T2053" s="6"/>
      <c r="U2053" s="6"/>
      <c r="V2053" s="6"/>
      <c r="W2053" s="6"/>
      <c r="X2053" s="6"/>
      <c r="Y2053" s="6"/>
      <c r="Z2053" s="6"/>
    </row>
    <row r="2054" spans="1:26" ht="16.8" x14ac:dyDescent="0.45">
      <c r="A2054" s="6"/>
      <c r="B2054" s="7"/>
      <c r="C2054" s="6"/>
      <c r="D2054" s="6"/>
      <c r="E2054" s="6"/>
      <c r="F2054" s="6"/>
      <c r="G2054" s="6"/>
      <c r="H2054" s="6"/>
      <c r="I2054" s="6"/>
      <c r="J2054" s="6"/>
      <c r="K2054" s="6"/>
      <c r="L2054" s="6"/>
      <c r="M2054" s="6"/>
      <c r="N2054" s="6"/>
      <c r="O2054" s="6"/>
      <c r="P2054" s="6"/>
      <c r="Q2054" s="6"/>
      <c r="R2054" s="6"/>
      <c r="S2054" s="6"/>
      <c r="T2054" s="6"/>
      <c r="U2054" s="6"/>
      <c r="V2054" s="6"/>
      <c r="W2054" s="6"/>
      <c r="X2054" s="6"/>
      <c r="Y2054" s="6"/>
      <c r="Z2054" s="6"/>
    </row>
    <row r="2055" spans="1:26" ht="16.8" x14ac:dyDescent="0.45">
      <c r="A2055" s="6"/>
      <c r="B2055" s="7"/>
      <c r="C2055" s="6"/>
      <c r="D2055" s="6"/>
      <c r="E2055" s="6"/>
      <c r="F2055" s="6"/>
      <c r="G2055" s="6"/>
      <c r="H2055" s="6"/>
      <c r="I2055" s="6"/>
      <c r="J2055" s="6"/>
      <c r="K2055" s="6"/>
      <c r="L2055" s="6"/>
      <c r="M2055" s="6"/>
      <c r="N2055" s="6"/>
      <c r="O2055" s="6"/>
      <c r="P2055" s="6"/>
      <c r="Q2055" s="6"/>
      <c r="R2055" s="6"/>
      <c r="S2055" s="6"/>
      <c r="T2055" s="6"/>
      <c r="U2055" s="6"/>
      <c r="V2055" s="6"/>
      <c r="W2055" s="6"/>
      <c r="X2055" s="6"/>
      <c r="Y2055" s="6"/>
      <c r="Z2055" s="6"/>
    </row>
    <row r="2056" spans="1:26" ht="16.8" x14ac:dyDescent="0.45">
      <c r="A2056" s="6"/>
      <c r="B2056" s="7"/>
      <c r="C2056" s="6"/>
      <c r="D2056" s="6"/>
      <c r="E2056" s="6"/>
      <c r="F2056" s="6"/>
      <c r="G2056" s="6"/>
      <c r="H2056" s="6"/>
      <c r="I2056" s="6"/>
      <c r="J2056" s="6"/>
      <c r="K2056" s="6"/>
      <c r="L2056" s="6"/>
      <c r="M2056" s="6"/>
      <c r="N2056" s="6"/>
      <c r="O2056" s="6"/>
      <c r="P2056" s="6"/>
      <c r="Q2056" s="6"/>
      <c r="R2056" s="6"/>
      <c r="S2056" s="6"/>
      <c r="T2056" s="6"/>
      <c r="U2056" s="6"/>
      <c r="V2056" s="6"/>
      <c r="W2056" s="6"/>
      <c r="X2056" s="6"/>
      <c r="Y2056" s="6"/>
      <c r="Z2056" s="6"/>
    </row>
    <row r="2057" spans="1:26" ht="16.8" x14ac:dyDescent="0.45">
      <c r="A2057" s="6"/>
      <c r="B2057" s="7"/>
      <c r="C2057" s="6"/>
      <c r="D2057" s="6"/>
      <c r="E2057" s="6"/>
      <c r="F2057" s="6"/>
      <c r="G2057" s="6"/>
      <c r="H2057" s="6"/>
      <c r="I2057" s="6"/>
      <c r="J2057" s="6"/>
      <c r="K2057" s="6"/>
      <c r="L2057" s="6"/>
      <c r="M2057" s="6"/>
      <c r="N2057" s="6"/>
      <c r="O2057" s="6"/>
      <c r="P2057" s="6"/>
      <c r="Q2057" s="6"/>
      <c r="R2057" s="6"/>
      <c r="S2057" s="6"/>
      <c r="T2057" s="6"/>
      <c r="U2057" s="6"/>
      <c r="V2057" s="6"/>
      <c r="W2057" s="6"/>
      <c r="X2057" s="6"/>
      <c r="Y2057" s="6"/>
      <c r="Z2057" s="6"/>
    </row>
    <row r="2058" spans="1:26" ht="16.8" x14ac:dyDescent="0.45">
      <c r="A2058" s="6"/>
      <c r="B2058" s="7"/>
      <c r="C2058" s="6"/>
      <c r="D2058" s="6"/>
      <c r="E2058" s="6"/>
      <c r="F2058" s="6"/>
      <c r="G2058" s="6"/>
      <c r="H2058" s="6"/>
      <c r="I2058" s="6"/>
      <c r="J2058" s="6"/>
      <c r="K2058" s="6"/>
      <c r="L2058" s="6"/>
      <c r="M2058" s="6"/>
      <c r="N2058" s="6"/>
      <c r="O2058" s="6"/>
      <c r="P2058" s="6"/>
      <c r="Q2058" s="6"/>
      <c r="R2058" s="6"/>
      <c r="S2058" s="6"/>
      <c r="T2058" s="6"/>
      <c r="U2058" s="6"/>
      <c r="V2058" s="6"/>
      <c r="W2058" s="6"/>
      <c r="X2058" s="6"/>
      <c r="Y2058" s="6"/>
      <c r="Z2058" s="6"/>
    </row>
    <row r="2059" spans="1:26" ht="16.8" x14ac:dyDescent="0.45">
      <c r="A2059" s="6"/>
      <c r="B2059" s="7"/>
      <c r="C2059" s="6"/>
      <c r="D2059" s="6"/>
      <c r="E2059" s="6"/>
      <c r="F2059" s="6"/>
      <c r="G2059" s="6"/>
      <c r="H2059" s="6"/>
      <c r="I2059" s="6"/>
      <c r="J2059" s="6"/>
      <c r="K2059" s="6"/>
      <c r="L2059" s="6"/>
      <c r="M2059" s="6"/>
      <c r="N2059" s="6"/>
      <c r="O2059" s="6"/>
      <c r="P2059" s="6"/>
      <c r="Q2059" s="6"/>
      <c r="R2059" s="6"/>
      <c r="S2059" s="6"/>
      <c r="T2059" s="6"/>
      <c r="U2059" s="6"/>
      <c r="V2059" s="6"/>
      <c r="W2059" s="6"/>
      <c r="X2059" s="6"/>
      <c r="Y2059" s="6"/>
      <c r="Z2059" s="6"/>
    </row>
    <row r="2060" spans="1:26" ht="16.8" x14ac:dyDescent="0.45">
      <c r="A2060" s="6"/>
      <c r="B2060" s="7"/>
      <c r="C2060" s="6"/>
      <c r="D2060" s="6"/>
      <c r="E2060" s="6"/>
      <c r="F2060" s="6"/>
      <c r="G2060" s="6"/>
      <c r="H2060" s="6"/>
      <c r="I2060" s="6"/>
      <c r="J2060" s="6"/>
      <c r="K2060" s="6"/>
      <c r="L2060" s="6"/>
      <c r="M2060" s="6"/>
      <c r="N2060" s="6"/>
      <c r="O2060" s="6"/>
      <c r="P2060" s="6"/>
      <c r="Q2060" s="6"/>
      <c r="R2060" s="6"/>
      <c r="S2060" s="6"/>
      <c r="T2060" s="6"/>
      <c r="U2060" s="6"/>
      <c r="V2060" s="6"/>
      <c r="W2060" s="6"/>
      <c r="X2060" s="6"/>
      <c r="Y2060" s="6"/>
      <c r="Z2060" s="6"/>
    </row>
    <row r="2061" spans="1:26" ht="16.8" x14ac:dyDescent="0.45">
      <c r="A2061" s="6"/>
      <c r="B2061" s="7"/>
      <c r="C2061" s="6"/>
      <c r="D2061" s="6"/>
      <c r="E2061" s="6"/>
      <c r="F2061" s="6"/>
      <c r="G2061" s="6"/>
      <c r="H2061" s="6"/>
      <c r="I2061" s="6"/>
      <c r="J2061" s="6"/>
      <c r="K2061" s="6"/>
      <c r="L2061" s="6"/>
      <c r="M2061" s="6"/>
      <c r="N2061" s="6"/>
      <c r="O2061" s="6"/>
      <c r="P2061" s="6"/>
      <c r="Q2061" s="6"/>
      <c r="R2061" s="6"/>
      <c r="S2061" s="6"/>
      <c r="T2061" s="6"/>
      <c r="U2061" s="6"/>
      <c r="V2061" s="6"/>
      <c r="W2061" s="6"/>
      <c r="X2061" s="6"/>
      <c r="Y2061" s="6"/>
      <c r="Z2061" s="6"/>
    </row>
    <row r="2062" spans="1:26" ht="16.8" x14ac:dyDescent="0.45">
      <c r="A2062" s="6"/>
      <c r="B2062" s="7"/>
      <c r="C2062" s="6"/>
      <c r="D2062" s="6"/>
      <c r="E2062" s="6"/>
      <c r="F2062" s="6"/>
      <c r="G2062" s="6"/>
      <c r="H2062" s="6"/>
      <c r="I2062" s="6"/>
      <c r="J2062" s="6"/>
      <c r="K2062" s="6"/>
      <c r="L2062" s="6"/>
      <c r="M2062" s="6"/>
      <c r="N2062" s="6"/>
      <c r="O2062" s="6"/>
      <c r="P2062" s="6"/>
      <c r="Q2062" s="6"/>
      <c r="R2062" s="6"/>
      <c r="S2062" s="6"/>
      <c r="T2062" s="6"/>
      <c r="U2062" s="6"/>
      <c r="V2062" s="6"/>
      <c r="W2062" s="6"/>
      <c r="X2062" s="6"/>
      <c r="Y2062" s="6"/>
      <c r="Z2062" s="6"/>
    </row>
    <row r="2063" spans="1:26" ht="16.8" x14ac:dyDescent="0.45">
      <c r="A2063" s="6"/>
      <c r="B2063" s="7"/>
      <c r="C2063" s="6"/>
      <c r="D2063" s="6"/>
      <c r="E2063" s="6"/>
      <c r="F2063" s="6"/>
      <c r="G2063" s="6"/>
      <c r="H2063" s="6"/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</row>
    <row r="2064" spans="1:26" ht="16.8" x14ac:dyDescent="0.45">
      <c r="A2064" s="6"/>
      <c r="B2064" s="7"/>
      <c r="C2064" s="6"/>
      <c r="D2064" s="6"/>
      <c r="E2064" s="6"/>
      <c r="F2064" s="6"/>
      <c r="G2064" s="6"/>
      <c r="H2064" s="6"/>
      <c r="I2064" s="6"/>
      <c r="J2064" s="6"/>
      <c r="K2064" s="6"/>
      <c r="L2064" s="6"/>
      <c r="M2064" s="6"/>
      <c r="N2064" s="6"/>
      <c r="O2064" s="6"/>
      <c r="P2064" s="6"/>
      <c r="Q2064" s="6"/>
      <c r="R2064" s="6"/>
      <c r="S2064" s="6"/>
      <c r="T2064" s="6"/>
      <c r="U2064" s="6"/>
      <c r="V2064" s="6"/>
      <c r="W2064" s="6"/>
      <c r="X2064" s="6"/>
      <c r="Y2064" s="6"/>
      <c r="Z2064" s="6"/>
    </row>
    <row r="2065" spans="1:26" ht="16.8" x14ac:dyDescent="0.45">
      <c r="A2065" s="6"/>
      <c r="B2065" s="7"/>
      <c r="C2065" s="6"/>
      <c r="D2065" s="6"/>
      <c r="E2065" s="6"/>
      <c r="F2065" s="6"/>
      <c r="G2065" s="6"/>
      <c r="H2065" s="6"/>
      <c r="I2065" s="6"/>
      <c r="J2065" s="6"/>
      <c r="K2065" s="6"/>
      <c r="L2065" s="6"/>
      <c r="M2065" s="6"/>
      <c r="N2065" s="6"/>
      <c r="O2065" s="6"/>
      <c r="P2065" s="6"/>
      <c r="Q2065" s="6"/>
      <c r="R2065" s="6"/>
      <c r="S2065" s="6"/>
      <c r="T2065" s="6"/>
      <c r="U2065" s="6"/>
      <c r="V2065" s="6"/>
      <c r="W2065" s="6"/>
      <c r="X2065" s="6"/>
      <c r="Y2065" s="6"/>
      <c r="Z2065" s="6"/>
    </row>
    <row r="2066" spans="1:26" ht="16.8" x14ac:dyDescent="0.45">
      <c r="A2066" s="6"/>
      <c r="B2066" s="7"/>
      <c r="C2066" s="6"/>
      <c r="D2066" s="6"/>
      <c r="E2066" s="6"/>
      <c r="F2066" s="6"/>
      <c r="G2066" s="6"/>
      <c r="H2066" s="6"/>
      <c r="I2066" s="6"/>
      <c r="J2066" s="6"/>
      <c r="K2066" s="6"/>
      <c r="L2066" s="6"/>
      <c r="M2066" s="6"/>
      <c r="N2066" s="6"/>
      <c r="O2066" s="6"/>
      <c r="P2066" s="6"/>
      <c r="Q2066" s="6"/>
      <c r="R2066" s="6"/>
      <c r="S2066" s="6"/>
      <c r="T2066" s="6"/>
      <c r="U2066" s="6"/>
      <c r="V2066" s="6"/>
      <c r="W2066" s="6"/>
      <c r="X2066" s="6"/>
      <c r="Y2066" s="6"/>
      <c r="Z2066" s="6"/>
    </row>
    <row r="2067" spans="1:26" ht="16.8" x14ac:dyDescent="0.45">
      <c r="A2067" s="6"/>
      <c r="B2067" s="7"/>
      <c r="C2067" s="6"/>
      <c r="D2067" s="6"/>
      <c r="E2067" s="6"/>
      <c r="F2067" s="6"/>
      <c r="G2067" s="6"/>
      <c r="H2067" s="6"/>
      <c r="I2067" s="6"/>
      <c r="J2067" s="6"/>
      <c r="K2067" s="6"/>
      <c r="L2067" s="6"/>
      <c r="M2067" s="6"/>
      <c r="N2067" s="6"/>
      <c r="O2067" s="6"/>
      <c r="P2067" s="6"/>
      <c r="Q2067" s="6"/>
      <c r="R2067" s="6"/>
      <c r="S2067" s="6"/>
      <c r="T2067" s="6"/>
      <c r="U2067" s="6"/>
      <c r="V2067" s="6"/>
      <c r="W2067" s="6"/>
      <c r="X2067" s="6"/>
      <c r="Y2067" s="6"/>
      <c r="Z2067" s="6"/>
    </row>
    <row r="2068" spans="1:26" ht="16.8" x14ac:dyDescent="0.45">
      <c r="A2068" s="6"/>
      <c r="B2068" s="7"/>
      <c r="C2068" s="6"/>
      <c r="D2068" s="6"/>
      <c r="E2068" s="6"/>
      <c r="F2068" s="6"/>
      <c r="G2068" s="6"/>
      <c r="H2068" s="6"/>
      <c r="I2068" s="6"/>
      <c r="J2068" s="6"/>
      <c r="K2068" s="6"/>
      <c r="L2068" s="6"/>
      <c r="M2068" s="6"/>
      <c r="N2068" s="6"/>
      <c r="O2068" s="6"/>
      <c r="P2068" s="6"/>
      <c r="Q2068" s="6"/>
      <c r="R2068" s="6"/>
      <c r="S2068" s="6"/>
      <c r="T2068" s="6"/>
      <c r="U2068" s="6"/>
      <c r="V2068" s="6"/>
      <c r="W2068" s="6"/>
      <c r="X2068" s="6"/>
      <c r="Y2068" s="6"/>
      <c r="Z2068" s="6"/>
    </row>
    <row r="2069" spans="1:26" ht="16.8" x14ac:dyDescent="0.45">
      <c r="A2069" s="6"/>
      <c r="B2069" s="7"/>
      <c r="C2069" s="6"/>
      <c r="D2069" s="6"/>
      <c r="E2069" s="6"/>
      <c r="F2069" s="6"/>
      <c r="G2069" s="6"/>
      <c r="H2069" s="6"/>
      <c r="I2069" s="6"/>
      <c r="J2069" s="6"/>
      <c r="K2069" s="6"/>
      <c r="L2069" s="6"/>
      <c r="M2069" s="6"/>
      <c r="N2069" s="6"/>
      <c r="O2069" s="6"/>
      <c r="P2069" s="6"/>
      <c r="Q2069" s="6"/>
      <c r="R2069" s="6"/>
      <c r="S2069" s="6"/>
      <c r="T2069" s="6"/>
      <c r="U2069" s="6"/>
      <c r="V2069" s="6"/>
      <c r="W2069" s="6"/>
      <c r="X2069" s="6"/>
      <c r="Y2069" s="6"/>
      <c r="Z2069" s="6"/>
    </row>
    <row r="2070" spans="1:26" ht="16.8" x14ac:dyDescent="0.45">
      <c r="A2070" s="6"/>
      <c r="B2070" s="7"/>
      <c r="C2070" s="6"/>
      <c r="D2070" s="6"/>
      <c r="E2070" s="6"/>
      <c r="F2070" s="6"/>
      <c r="G2070" s="6"/>
      <c r="H2070" s="6"/>
      <c r="I2070" s="6"/>
      <c r="J2070" s="6"/>
      <c r="K2070" s="6"/>
      <c r="L2070" s="6"/>
      <c r="M2070" s="6"/>
      <c r="N2070" s="6"/>
      <c r="O2070" s="6"/>
      <c r="P2070" s="6"/>
      <c r="Q2070" s="6"/>
      <c r="R2070" s="6"/>
      <c r="S2070" s="6"/>
      <c r="T2070" s="6"/>
      <c r="U2070" s="6"/>
      <c r="V2070" s="6"/>
      <c r="W2070" s="6"/>
      <c r="X2070" s="6"/>
      <c r="Y2070" s="6"/>
      <c r="Z2070" s="6"/>
    </row>
    <row r="2071" spans="1:26" ht="16.8" x14ac:dyDescent="0.45">
      <c r="A2071" s="6"/>
      <c r="B2071" s="7"/>
      <c r="C2071" s="6"/>
      <c r="D2071" s="6"/>
      <c r="E2071" s="6"/>
      <c r="F2071" s="6"/>
      <c r="G2071" s="6"/>
      <c r="H2071" s="6"/>
      <c r="I2071" s="6"/>
      <c r="J2071" s="6"/>
      <c r="K2071" s="6"/>
      <c r="L2071" s="6"/>
      <c r="M2071" s="6"/>
      <c r="N2071" s="6"/>
      <c r="O2071" s="6"/>
      <c r="P2071" s="6"/>
      <c r="Q2071" s="6"/>
      <c r="R2071" s="6"/>
      <c r="S2071" s="6"/>
      <c r="T2071" s="6"/>
      <c r="U2071" s="6"/>
      <c r="V2071" s="6"/>
      <c r="W2071" s="6"/>
      <c r="X2071" s="6"/>
      <c r="Y2071" s="6"/>
      <c r="Z2071" s="6"/>
    </row>
    <row r="2072" spans="1:26" ht="16.8" x14ac:dyDescent="0.45">
      <c r="A2072" s="6"/>
      <c r="B2072" s="7"/>
      <c r="C2072" s="6"/>
      <c r="D2072" s="6"/>
      <c r="E2072" s="6"/>
      <c r="F2072" s="6"/>
      <c r="G2072" s="6"/>
      <c r="H2072" s="6"/>
      <c r="I2072" s="6"/>
      <c r="J2072" s="6"/>
      <c r="K2072" s="6"/>
      <c r="L2072" s="6"/>
      <c r="M2072" s="6"/>
      <c r="N2072" s="6"/>
      <c r="O2072" s="6"/>
      <c r="P2072" s="6"/>
      <c r="Q2072" s="6"/>
      <c r="R2072" s="6"/>
      <c r="S2072" s="6"/>
      <c r="T2072" s="6"/>
      <c r="U2072" s="6"/>
      <c r="V2072" s="6"/>
      <c r="W2072" s="6"/>
      <c r="X2072" s="6"/>
      <c r="Y2072" s="6"/>
      <c r="Z2072" s="6"/>
    </row>
    <row r="2073" spans="1:26" ht="16.8" x14ac:dyDescent="0.45">
      <c r="A2073" s="6"/>
      <c r="B2073" s="7"/>
      <c r="C2073" s="6"/>
      <c r="D2073" s="6"/>
      <c r="E2073" s="6"/>
      <c r="F2073" s="6"/>
      <c r="G2073" s="6"/>
      <c r="H2073" s="6"/>
      <c r="I2073" s="6"/>
      <c r="J2073" s="6"/>
      <c r="K2073" s="6"/>
      <c r="L2073" s="6"/>
      <c r="M2073" s="6"/>
      <c r="N2073" s="6"/>
      <c r="O2073" s="6"/>
      <c r="P2073" s="6"/>
      <c r="Q2073" s="6"/>
      <c r="R2073" s="6"/>
      <c r="S2073" s="6"/>
      <c r="T2073" s="6"/>
      <c r="U2073" s="6"/>
      <c r="V2073" s="6"/>
      <c r="W2073" s="6"/>
      <c r="X2073" s="6"/>
      <c r="Y2073" s="6"/>
      <c r="Z2073" s="6"/>
    </row>
    <row r="2074" spans="1:26" ht="16.8" x14ac:dyDescent="0.45">
      <c r="A2074" s="6"/>
      <c r="B2074" s="7"/>
      <c r="C2074" s="6"/>
      <c r="D2074" s="6"/>
      <c r="E2074" s="6"/>
      <c r="F2074" s="6"/>
      <c r="G2074" s="6"/>
      <c r="H2074" s="6"/>
      <c r="I2074" s="6"/>
      <c r="J2074" s="6"/>
      <c r="K2074" s="6"/>
      <c r="L2074" s="6"/>
      <c r="M2074" s="6"/>
      <c r="N2074" s="6"/>
      <c r="O2074" s="6"/>
      <c r="P2074" s="6"/>
      <c r="Q2074" s="6"/>
      <c r="R2074" s="6"/>
      <c r="S2074" s="6"/>
      <c r="T2074" s="6"/>
      <c r="U2074" s="6"/>
      <c r="V2074" s="6"/>
      <c r="W2074" s="6"/>
      <c r="X2074" s="6"/>
      <c r="Y2074" s="6"/>
      <c r="Z2074" s="6"/>
    </row>
    <row r="2075" spans="1:26" ht="16.8" x14ac:dyDescent="0.45">
      <c r="A2075" s="6"/>
      <c r="B2075" s="7"/>
      <c r="C2075" s="6"/>
      <c r="D2075" s="6"/>
      <c r="E2075" s="6"/>
      <c r="F2075" s="6"/>
      <c r="G2075" s="6"/>
      <c r="H2075" s="6"/>
      <c r="I2075" s="6"/>
      <c r="J2075" s="6"/>
      <c r="K2075" s="6"/>
      <c r="L2075" s="6"/>
      <c r="M2075" s="6"/>
      <c r="N2075" s="6"/>
      <c r="O2075" s="6"/>
      <c r="P2075" s="6"/>
      <c r="Q2075" s="6"/>
      <c r="R2075" s="6"/>
      <c r="S2075" s="6"/>
      <c r="T2075" s="6"/>
      <c r="U2075" s="6"/>
      <c r="V2075" s="6"/>
      <c r="W2075" s="6"/>
      <c r="X2075" s="6"/>
      <c r="Y2075" s="6"/>
      <c r="Z2075" s="6"/>
    </row>
    <row r="2076" spans="1:26" ht="16.8" x14ac:dyDescent="0.45">
      <c r="A2076" s="6"/>
      <c r="B2076" s="7"/>
      <c r="C2076" s="6"/>
      <c r="D2076" s="6"/>
      <c r="E2076" s="6"/>
      <c r="F2076" s="6"/>
      <c r="G2076" s="6"/>
      <c r="H2076" s="6"/>
      <c r="I2076" s="6"/>
      <c r="J2076" s="6"/>
      <c r="K2076" s="6"/>
      <c r="L2076" s="6"/>
      <c r="M2076" s="6"/>
      <c r="N2076" s="6"/>
      <c r="O2076" s="6"/>
      <c r="P2076" s="6"/>
      <c r="Q2076" s="6"/>
      <c r="R2076" s="6"/>
      <c r="S2076" s="6"/>
      <c r="T2076" s="6"/>
      <c r="U2076" s="6"/>
      <c r="V2076" s="6"/>
      <c r="W2076" s="6"/>
      <c r="X2076" s="6"/>
      <c r="Y2076" s="6"/>
      <c r="Z2076" s="6"/>
    </row>
    <row r="2077" spans="1:26" ht="16.8" x14ac:dyDescent="0.45">
      <c r="A2077" s="6"/>
      <c r="B2077" s="7"/>
      <c r="C2077" s="6"/>
      <c r="D2077" s="6"/>
      <c r="E2077" s="6"/>
      <c r="F2077" s="6"/>
      <c r="G2077" s="6"/>
      <c r="H2077" s="6"/>
      <c r="I2077" s="6"/>
      <c r="J2077" s="6"/>
      <c r="K2077" s="6"/>
      <c r="L2077" s="6"/>
      <c r="M2077" s="6"/>
      <c r="N2077" s="6"/>
      <c r="O2077" s="6"/>
      <c r="P2077" s="6"/>
      <c r="Q2077" s="6"/>
      <c r="R2077" s="6"/>
      <c r="S2077" s="6"/>
      <c r="T2077" s="6"/>
      <c r="U2077" s="6"/>
      <c r="V2077" s="6"/>
      <c r="W2077" s="6"/>
      <c r="X2077" s="6"/>
      <c r="Y2077" s="6"/>
      <c r="Z2077" s="6"/>
    </row>
    <row r="2078" spans="1:26" ht="16.8" x14ac:dyDescent="0.45">
      <c r="A2078" s="6"/>
      <c r="B2078" s="7"/>
      <c r="C2078" s="6"/>
      <c r="D2078" s="6"/>
      <c r="E2078" s="6"/>
      <c r="F2078" s="6"/>
      <c r="G2078" s="6"/>
      <c r="H2078" s="6"/>
      <c r="I2078" s="6"/>
      <c r="J2078" s="6"/>
      <c r="K2078" s="6"/>
      <c r="L2078" s="6"/>
      <c r="M2078" s="6"/>
      <c r="N2078" s="6"/>
      <c r="O2078" s="6"/>
      <c r="P2078" s="6"/>
      <c r="Q2078" s="6"/>
      <c r="R2078" s="6"/>
      <c r="S2078" s="6"/>
      <c r="T2078" s="6"/>
      <c r="U2078" s="6"/>
      <c r="V2078" s="6"/>
      <c r="W2078" s="6"/>
      <c r="X2078" s="6"/>
      <c r="Y2078" s="6"/>
      <c r="Z2078" s="6"/>
    </row>
    <row r="2079" spans="1:26" ht="16.8" x14ac:dyDescent="0.45">
      <c r="A2079" s="6"/>
      <c r="B2079" s="7"/>
      <c r="C2079" s="6"/>
      <c r="D2079" s="6"/>
      <c r="E2079" s="6"/>
      <c r="F2079" s="6"/>
      <c r="G2079" s="6"/>
      <c r="H2079" s="6"/>
      <c r="I2079" s="6"/>
      <c r="J2079" s="6"/>
      <c r="K2079" s="6"/>
      <c r="L2079" s="6"/>
      <c r="M2079" s="6"/>
      <c r="N2079" s="6"/>
      <c r="O2079" s="6"/>
      <c r="P2079" s="6"/>
      <c r="Q2079" s="6"/>
      <c r="R2079" s="6"/>
      <c r="S2079" s="6"/>
      <c r="T2079" s="6"/>
      <c r="U2079" s="6"/>
      <c r="V2079" s="6"/>
      <c r="W2079" s="6"/>
      <c r="X2079" s="6"/>
      <c r="Y2079" s="6"/>
      <c r="Z2079" s="6"/>
    </row>
    <row r="2080" spans="1:26" ht="16.8" x14ac:dyDescent="0.45">
      <c r="A2080" s="6"/>
      <c r="B2080" s="7"/>
      <c r="C2080" s="6"/>
      <c r="D2080" s="6"/>
      <c r="E2080" s="6"/>
      <c r="F2080" s="6"/>
      <c r="G2080" s="6"/>
      <c r="H2080" s="6"/>
      <c r="I2080" s="6"/>
      <c r="J2080" s="6"/>
      <c r="K2080" s="6"/>
      <c r="L2080" s="6"/>
      <c r="M2080" s="6"/>
      <c r="N2080" s="6"/>
      <c r="O2080" s="6"/>
      <c r="P2080" s="6"/>
      <c r="Q2080" s="6"/>
      <c r="R2080" s="6"/>
      <c r="S2080" s="6"/>
      <c r="T2080" s="6"/>
      <c r="U2080" s="6"/>
      <c r="V2080" s="6"/>
      <c r="W2080" s="6"/>
      <c r="X2080" s="6"/>
      <c r="Y2080" s="6"/>
      <c r="Z2080" s="6"/>
    </row>
    <row r="2081" spans="1:26" ht="16.8" x14ac:dyDescent="0.45">
      <c r="A2081" s="6"/>
      <c r="B2081" s="7"/>
      <c r="C2081" s="6"/>
      <c r="D2081" s="6"/>
      <c r="E2081" s="6"/>
      <c r="F2081" s="6"/>
      <c r="G2081" s="6"/>
      <c r="H2081" s="6"/>
      <c r="I2081" s="6"/>
      <c r="J2081" s="6"/>
      <c r="K2081" s="6"/>
      <c r="L2081" s="6"/>
      <c r="M2081" s="6"/>
      <c r="N2081" s="6"/>
      <c r="O2081" s="6"/>
      <c r="P2081" s="6"/>
      <c r="Q2081" s="6"/>
      <c r="R2081" s="6"/>
      <c r="S2081" s="6"/>
      <c r="T2081" s="6"/>
      <c r="U2081" s="6"/>
      <c r="V2081" s="6"/>
      <c r="W2081" s="6"/>
      <c r="X2081" s="6"/>
      <c r="Y2081" s="6"/>
      <c r="Z2081" s="6"/>
    </row>
    <row r="2082" spans="1:26" ht="16.8" x14ac:dyDescent="0.45">
      <c r="A2082" s="6"/>
      <c r="B2082" s="7"/>
      <c r="C2082" s="6"/>
      <c r="D2082" s="6"/>
      <c r="E2082" s="6"/>
      <c r="F2082" s="6"/>
      <c r="G2082" s="6"/>
      <c r="H2082" s="6"/>
      <c r="I2082" s="6"/>
      <c r="J2082" s="6"/>
      <c r="K2082" s="6"/>
      <c r="L2082" s="6"/>
      <c r="M2082" s="6"/>
      <c r="N2082" s="6"/>
      <c r="O2082" s="6"/>
      <c r="P2082" s="6"/>
      <c r="Q2082" s="6"/>
      <c r="R2082" s="6"/>
      <c r="S2082" s="6"/>
      <c r="T2082" s="6"/>
      <c r="U2082" s="6"/>
      <c r="V2082" s="6"/>
      <c r="W2082" s="6"/>
      <c r="X2082" s="6"/>
      <c r="Y2082" s="6"/>
      <c r="Z2082" s="6"/>
    </row>
    <row r="2083" spans="1:26" ht="16.8" x14ac:dyDescent="0.45">
      <c r="A2083" s="6"/>
      <c r="B2083" s="7"/>
      <c r="C2083" s="6"/>
      <c r="D2083" s="6"/>
      <c r="E2083" s="6"/>
      <c r="F2083" s="6"/>
      <c r="G2083" s="6"/>
      <c r="H2083" s="6"/>
      <c r="I2083" s="6"/>
      <c r="J2083" s="6"/>
      <c r="K2083" s="6"/>
      <c r="L2083" s="6"/>
      <c r="M2083" s="6"/>
      <c r="N2083" s="6"/>
      <c r="O2083" s="6"/>
      <c r="P2083" s="6"/>
      <c r="Q2083" s="6"/>
      <c r="R2083" s="6"/>
      <c r="S2083" s="6"/>
      <c r="T2083" s="6"/>
      <c r="U2083" s="6"/>
      <c r="V2083" s="6"/>
      <c r="W2083" s="6"/>
      <c r="X2083" s="6"/>
      <c r="Y2083" s="6"/>
      <c r="Z2083" s="6"/>
    </row>
    <row r="2084" spans="1:26" ht="16.8" x14ac:dyDescent="0.45">
      <c r="A2084" s="6"/>
      <c r="B2084" s="7"/>
      <c r="C2084" s="6"/>
      <c r="D2084" s="6"/>
      <c r="E2084" s="6"/>
      <c r="F2084" s="6"/>
      <c r="G2084" s="6"/>
      <c r="H2084" s="6"/>
      <c r="I2084" s="6"/>
      <c r="J2084" s="6"/>
      <c r="K2084" s="6"/>
      <c r="L2084" s="6"/>
      <c r="M2084" s="6"/>
      <c r="N2084" s="6"/>
      <c r="O2084" s="6"/>
      <c r="P2084" s="6"/>
      <c r="Q2084" s="6"/>
      <c r="R2084" s="6"/>
      <c r="S2084" s="6"/>
      <c r="T2084" s="6"/>
      <c r="U2084" s="6"/>
      <c r="V2084" s="6"/>
      <c r="W2084" s="6"/>
      <c r="X2084" s="6"/>
      <c r="Y2084" s="6"/>
      <c r="Z2084" s="6"/>
    </row>
    <row r="2085" spans="1:26" ht="16.8" x14ac:dyDescent="0.45">
      <c r="A2085" s="6"/>
      <c r="B2085" s="7"/>
      <c r="C2085" s="6"/>
      <c r="D2085" s="6"/>
      <c r="E2085" s="6"/>
      <c r="F2085" s="6"/>
      <c r="G2085" s="6"/>
      <c r="H2085" s="6"/>
      <c r="I2085" s="6"/>
      <c r="J2085" s="6"/>
      <c r="K2085" s="6"/>
      <c r="L2085" s="6"/>
      <c r="M2085" s="6"/>
      <c r="N2085" s="6"/>
      <c r="O2085" s="6"/>
      <c r="P2085" s="6"/>
      <c r="Q2085" s="6"/>
      <c r="R2085" s="6"/>
      <c r="S2085" s="6"/>
      <c r="T2085" s="6"/>
      <c r="U2085" s="6"/>
      <c r="V2085" s="6"/>
      <c r="W2085" s="6"/>
      <c r="X2085" s="6"/>
      <c r="Y2085" s="6"/>
      <c r="Z2085" s="6"/>
    </row>
    <row r="2086" spans="1:26" ht="16.8" x14ac:dyDescent="0.45">
      <c r="A2086" s="6"/>
      <c r="B2086" s="7"/>
      <c r="C2086" s="6"/>
      <c r="D2086" s="6"/>
      <c r="E2086" s="6"/>
      <c r="F2086" s="6"/>
      <c r="G2086" s="6"/>
      <c r="H2086" s="6"/>
      <c r="I2086" s="6"/>
      <c r="J2086" s="6"/>
      <c r="K2086" s="6"/>
      <c r="L2086" s="6"/>
      <c r="M2086" s="6"/>
      <c r="N2086" s="6"/>
      <c r="O2086" s="6"/>
      <c r="P2086" s="6"/>
      <c r="Q2086" s="6"/>
      <c r="R2086" s="6"/>
      <c r="S2086" s="6"/>
      <c r="T2086" s="6"/>
      <c r="U2086" s="6"/>
      <c r="V2086" s="6"/>
      <c r="W2086" s="6"/>
      <c r="X2086" s="6"/>
      <c r="Y2086" s="6"/>
      <c r="Z2086" s="6"/>
    </row>
    <row r="2087" spans="1:26" ht="16.8" x14ac:dyDescent="0.45">
      <c r="A2087" s="6"/>
      <c r="B2087" s="7"/>
      <c r="C2087" s="6"/>
      <c r="D2087" s="6"/>
      <c r="E2087" s="6"/>
      <c r="F2087" s="6"/>
      <c r="G2087" s="6"/>
      <c r="H2087" s="6"/>
      <c r="I2087" s="6"/>
      <c r="J2087" s="6"/>
      <c r="K2087" s="6"/>
      <c r="L2087" s="6"/>
      <c r="M2087" s="6"/>
      <c r="N2087" s="6"/>
      <c r="O2087" s="6"/>
      <c r="P2087" s="6"/>
      <c r="Q2087" s="6"/>
      <c r="R2087" s="6"/>
      <c r="S2087" s="6"/>
      <c r="T2087" s="6"/>
      <c r="U2087" s="6"/>
      <c r="V2087" s="6"/>
      <c r="W2087" s="6"/>
      <c r="X2087" s="6"/>
      <c r="Y2087" s="6"/>
      <c r="Z2087" s="6"/>
    </row>
    <row r="2088" spans="1:26" ht="16.8" x14ac:dyDescent="0.45">
      <c r="A2088" s="6"/>
      <c r="B2088" s="7"/>
      <c r="C2088" s="6"/>
      <c r="D2088" s="6"/>
      <c r="E2088" s="6"/>
      <c r="F2088" s="6"/>
      <c r="G2088" s="6"/>
      <c r="H2088" s="6"/>
      <c r="I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</row>
    <row r="2089" spans="1:26" ht="16.8" x14ac:dyDescent="0.45">
      <c r="A2089" s="6"/>
      <c r="B2089" s="7"/>
      <c r="C2089" s="6"/>
      <c r="D2089" s="6"/>
      <c r="E2089" s="6"/>
      <c r="F2089" s="6"/>
      <c r="G2089" s="6"/>
      <c r="H2089" s="6"/>
      <c r="I2089" s="6"/>
      <c r="J2089" s="6"/>
      <c r="K2089" s="6"/>
      <c r="L2089" s="6"/>
      <c r="M2089" s="6"/>
      <c r="N2089" s="6"/>
      <c r="O2089" s="6"/>
      <c r="P2089" s="6"/>
      <c r="Q2089" s="6"/>
      <c r="R2089" s="6"/>
      <c r="S2089" s="6"/>
      <c r="T2089" s="6"/>
      <c r="U2089" s="6"/>
      <c r="V2089" s="6"/>
      <c r="W2089" s="6"/>
      <c r="X2089" s="6"/>
      <c r="Y2089" s="6"/>
      <c r="Z2089" s="6"/>
    </row>
    <row r="2090" spans="1:26" ht="16.8" x14ac:dyDescent="0.45">
      <c r="A2090" s="6"/>
      <c r="B2090" s="7"/>
      <c r="C2090" s="6"/>
      <c r="D2090" s="6"/>
      <c r="E2090" s="6"/>
      <c r="F2090" s="6"/>
      <c r="G2090" s="6"/>
      <c r="H2090" s="6"/>
      <c r="I2090" s="6"/>
      <c r="J2090" s="6"/>
      <c r="K2090" s="6"/>
      <c r="L2090" s="6"/>
      <c r="M2090" s="6"/>
      <c r="N2090" s="6"/>
      <c r="O2090" s="6"/>
      <c r="P2090" s="6"/>
      <c r="Q2090" s="6"/>
      <c r="R2090" s="6"/>
      <c r="S2090" s="6"/>
      <c r="T2090" s="6"/>
      <c r="U2090" s="6"/>
      <c r="V2090" s="6"/>
      <c r="W2090" s="6"/>
      <c r="X2090" s="6"/>
      <c r="Y2090" s="6"/>
      <c r="Z2090" s="6"/>
    </row>
    <row r="2091" spans="1:26" ht="16.8" x14ac:dyDescent="0.45">
      <c r="A2091" s="6"/>
      <c r="B2091" s="7"/>
      <c r="C2091" s="6"/>
      <c r="D2091" s="6"/>
      <c r="E2091" s="6"/>
      <c r="F2091" s="6"/>
      <c r="G2091" s="6"/>
      <c r="H2091" s="6"/>
      <c r="I2091" s="6"/>
      <c r="J2091" s="6"/>
      <c r="K2091" s="6"/>
      <c r="L2091" s="6"/>
      <c r="M2091" s="6"/>
      <c r="N2091" s="6"/>
      <c r="O2091" s="6"/>
      <c r="P2091" s="6"/>
      <c r="Q2091" s="6"/>
      <c r="R2091" s="6"/>
      <c r="S2091" s="6"/>
      <c r="T2091" s="6"/>
      <c r="U2091" s="6"/>
      <c r="V2091" s="6"/>
      <c r="W2091" s="6"/>
      <c r="X2091" s="6"/>
      <c r="Y2091" s="6"/>
      <c r="Z2091" s="6"/>
    </row>
    <row r="2092" spans="1:26" ht="16.8" x14ac:dyDescent="0.45">
      <c r="A2092" s="6"/>
      <c r="B2092" s="7"/>
      <c r="C2092" s="6"/>
      <c r="D2092" s="6"/>
      <c r="E2092" s="6"/>
      <c r="F2092" s="6"/>
      <c r="G2092" s="6"/>
      <c r="H2092" s="6"/>
      <c r="I2092" s="6"/>
      <c r="J2092" s="6"/>
      <c r="K2092" s="6"/>
      <c r="L2092" s="6"/>
      <c r="M2092" s="6"/>
      <c r="N2092" s="6"/>
      <c r="O2092" s="6"/>
      <c r="P2092" s="6"/>
      <c r="Q2092" s="6"/>
      <c r="R2092" s="6"/>
      <c r="S2092" s="6"/>
      <c r="T2092" s="6"/>
      <c r="U2092" s="6"/>
      <c r="V2092" s="6"/>
      <c r="W2092" s="6"/>
      <c r="X2092" s="6"/>
      <c r="Y2092" s="6"/>
      <c r="Z2092" s="6"/>
    </row>
    <row r="2093" spans="1:26" ht="16.8" x14ac:dyDescent="0.45">
      <c r="A2093" s="6"/>
      <c r="B2093" s="7"/>
      <c r="C2093" s="6"/>
      <c r="D2093" s="6"/>
      <c r="E2093" s="6"/>
      <c r="F2093" s="6"/>
      <c r="G2093" s="6"/>
      <c r="H2093" s="6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</row>
    <row r="2094" spans="1:26" ht="16.8" x14ac:dyDescent="0.45">
      <c r="A2094" s="6"/>
      <c r="B2094" s="7"/>
      <c r="C2094" s="6"/>
      <c r="D2094" s="6"/>
      <c r="E2094" s="6"/>
      <c r="F2094" s="6"/>
      <c r="G2094" s="6"/>
      <c r="H2094" s="6"/>
      <c r="I2094" s="6"/>
      <c r="J2094" s="6"/>
      <c r="K2094" s="6"/>
      <c r="L2094" s="6"/>
      <c r="M2094" s="6"/>
      <c r="N2094" s="6"/>
      <c r="O2094" s="6"/>
      <c r="P2094" s="6"/>
      <c r="Q2094" s="6"/>
      <c r="R2094" s="6"/>
      <c r="S2094" s="6"/>
      <c r="T2094" s="6"/>
      <c r="U2094" s="6"/>
      <c r="V2094" s="6"/>
      <c r="W2094" s="6"/>
      <c r="X2094" s="6"/>
      <c r="Y2094" s="6"/>
      <c r="Z2094" s="6"/>
    </row>
    <row r="2095" spans="1:26" ht="16.8" x14ac:dyDescent="0.45">
      <c r="A2095" s="6"/>
      <c r="B2095" s="7"/>
      <c r="C2095" s="6"/>
      <c r="D2095" s="6"/>
      <c r="E2095" s="6"/>
      <c r="F2095" s="6"/>
      <c r="G2095" s="6"/>
      <c r="H2095" s="6"/>
      <c r="I2095" s="6"/>
      <c r="J2095" s="6"/>
      <c r="K2095" s="6"/>
      <c r="L2095" s="6"/>
      <c r="M2095" s="6"/>
      <c r="N2095" s="6"/>
      <c r="O2095" s="6"/>
      <c r="P2095" s="6"/>
      <c r="Q2095" s="6"/>
      <c r="R2095" s="6"/>
      <c r="S2095" s="6"/>
      <c r="T2095" s="6"/>
      <c r="U2095" s="6"/>
      <c r="V2095" s="6"/>
      <c r="W2095" s="6"/>
      <c r="X2095" s="6"/>
      <c r="Y2095" s="6"/>
      <c r="Z2095" s="6"/>
    </row>
    <row r="2096" spans="1:26" ht="16.8" x14ac:dyDescent="0.45">
      <c r="A2096" s="6"/>
      <c r="B2096" s="7"/>
      <c r="C2096" s="6"/>
      <c r="D2096" s="6"/>
      <c r="E2096" s="6"/>
      <c r="F2096" s="6"/>
      <c r="G2096" s="6"/>
      <c r="H2096" s="6"/>
      <c r="I2096" s="6"/>
      <c r="J2096" s="6"/>
      <c r="K2096" s="6"/>
      <c r="L2096" s="6"/>
      <c r="M2096" s="6"/>
      <c r="N2096" s="6"/>
      <c r="O2096" s="6"/>
      <c r="P2096" s="6"/>
      <c r="Q2096" s="6"/>
      <c r="R2096" s="6"/>
      <c r="S2096" s="6"/>
      <c r="T2096" s="6"/>
      <c r="U2096" s="6"/>
      <c r="V2096" s="6"/>
      <c r="W2096" s="6"/>
      <c r="X2096" s="6"/>
      <c r="Y2096" s="6"/>
      <c r="Z2096" s="6"/>
    </row>
    <row r="2097" spans="1:26" ht="16.8" x14ac:dyDescent="0.45">
      <c r="A2097" s="6"/>
      <c r="B2097" s="7"/>
      <c r="C2097" s="6"/>
      <c r="D2097" s="6"/>
      <c r="E2097" s="6"/>
      <c r="F2097" s="6"/>
      <c r="G2097" s="6"/>
      <c r="H2097" s="6"/>
      <c r="I2097" s="6"/>
      <c r="J2097" s="6"/>
      <c r="K2097" s="6"/>
      <c r="L2097" s="6"/>
      <c r="M2097" s="6"/>
      <c r="N2097" s="6"/>
      <c r="O2097" s="6"/>
      <c r="P2097" s="6"/>
      <c r="Q2097" s="6"/>
      <c r="R2097" s="6"/>
      <c r="S2097" s="6"/>
      <c r="T2097" s="6"/>
      <c r="U2097" s="6"/>
      <c r="V2097" s="6"/>
      <c r="W2097" s="6"/>
      <c r="X2097" s="6"/>
      <c r="Y2097" s="6"/>
      <c r="Z2097" s="6"/>
    </row>
    <row r="2098" spans="1:26" ht="16.8" x14ac:dyDescent="0.45">
      <c r="A2098" s="6"/>
      <c r="B2098" s="7"/>
      <c r="C2098" s="6"/>
      <c r="D2098" s="6"/>
      <c r="E2098" s="6"/>
      <c r="F2098" s="6"/>
      <c r="G2098" s="6"/>
      <c r="H2098" s="6"/>
      <c r="I2098" s="6"/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</row>
    <row r="2099" spans="1:26" ht="16.8" x14ac:dyDescent="0.45">
      <c r="A2099" s="6"/>
      <c r="B2099" s="7"/>
      <c r="C2099" s="6"/>
      <c r="D2099" s="6"/>
      <c r="E2099" s="6"/>
      <c r="F2099" s="6"/>
      <c r="G2099" s="6"/>
      <c r="H2099" s="6"/>
      <c r="I2099" s="6"/>
      <c r="J2099" s="6"/>
      <c r="K2099" s="6"/>
      <c r="L2099" s="6"/>
      <c r="M2099" s="6"/>
      <c r="N2099" s="6"/>
      <c r="O2099" s="6"/>
      <c r="P2099" s="6"/>
      <c r="Q2099" s="6"/>
      <c r="R2099" s="6"/>
      <c r="S2099" s="6"/>
      <c r="T2099" s="6"/>
      <c r="U2099" s="6"/>
      <c r="V2099" s="6"/>
      <c r="W2099" s="6"/>
      <c r="X2099" s="6"/>
      <c r="Y2099" s="6"/>
      <c r="Z2099" s="6"/>
    </row>
    <row r="2100" spans="1:26" ht="16.8" x14ac:dyDescent="0.45">
      <c r="A2100" s="6"/>
      <c r="B2100" s="7"/>
      <c r="C2100" s="6"/>
      <c r="D2100" s="6"/>
      <c r="E2100" s="6"/>
      <c r="F2100" s="6"/>
      <c r="G2100" s="6"/>
      <c r="H2100" s="6"/>
      <c r="I2100" s="6"/>
      <c r="J2100" s="6"/>
      <c r="K2100" s="6"/>
      <c r="L2100" s="6"/>
      <c r="M2100" s="6"/>
      <c r="N2100" s="6"/>
      <c r="O2100" s="6"/>
      <c r="P2100" s="6"/>
      <c r="Q2100" s="6"/>
      <c r="R2100" s="6"/>
      <c r="S2100" s="6"/>
      <c r="T2100" s="6"/>
      <c r="U2100" s="6"/>
      <c r="V2100" s="6"/>
      <c r="W2100" s="6"/>
      <c r="X2100" s="6"/>
      <c r="Y2100" s="6"/>
      <c r="Z2100" s="6"/>
    </row>
    <row r="2101" spans="1:26" ht="16.8" x14ac:dyDescent="0.45">
      <c r="A2101" s="6"/>
      <c r="B2101" s="7"/>
      <c r="C2101" s="6"/>
      <c r="D2101" s="6"/>
      <c r="E2101" s="6"/>
      <c r="F2101" s="6"/>
      <c r="G2101" s="6"/>
      <c r="H2101" s="6"/>
      <c r="I2101" s="6"/>
      <c r="J2101" s="6"/>
      <c r="K2101" s="6"/>
      <c r="L2101" s="6"/>
      <c r="M2101" s="6"/>
      <c r="N2101" s="6"/>
      <c r="O2101" s="6"/>
      <c r="P2101" s="6"/>
      <c r="Q2101" s="6"/>
      <c r="R2101" s="6"/>
      <c r="S2101" s="6"/>
      <c r="T2101" s="6"/>
      <c r="U2101" s="6"/>
      <c r="V2101" s="6"/>
      <c r="W2101" s="6"/>
      <c r="X2101" s="6"/>
      <c r="Y2101" s="6"/>
      <c r="Z2101" s="6"/>
    </row>
    <row r="2102" spans="1:26" ht="16.8" x14ac:dyDescent="0.45">
      <c r="A2102" s="6"/>
      <c r="B2102" s="7"/>
      <c r="C2102" s="6"/>
      <c r="D2102" s="6"/>
      <c r="E2102" s="6"/>
      <c r="F2102" s="6"/>
      <c r="G2102" s="6"/>
      <c r="H2102" s="6"/>
      <c r="I2102" s="6"/>
      <c r="J2102" s="6"/>
      <c r="K2102" s="6"/>
      <c r="L2102" s="6"/>
      <c r="M2102" s="6"/>
      <c r="N2102" s="6"/>
      <c r="O2102" s="6"/>
      <c r="P2102" s="6"/>
      <c r="Q2102" s="6"/>
      <c r="R2102" s="6"/>
      <c r="S2102" s="6"/>
      <c r="T2102" s="6"/>
      <c r="U2102" s="6"/>
      <c r="V2102" s="6"/>
      <c r="W2102" s="6"/>
      <c r="X2102" s="6"/>
      <c r="Y2102" s="6"/>
      <c r="Z2102" s="6"/>
    </row>
    <row r="2103" spans="1:26" ht="16.8" x14ac:dyDescent="0.45">
      <c r="A2103" s="6"/>
      <c r="B2103" s="7"/>
      <c r="C2103" s="6"/>
      <c r="D2103" s="6"/>
      <c r="E2103" s="6"/>
      <c r="F2103" s="6"/>
      <c r="G2103" s="6"/>
      <c r="H2103" s="6"/>
      <c r="I2103" s="6"/>
      <c r="J2103" s="6"/>
      <c r="K2103" s="6"/>
      <c r="L2103" s="6"/>
      <c r="M2103" s="6"/>
      <c r="N2103" s="6"/>
      <c r="O2103" s="6"/>
      <c r="P2103" s="6"/>
      <c r="Q2103" s="6"/>
      <c r="R2103" s="6"/>
      <c r="S2103" s="6"/>
      <c r="T2103" s="6"/>
      <c r="U2103" s="6"/>
      <c r="V2103" s="6"/>
      <c r="W2103" s="6"/>
      <c r="X2103" s="6"/>
      <c r="Y2103" s="6"/>
      <c r="Z2103" s="6"/>
    </row>
    <row r="2104" spans="1:26" ht="16.8" x14ac:dyDescent="0.45">
      <c r="A2104" s="6"/>
      <c r="B2104" s="7"/>
      <c r="C2104" s="6"/>
      <c r="D2104" s="6"/>
      <c r="E2104" s="6"/>
      <c r="F2104" s="6"/>
      <c r="G2104" s="6"/>
      <c r="H2104" s="6"/>
      <c r="I2104" s="6"/>
      <c r="J2104" s="6"/>
      <c r="K2104" s="6"/>
      <c r="L2104" s="6"/>
      <c r="M2104" s="6"/>
      <c r="N2104" s="6"/>
      <c r="O2104" s="6"/>
      <c r="P2104" s="6"/>
      <c r="Q2104" s="6"/>
      <c r="R2104" s="6"/>
      <c r="S2104" s="6"/>
      <c r="T2104" s="6"/>
      <c r="U2104" s="6"/>
      <c r="V2104" s="6"/>
      <c r="W2104" s="6"/>
      <c r="X2104" s="6"/>
      <c r="Y2104" s="6"/>
      <c r="Z2104" s="6"/>
    </row>
    <row r="2105" spans="1:26" ht="16.8" x14ac:dyDescent="0.45">
      <c r="A2105" s="6"/>
      <c r="B2105" s="7"/>
      <c r="C2105" s="6"/>
      <c r="D2105" s="6"/>
      <c r="E2105" s="6"/>
      <c r="F2105" s="6"/>
      <c r="G2105" s="6"/>
      <c r="H2105" s="6"/>
      <c r="I2105" s="6"/>
      <c r="J2105" s="6"/>
      <c r="K2105" s="6"/>
      <c r="L2105" s="6"/>
      <c r="M2105" s="6"/>
      <c r="N2105" s="6"/>
      <c r="O2105" s="6"/>
      <c r="P2105" s="6"/>
      <c r="Q2105" s="6"/>
      <c r="R2105" s="6"/>
      <c r="S2105" s="6"/>
      <c r="T2105" s="6"/>
      <c r="U2105" s="6"/>
      <c r="V2105" s="6"/>
      <c r="W2105" s="6"/>
      <c r="X2105" s="6"/>
      <c r="Y2105" s="6"/>
      <c r="Z2105" s="6"/>
    </row>
    <row r="2106" spans="1:26" ht="16.8" x14ac:dyDescent="0.45">
      <c r="A2106" s="6"/>
      <c r="B2106" s="7"/>
      <c r="C2106" s="6"/>
      <c r="D2106" s="6"/>
      <c r="E2106" s="6"/>
      <c r="F2106" s="6"/>
      <c r="G2106" s="6"/>
      <c r="H2106" s="6"/>
      <c r="I2106" s="6"/>
      <c r="J2106" s="6"/>
      <c r="K2106" s="6"/>
      <c r="L2106" s="6"/>
      <c r="M2106" s="6"/>
      <c r="N2106" s="6"/>
      <c r="O2106" s="6"/>
      <c r="P2106" s="6"/>
      <c r="Q2106" s="6"/>
      <c r="R2106" s="6"/>
      <c r="S2106" s="6"/>
      <c r="T2106" s="6"/>
      <c r="U2106" s="6"/>
      <c r="V2106" s="6"/>
      <c r="W2106" s="6"/>
      <c r="X2106" s="6"/>
      <c r="Y2106" s="6"/>
      <c r="Z2106" s="6"/>
    </row>
    <row r="2107" spans="1:26" ht="16.8" x14ac:dyDescent="0.45">
      <c r="A2107" s="6"/>
      <c r="B2107" s="7"/>
      <c r="C2107" s="6"/>
      <c r="D2107" s="6"/>
      <c r="E2107" s="6"/>
      <c r="F2107" s="6"/>
      <c r="G2107" s="6"/>
      <c r="H2107" s="6"/>
      <c r="I2107" s="6"/>
      <c r="J2107" s="6"/>
      <c r="K2107" s="6"/>
      <c r="L2107" s="6"/>
      <c r="M2107" s="6"/>
      <c r="N2107" s="6"/>
      <c r="O2107" s="6"/>
      <c r="P2107" s="6"/>
      <c r="Q2107" s="6"/>
      <c r="R2107" s="6"/>
      <c r="S2107" s="6"/>
      <c r="T2107" s="6"/>
      <c r="U2107" s="6"/>
      <c r="V2107" s="6"/>
      <c r="W2107" s="6"/>
      <c r="X2107" s="6"/>
      <c r="Y2107" s="6"/>
      <c r="Z2107" s="6"/>
    </row>
    <row r="2108" spans="1:26" ht="16.8" x14ac:dyDescent="0.45">
      <c r="A2108" s="6"/>
      <c r="B2108" s="7"/>
      <c r="C2108" s="6"/>
      <c r="D2108" s="6"/>
      <c r="E2108" s="6"/>
      <c r="F2108" s="6"/>
      <c r="G2108" s="6"/>
      <c r="H2108" s="6"/>
      <c r="I2108" s="6"/>
      <c r="J2108" s="6"/>
      <c r="K2108" s="6"/>
      <c r="L2108" s="6"/>
      <c r="M2108" s="6"/>
      <c r="N2108" s="6"/>
      <c r="O2108" s="6"/>
      <c r="P2108" s="6"/>
      <c r="Q2108" s="6"/>
      <c r="R2108" s="6"/>
      <c r="S2108" s="6"/>
      <c r="T2108" s="6"/>
      <c r="U2108" s="6"/>
      <c r="V2108" s="6"/>
      <c r="W2108" s="6"/>
      <c r="X2108" s="6"/>
      <c r="Y2108" s="6"/>
      <c r="Z2108" s="6"/>
    </row>
    <row r="2109" spans="1:26" ht="16.8" x14ac:dyDescent="0.45">
      <c r="A2109" s="6"/>
      <c r="B2109" s="7"/>
      <c r="C2109" s="6"/>
      <c r="D2109" s="6"/>
      <c r="E2109" s="6"/>
      <c r="F2109" s="6"/>
      <c r="G2109" s="6"/>
      <c r="H2109" s="6"/>
      <c r="I2109" s="6"/>
      <c r="J2109" s="6"/>
      <c r="K2109" s="6"/>
      <c r="L2109" s="6"/>
      <c r="M2109" s="6"/>
      <c r="N2109" s="6"/>
      <c r="O2109" s="6"/>
      <c r="P2109" s="6"/>
      <c r="Q2109" s="6"/>
      <c r="R2109" s="6"/>
      <c r="S2109" s="6"/>
      <c r="T2109" s="6"/>
      <c r="U2109" s="6"/>
      <c r="V2109" s="6"/>
      <c r="W2109" s="6"/>
      <c r="X2109" s="6"/>
      <c r="Y2109" s="6"/>
      <c r="Z2109" s="6"/>
    </row>
    <row r="2110" spans="1:26" ht="16.8" x14ac:dyDescent="0.45">
      <c r="A2110" s="6"/>
      <c r="B2110" s="7"/>
      <c r="C2110" s="6"/>
      <c r="D2110" s="6"/>
      <c r="E2110" s="6"/>
      <c r="F2110" s="6"/>
      <c r="G2110" s="6"/>
      <c r="H2110" s="6"/>
      <c r="I2110" s="6"/>
      <c r="J2110" s="6"/>
      <c r="K2110" s="6"/>
      <c r="L2110" s="6"/>
      <c r="M2110" s="6"/>
      <c r="N2110" s="6"/>
      <c r="O2110" s="6"/>
      <c r="P2110" s="6"/>
      <c r="Q2110" s="6"/>
      <c r="R2110" s="6"/>
      <c r="S2110" s="6"/>
      <c r="T2110" s="6"/>
      <c r="U2110" s="6"/>
      <c r="V2110" s="6"/>
      <c r="W2110" s="6"/>
      <c r="X2110" s="6"/>
      <c r="Y2110" s="6"/>
      <c r="Z2110" s="6"/>
    </row>
    <row r="2111" spans="1:26" ht="16.8" x14ac:dyDescent="0.45">
      <c r="A2111" s="6"/>
      <c r="B2111" s="7"/>
      <c r="C2111" s="6"/>
      <c r="D2111" s="6"/>
      <c r="E2111" s="6"/>
      <c r="F2111" s="6"/>
      <c r="G2111" s="6"/>
      <c r="H2111" s="6"/>
      <c r="I2111" s="6"/>
      <c r="J2111" s="6"/>
      <c r="K2111" s="6"/>
      <c r="L2111" s="6"/>
      <c r="M2111" s="6"/>
      <c r="N2111" s="6"/>
      <c r="O2111" s="6"/>
      <c r="P2111" s="6"/>
      <c r="Q2111" s="6"/>
      <c r="R2111" s="6"/>
      <c r="S2111" s="6"/>
      <c r="T2111" s="6"/>
      <c r="U2111" s="6"/>
      <c r="V2111" s="6"/>
      <c r="W2111" s="6"/>
      <c r="X2111" s="6"/>
      <c r="Y2111" s="6"/>
      <c r="Z2111" s="6"/>
    </row>
    <row r="2112" spans="1:26" ht="16.8" x14ac:dyDescent="0.45">
      <c r="A2112" s="6"/>
      <c r="B2112" s="7"/>
      <c r="C2112" s="6"/>
      <c r="D2112" s="6"/>
      <c r="E2112" s="6"/>
      <c r="F2112" s="6"/>
      <c r="G2112" s="6"/>
      <c r="H2112" s="6"/>
      <c r="I2112" s="6"/>
      <c r="J2112" s="6"/>
      <c r="K2112" s="6"/>
      <c r="L2112" s="6"/>
      <c r="M2112" s="6"/>
      <c r="N2112" s="6"/>
      <c r="O2112" s="6"/>
      <c r="P2112" s="6"/>
      <c r="Q2112" s="6"/>
      <c r="R2112" s="6"/>
      <c r="S2112" s="6"/>
      <c r="T2112" s="6"/>
      <c r="U2112" s="6"/>
      <c r="V2112" s="6"/>
      <c r="W2112" s="6"/>
      <c r="X2112" s="6"/>
      <c r="Y2112" s="6"/>
      <c r="Z2112" s="6"/>
    </row>
    <row r="2113" spans="1:26" ht="16.8" x14ac:dyDescent="0.45">
      <c r="A2113" s="6"/>
      <c r="B2113" s="7"/>
      <c r="C2113" s="6"/>
      <c r="D2113" s="6"/>
      <c r="E2113" s="6"/>
      <c r="F2113" s="6"/>
      <c r="G2113" s="6"/>
      <c r="H2113" s="6"/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</row>
    <row r="2114" spans="1:26" ht="16.8" x14ac:dyDescent="0.45">
      <c r="A2114" s="6"/>
      <c r="B2114" s="7"/>
      <c r="C2114" s="6"/>
      <c r="D2114" s="6"/>
      <c r="E2114" s="6"/>
      <c r="F2114" s="6"/>
      <c r="G2114" s="6"/>
      <c r="H2114" s="6"/>
      <c r="I2114" s="6"/>
      <c r="J2114" s="6"/>
      <c r="K2114" s="6"/>
      <c r="L2114" s="6"/>
      <c r="M2114" s="6"/>
      <c r="N2114" s="6"/>
      <c r="O2114" s="6"/>
      <c r="P2114" s="6"/>
      <c r="Q2114" s="6"/>
      <c r="R2114" s="6"/>
      <c r="S2114" s="6"/>
      <c r="T2114" s="6"/>
      <c r="U2114" s="6"/>
      <c r="V2114" s="6"/>
      <c r="W2114" s="6"/>
      <c r="X2114" s="6"/>
      <c r="Y2114" s="6"/>
      <c r="Z2114" s="6"/>
    </row>
    <row r="2115" spans="1:26" ht="16.8" x14ac:dyDescent="0.45">
      <c r="A2115" s="6"/>
      <c r="B2115" s="7"/>
      <c r="C2115" s="6"/>
      <c r="D2115" s="6"/>
      <c r="E2115" s="6"/>
      <c r="F2115" s="6"/>
      <c r="G2115" s="6"/>
      <c r="H2115" s="6"/>
      <c r="I2115" s="6"/>
      <c r="J2115" s="6"/>
      <c r="K2115" s="6"/>
      <c r="L2115" s="6"/>
      <c r="M2115" s="6"/>
      <c r="N2115" s="6"/>
      <c r="O2115" s="6"/>
      <c r="P2115" s="6"/>
      <c r="Q2115" s="6"/>
      <c r="R2115" s="6"/>
      <c r="S2115" s="6"/>
      <c r="T2115" s="6"/>
      <c r="U2115" s="6"/>
      <c r="V2115" s="6"/>
      <c r="W2115" s="6"/>
      <c r="X2115" s="6"/>
      <c r="Y2115" s="6"/>
      <c r="Z2115" s="6"/>
    </row>
    <row r="2116" spans="1:26" ht="16.8" x14ac:dyDescent="0.45">
      <c r="A2116" s="6"/>
      <c r="B2116" s="7"/>
      <c r="C2116" s="6"/>
      <c r="D2116" s="6"/>
      <c r="E2116" s="6"/>
      <c r="F2116" s="6"/>
      <c r="G2116" s="6"/>
      <c r="H2116" s="6"/>
      <c r="I2116" s="6"/>
      <c r="J2116" s="6"/>
      <c r="K2116" s="6"/>
      <c r="L2116" s="6"/>
      <c r="M2116" s="6"/>
      <c r="N2116" s="6"/>
      <c r="O2116" s="6"/>
      <c r="P2116" s="6"/>
      <c r="Q2116" s="6"/>
      <c r="R2116" s="6"/>
      <c r="S2116" s="6"/>
      <c r="T2116" s="6"/>
      <c r="U2116" s="6"/>
      <c r="V2116" s="6"/>
      <c r="W2116" s="6"/>
      <c r="X2116" s="6"/>
      <c r="Y2116" s="6"/>
      <c r="Z2116" s="6"/>
    </row>
    <row r="2117" spans="1:26" ht="16.8" x14ac:dyDescent="0.45">
      <c r="A2117" s="6"/>
      <c r="B2117" s="7"/>
      <c r="C2117" s="6"/>
      <c r="D2117" s="6"/>
      <c r="E2117" s="6"/>
      <c r="F2117" s="6"/>
      <c r="G2117" s="6"/>
      <c r="H2117" s="6"/>
      <c r="I2117" s="6"/>
      <c r="J2117" s="6"/>
      <c r="K2117" s="6"/>
      <c r="L2117" s="6"/>
      <c r="M2117" s="6"/>
      <c r="N2117" s="6"/>
      <c r="O2117" s="6"/>
      <c r="P2117" s="6"/>
      <c r="Q2117" s="6"/>
      <c r="R2117" s="6"/>
      <c r="S2117" s="6"/>
      <c r="T2117" s="6"/>
      <c r="U2117" s="6"/>
      <c r="V2117" s="6"/>
      <c r="W2117" s="6"/>
      <c r="X2117" s="6"/>
      <c r="Y2117" s="6"/>
      <c r="Z2117" s="6"/>
    </row>
    <row r="2118" spans="1:26" ht="16.8" x14ac:dyDescent="0.45">
      <c r="A2118" s="6"/>
      <c r="B2118" s="7"/>
      <c r="C2118" s="6"/>
      <c r="D2118" s="6"/>
      <c r="E2118" s="6"/>
      <c r="F2118" s="6"/>
      <c r="G2118" s="6"/>
      <c r="H2118" s="6"/>
      <c r="I2118" s="6"/>
      <c r="J2118" s="6"/>
      <c r="K2118" s="6"/>
      <c r="L2118" s="6"/>
      <c r="M2118" s="6"/>
      <c r="N2118" s="6"/>
      <c r="O2118" s="6"/>
      <c r="P2118" s="6"/>
      <c r="Q2118" s="6"/>
      <c r="R2118" s="6"/>
      <c r="S2118" s="6"/>
      <c r="T2118" s="6"/>
      <c r="U2118" s="6"/>
      <c r="V2118" s="6"/>
      <c r="W2118" s="6"/>
      <c r="X2118" s="6"/>
      <c r="Y2118" s="6"/>
      <c r="Z2118" s="6"/>
    </row>
    <row r="2119" spans="1:26" ht="16.8" x14ac:dyDescent="0.45">
      <c r="A2119" s="6"/>
      <c r="B2119" s="7"/>
      <c r="C2119" s="6"/>
      <c r="D2119" s="6"/>
      <c r="E2119" s="6"/>
      <c r="F2119" s="6"/>
      <c r="G2119" s="6"/>
      <c r="H2119" s="6"/>
      <c r="I2119" s="6"/>
      <c r="J2119" s="6"/>
      <c r="K2119" s="6"/>
      <c r="L2119" s="6"/>
      <c r="M2119" s="6"/>
      <c r="N2119" s="6"/>
      <c r="O2119" s="6"/>
      <c r="P2119" s="6"/>
      <c r="Q2119" s="6"/>
      <c r="R2119" s="6"/>
      <c r="S2119" s="6"/>
      <c r="T2119" s="6"/>
      <c r="U2119" s="6"/>
      <c r="V2119" s="6"/>
      <c r="W2119" s="6"/>
      <c r="X2119" s="6"/>
      <c r="Y2119" s="6"/>
      <c r="Z2119" s="6"/>
    </row>
    <row r="2120" spans="1:26" ht="16.8" x14ac:dyDescent="0.45">
      <c r="A2120" s="6"/>
      <c r="B2120" s="7"/>
      <c r="C2120" s="6"/>
      <c r="D2120" s="6"/>
      <c r="E2120" s="6"/>
      <c r="F2120" s="6"/>
      <c r="G2120" s="6"/>
      <c r="H2120" s="6"/>
      <c r="I2120" s="6"/>
      <c r="J2120" s="6"/>
      <c r="K2120" s="6"/>
      <c r="L2120" s="6"/>
      <c r="M2120" s="6"/>
      <c r="N2120" s="6"/>
      <c r="O2120" s="6"/>
      <c r="P2120" s="6"/>
      <c r="Q2120" s="6"/>
      <c r="R2120" s="6"/>
      <c r="S2120" s="6"/>
      <c r="T2120" s="6"/>
      <c r="U2120" s="6"/>
      <c r="V2120" s="6"/>
      <c r="W2120" s="6"/>
      <c r="X2120" s="6"/>
      <c r="Y2120" s="6"/>
      <c r="Z2120" s="6"/>
    </row>
    <row r="2121" spans="1:26" ht="16.8" x14ac:dyDescent="0.45">
      <c r="A2121" s="6"/>
      <c r="B2121" s="7"/>
      <c r="C2121" s="6"/>
      <c r="D2121" s="6"/>
      <c r="E2121" s="6"/>
      <c r="F2121" s="6"/>
      <c r="G2121" s="6"/>
      <c r="H2121" s="6"/>
      <c r="I2121" s="6"/>
      <c r="J2121" s="6"/>
      <c r="K2121" s="6"/>
      <c r="L2121" s="6"/>
      <c r="M2121" s="6"/>
      <c r="N2121" s="6"/>
      <c r="O2121" s="6"/>
      <c r="P2121" s="6"/>
      <c r="Q2121" s="6"/>
      <c r="R2121" s="6"/>
      <c r="S2121" s="6"/>
      <c r="T2121" s="6"/>
      <c r="U2121" s="6"/>
      <c r="V2121" s="6"/>
      <c r="W2121" s="6"/>
      <c r="X2121" s="6"/>
      <c r="Y2121" s="6"/>
      <c r="Z2121" s="6"/>
    </row>
    <row r="2122" spans="1:26" ht="16.8" x14ac:dyDescent="0.45">
      <c r="A2122" s="6"/>
      <c r="B2122" s="7"/>
      <c r="C2122" s="6"/>
      <c r="D2122" s="6"/>
      <c r="E2122" s="6"/>
      <c r="F2122" s="6"/>
      <c r="G2122" s="6"/>
      <c r="H2122" s="6"/>
      <c r="I2122" s="6"/>
      <c r="J2122" s="6"/>
      <c r="K2122" s="6"/>
      <c r="L2122" s="6"/>
      <c r="M2122" s="6"/>
      <c r="N2122" s="6"/>
      <c r="O2122" s="6"/>
      <c r="P2122" s="6"/>
      <c r="Q2122" s="6"/>
      <c r="R2122" s="6"/>
      <c r="S2122" s="6"/>
      <c r="T2122" s="6"/>
      <c r="U2122" s="6"/>
      <c r="V2122" s="6"/>
      <c r="W2122" s="6"/>
      <c r="X2122" s="6"/>
      <c r="Y2122" s="6"/>
      <c r="Z2122" s="6"/>
    </row>
    <row r="2123" spans="1:26" ht="16.8" x14ac:dyDescent="0.45">
      <c r="A2123" s="6"/>
      <c r="B2123" s="7"/>
      <c r="C2123" s="6"/>
      <c r="D2123" s="6"/>
      <c r="E2123" s="6"/>
      <c r="F2123" s="6"/>
      <c r="G2123" s="6"/>
      <c r="H2123" s="6"/>
      <c r="I2123" s="6"/>
      <c r="J2123" s="6"/>
      <c r="K2123" s="6"/>
      <c r="L2123" s="6"/>
      <c r="M2123" s="6"/>
      <c r="N2123" s="6"/>
      <c r="O2123" s="6"/>
      <c r="P2123" s="6"/>
      <c r="Q2123" s="6"/>
      <c r="R2123" s="6"/>
      <c r="S2123" s="6"/>
      <c r="T2123" s="6"/>
      <c r="U2123" s="6"/>
      <c r="V2123" s="6"/>
      <c r="W2123" s="6"/>
      <c r="X2123" s="6"/>
      <c r="Y2123" s="6"/>
      <c r="Z2123" s="6"/>
    </row>
    <row r="2124" spans="1:26" ht="16.8" x14ac:dyDescent="0.45">
      <c r="A2124" s="6"/>
      <c r="B2124" s="7"/>
      <c r="C2124" s="6"/>
      <c r="D2124" s="6"/>
      <c r="E2124" s="6"/>
      <c r="F2124" s="6"/>
      <c r="G2124" s="6"/>
      <c r="H2124" s="6"/>
      <c r="I2124" s="6"/>
      <c r="J2124" s="6"/>
      <c r="K2124" s="6"/>
      <c r="L2124" s="6"/>
      <c r="M2124" s="6"/>
      <c r="N2124" s="6"/>
      <c r="O2124" s="6"/>
      <c r="P2124" s="6"/>
      <c r="Q2124" s="6"/>
      <c r="R2124" s="6"/>
      <c r="S2124" s="6"/>
      <c r="T2124" s="6"/>
      <c r="U2124" s="6"/>
      <c r="V2124" s="6"/>
      <c r="W2124" s="6"/>
      <c r="X2124" s="6"/>
      <c r="Y2124" s="6"/>
      <c r="Z2124" s="6"/>
    </row>
    <row r="2125" spans="1:26" ht="16.8" x14ac:dyDescent="0.45">
      <c r="A2125" s="6"/>
      <c r="B2125" s="7"/>
      <c r="C2125" s="6"/>
      <c r="D2125" s="6"/>
      <c r="E2125" s="6"/>
      <c r="F2125" s="6"/>
      <c r="G2125" s="6"/>
      <c r="H2125" s="6"/>
      <c r="I2125" s="6"/>
      <c r="J2125" s="6"/>
      <c r="K2125" s="6"/>
      <c r="L2125" s="6"/>
      <c r="M2125" s="6"/>
      <c r="N2125" s="6"/>
      <c r="O2125" s="6"/>
      <c r="P2125" s="6"/>
      <c r="Q2125" s="6"/>
      <c r="R2125" s="6"/>
      <c r="S2125" s="6"/>
      <c r="T2125" s="6"/>
      <c r="U2125" s="6"/>
      <c r="V2125" s="6"/>
      <c r="W2125" s="6"/>
      <c r="X2125" s="6"/>
      <c r="Y2125" s="6"/>
      <c r="Z2125" s="6"/>
    </row>
    <row r="2126" spans="1:26" ht="16.8" x14ac:dyDescent="0.45">
      <c r="A2126" s="6"/>
      <c r="B2126" s="7"/>
      <c r="C2126" s="6"/>
      <c r="D2126" s="6"/>
      <c r="E2126" s="6"/>
      <c r="F2126" s="6"/>
      <c r="G2126" s="6"/>
      <c r="H2126" s="6"/>
      <c r="I2126" s="6"/>
      <c r="J2126" s="6"/>
      <c r="K2126" s="6"/>
      <c r="L2126" s="6"/>
      <c r="M2126" s="6"/>
      <c r="N2126" s="6"/>
      <c r="O2126" s="6"/>
      <c r="P2126" s="6"/>
      <c r="Q2126" s="6"/>
      <c r="R2126" s="6"/>
      <c r="S2126" s="6"/>
      <c r="T2126" s="6"/>
      <c r="U2126" s="6"/>
      <c r="V2126" s="6"/>
      <c r="W2126" s="6"/>
      <c r="X2126" s="6"/>
      <c r="Y2126" s="6"/>
      <c r="Z2126" s="6"/>
    </row>
    <row r="2127" spans="1:26" ht="16.8" x14ac:dyDescent="0.45">
      <c r="A2127" s="6"/>
      <c r="B2127" s="7"/>
      <c r="C2127" s="6"/>
      <c r="D2127" s="6"/>
      <c r="E2127" s="6"/>
      <c r="F2127" s="6"/>
      <c r="G2127" s="6"/>
      <c r="H2127" s="6"/>
      <c r="I2127" s="6"/>
      <c r="J2127" s="6"/>
      <c r="K2127" s="6"/>
      <c r="L2127" s="6"/>
      <c r="M2127" s="6"/>
      <c r="N2127" s="6"/>
      <c r="O2127" s="6"/>
      <c r="P2127" s="6"/>
      <c r="Q2127" s="6"/>
      <c r="R2127" s="6"/>
      <c r="S2127" s="6"/>
      <c r="T2127" s="6"/>
      <c r="U2127" s="6"/>
      <c r="V2127" s="6"/>
      <c r="W2127" s="6"/>
      <c r="X2127" s="6"/>
      <c r="Y2127" s="6"/>
      <c r="Z2127" s="6"/>
    </row>
    <row r="2128" spans="1:26" ht="16.8" x14ac:dyDescent="0.45">
      <c r="A2128" s="6"/>
      <c r="B2128" s="7"/>
      <c r="C2128" s="6"/>
      <c r="D2128" s="6"/>
      <c r="E2128" s="6"/>
      <c r="F2128" s="6"/>
      <c r="G2128" s="6"/>
      <c r="H2128" s="6"/>
      <c r="I2128" s="6"/>
      <c r="J2128" s="6"/>
      <c r="K2128" s="6"/>
      <c r="L2128" s="6"/>
      <c r="M2128" s="6"/>
      <c r="N2128" s="6"/>
      <c r="O2128" s="6"/>
      <c r="P2128" s="6"/>
      <c r="Q2128" s="6"/>
      <c r="R2128" s="6"/>
      <c r="S2128" s="6"/>
      <c r="T2128" s="6"/>
      <c r="U2128" s="6"/>
      <c r="V2128" s="6"/>
      <c r="W2128" s="6"/>
      <c r="X2128" s="6"/>
      <c r="Y2128" s="6"/>
      <c r="Z2128" s="6"/>
    </row>
    <row r="2129" spans="1:26" ht="16.8" x14ac:dyDescent="0.45">
      <c r="A2129" s="6"/>
      <c r="B2129" s="7"/>
      <c r="C2129" s="6"/>
      <c r="D2129" s="6"/>
      <c r="E2129" s="6"/>
      <c r="F2129" s="6"/>
      <c r="G2129" s="6"/>
      <c r="H2129" s="6"/>
      <c r="I2129" s="6"/>
      <c r="J2129" s="6"/>
      <c r="K2129" s="6"/>
      <c r="L2129" s="6"/>
      <c r="M2129" s="6"/>
      <c r="N2129" s="6"/>
      <c r="O2129" s="6"/>
      <c r="P2129" s="6"/>
      <c r="Q2129" s="6"/>
      <c r="R2129" s="6"/>
      <c r="S2129" s="6"/>
      <c r="T2129" s="6"/>
      <c r="U2129" s="6"/>
      <c r="V2129" s="6"/>
      <c r="W2129" s="6"/>
      <c r="X2129" s="6"/>
      <c r="Y2129" s="6"/>
      <c r="Z2129" s="6"/>
    </row>
    <row r="2130" spans="1:26" ht="16.8" x14ac:dyDescent="0.45">
      <c r="A2130" s="6"/>
      <c r="B2130" s="7"/>
      <c r="C2130" s="6"/>
      <c r="D2130" s="6"/>
      <c r="E2130" s="6"/>
      <c r="F2130" s="6"/>
      <c r="G2130" s="6"/>
      <c r="H2130" s="6"/>
      <c r="I2130" s="6"/>
      <c r="J2130" s="6"/>
      <c r="K2130" s="6"/>
      <c r="L2130" s="6"/>
      <c r="M2130" s="6"/>
      <c r="N2130" s="6"/>
      <c r="O2130" s="6"/>
      <c r="P2130" s="6"/>
      <c r="Q2130" s="6"/>
      <c r="R2130" s="6"/>
      <c r="S2130" s="6"/>
      <c r="T2130" s="6"/>
      <c r="U2130" s="6"/>
      <c r="V2130" s="6"/>
      <c r="W2130" s="6"/>
      <c r="X2130" s="6"/>
      <c r="Y2130" s="6"/>
      <c r="Z2130" s="6"/>
    </row>
    <row r="2131" spans="1:26" ht="16.8" x14ac:dyDescent="0.45">
      <c r="A2131" s="6"/>
      <c r="B2131" s="7"/>
      <c r="C2131" s="6"/>
      <c r="D2131" s="6"/>
      <c r="E2131" s="6"/>
      <c r="F2131" s="6"/>
      <c r="G2131" s="6"/>
      <c r="H2131" s="6"/>
      <c r="I2131" s="6"/>
      <c r="J2131" s="6"/>
      <c r="K2131" s="6"/>
      <c r="L2131" s="6"/>
      <c r="M2131" s="6"/>
      <c r="N2131" s="6"/>
      <c r="O2131" s="6"/>
      <c r="P2131" s="6"/>
      <c r="Q2131" s="6"/>
      <c r="R2131" s="6"/>
      <c r="S2131" s="6"/>
      <c r="T2131" s="6"/>
      <c r="U2131" s="6"/>
      <c r="V2131" s="6"/>
      <c r="W2131" s="6"/>
      <c r="X2131" s="6"/>
      <c r="Y2131" s="6"/>
      <c r="Z2131" s="6"/>
    </row>
    <row r="2132" spans="1:26" ht="16.8" x14ac:dyDescent="0.45">
      <c r="A2132" s="6"/>
      <c r="B2132" s="7"/>
      <c r="C2132" s="6"/>
      <c r="D2132" s="6"/>
      <c r="E2132" s="6"/>
      <c r="F2132" s="6"/>
      <c r="G2132" s="6"/>
      <c r="H2132" s="6"/>
      <c r="I2132" s="6"/>
      <c r="J2132" s="6"/>
      <c r="K2132" s="6"/>
      <c r="L2132" s="6"/>
      <c r="M2132" s="6"/>
      <c r="N2132" s="6"/>
      <c r="O2132" s="6"/>
      <c r="P2132" s="6"/>
      <c r="Q2132" s="6"/>
      <c r="R2132" s="6"/>
      <c r="S2132" s="6"/>
      <c r="T2132" s="6"/>
      <c r="U2132" s="6"/>
      <c r="V2132" s="6"/>
      <c r="W2132" s="6"/>
      <c r="X2132" s="6"/>
      <c r="Y2132" s="6"/>
      <c r="Z2132" s="6"/>
    </row>
    <row r="2133" spans="1:26" ht="16.8" x14ac:dyDescent="0.45">
      <c r="A2133" s="6"/>
      <c r="B2133" s="7"/>
      <c r="C2133" s="6"/>
      <c r="D2133" s="6"/>
      <c r="E2133" s="6"/>
      <c r="F2133" s="6"/>
      <c r="G2133" s="6"/>
      <c r="H2133" s="6"/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</row>
    <row r="2134" spans="1:26" ht="16.8" x14ac:dyDescent="0.45">
      <c r="A2134" s="6"/>
      <c r="B2134" s="7"/>
      <c r="C2134" s="6"/>
      <c r="D2134" s="6"/>
      <c r="E2134" s="6"/>
      <c r="F2134" s="6"/>
      <c r="G2134" s="6"/>
      <c r="H2134" s="6"/>
      <c r="I2134" s="6"/>
      <c r="J2134" s="6"/>
      <c r="K2134" s="6"/>
      <c r="L2134" s="6"/>
      <c r="M2134" s="6"/>
      <c r="N2134" s="6"/>
      <c r="O2134" s="6"/>
      <c r="P2134" s="6"/>
      <c r="Q2134" s="6"/>
      <c r="R2134" s="6"/>
      <c r="S2134" s="6"/>
      <c r="T2134" s="6"/>
      <c r="U2134" s="6"/>
      <c r="V2134" s="6"/>
      <c r="W2134" s="6"/>
      <c r="X2134" s="6"/>
      <c r="Y2134" s="6"/>
      <c r="Z2134" s="6"/>
    </row>
    <row r="2135" spans="1:26" ht="16.8" x14ac:dyDescent="0.45">
      <c r="A2135" s="6"/>
      <c r="B2135" s="7"/>
      <c r="C2135" s="6"/>
      <c r="D2135" s="6"/>
      <c r="E2135" s="6"/>
      <c r="F2135" s="6"/>
      <c r="G2135" s="6"/>
      <c r="H2135" s="6"/>
      <c r="I2135" s="6"/>
      <c r="J2135" s="6"/>
      <c r="K2135" s="6"/>
      <c r="L2135" s="6"/>
      <c r="M2135" s="6"/>
      <c r="N2135" s="6"/>
      <c r="O2135" s="6"/>
      <c r="P2135" s="6"/>
      <c r="Q2135" s="6"/>
      <c r="R2135" s="6"/>
      <c r="S2135" s="6"/>
      <c r="T2135" s="6"/>
      <c r="U2135" s="6"/>
      <c r="V2135" s="6"/>
      <c r="W2135" s="6"/>
      <c r="X2135" s="6"/>
      <c r="Y2135" s="6"/>
      <c r="Z2135" s="6"/>
    </row>
    <row r="2136" spans="1:26" ht="16.8" x14ac:dyDescent="0.45">
      <c r="A2136" s="6"/>
      <c r="B2136" s="7"/>
      <c r="C2136" s="6"/>
      <c r="D2136" s="6"/>
      <c r="E2136" s="6"/>
      <c r="F2136" s="6"/>
      <c r="G2136" s="6"/>
      <c r="H2136" s="6"/>
      <c r="I2136" s="6"/>
      <c r="J2136" s="6"/>
      <c r="K2136" s="6"/>
      <c r="L2136" s="6"/>
      <c r="M2136" s="6"/>
      <c r="N2136" s="6"/>
      <c r="O2136" s="6"/>
      <c r="P2136" s="6"/>
      <c r="Q2136" s="6"/>
      <c r="R2136" s="6"/>
      <c r="S2136" s="6"/>
      <c r="T2136" s="6"/>
      <c r="U2136" s="6"/>
      <c r="V2136" s="6"/>
      <c r="W2136" s="6"/>
      <c r="X2136" s="6"/>
      <c r="Y2136" s="6"/>
      <c r="Z2136" s="6"/>
    </row>
    <row r="2137" spans="1:26" ht="16.8" x14ac:dyDescent="0.45">
      <c r="A2137" s="6"/>
      <c r="B2137" s="7"/>
      <c r="C2137" s="6"/>
      <c r="D2137" s="6"/>
      <c r="E2137" s="6"/>
      <c r="F2137" s="6"/>
      <c r="G2137" s="6"/>
      <c r="H2137" s="6"/>
      <c r="I2137" s="6"/>
      <c r="J2137" s="6"/>
      <c r="K2137" s="6"/>
      <c r="L2137" s="6"/>
      <c r="M2137" s="6"/>
      <c r="N2137" s="6"/>
      <c r="O2137" s="6"/>
      <c r="P2137" s="6"/>
      <c r="Q2137" s="6"/>
      <c r="R2137" s="6"/>
      <c r="S2137" s="6"/>
      <c r="T2137" s="6"/>
      <c r="U2137" s="6"/>
      <c r="V2137" s="6"/>
      <c r="W2137" s="6"/>
      <c r="X2137" s="6"/>
      <c r="Y2137" s="6"/>
      <c r="Z2137" s="6"/>
    </row>
    <row r="2138" spans="1:26" ht="16.8" x14ac:dyDescent="0.45">
      <c r="A2138" s="6"/>
      <c r="B2138" s="7"/>
      <c r="C2138" s="6"/>
      <c r="D2138" s="6"/>
      <c r="E2138" s="6"/>
      <c r="F2138" s="6"/>
      <c r="G2138" s="6"/>
      <c r="H2138" s="6"/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</row>
    <row r="2139" spans="1:26" ht="16.8" x14ac:dyDescent="0.45">
      <c r="A2139" s="6"/>
      <c r="B2139" s="7"/>
      <c r="C2139" s="6"/>
      <c r="D2139" s="6"/>
      <c r="E2139" s="6"/>
      <c r="F2139" s="6"/>
      <c r="G2139" s="6"/>
      <c r="H2139" s="6"/>
      <c r="I2139" s="6"/>
      <c r="J2139" s="6"/>
      <c r="K2139" s="6"/>
      <c r="L2139" s="6"/>
      <c r="M2139" s="6"/>
      <c r="N2139" s="6"/>
      <c r="O2139" s="6"/>
      <c r="P2139" s="6"/>
      <c r="Q2139" s="6"/>
      <c r="R2139" s="6"/>
      <c r="S2139" s="6"/>
      <c r="T2139" s="6"/>
      <c r="U2139" s="6"/>
      <c r="V2139" s="6"/>
      <c r="W2139" s="6"/>
      <c r="X2139" s="6"/>
      <c r="Y2139" s="6"/>
      <c r="Z2139" s="6"/>
    </row>
    <row r="2140" spans="1:26" ht="16.8" x14ac:dyDescent="0.45">
      <c r="A2140" s="6"/>
      <c r="B2140" s="7"/>
      <c r="C2140" s="6"/>
      <c r="D2140" s="6"/>
      <c r="E2140" s="6"/>
      <c r="F2140" s="6"/>
      <c r="G2140" s="6"/>
      <c r="H2140" s="6"/>
      <c r="I2140" s="6"/>
      <c r="J2140" s="6"/>
      <c r="K2140" s="6"/>
      <c r="L2140" s="6"/>
      <c r="M2140" s="6"/>
      <c r="N2140" s="6"/>
      <c r="O2140" s="6"/>
      <c r="P2140" s="6"/>
      <c r="Q2140" s="6"/>
      <c r="R2140" s="6"/>
      <c r="S2140" s="6"/>
      <c r="T2140" s="6"/>
      <c r="U2140" s="6"/>
      <c r="V2140" s="6"/>
      <c r="W2140" s="6"/>
      <c r="X2140" s="6"/>
      <c r="Y2140" s="6"/>
      <c r="Z2140" s="6"/>
    </row>
    <row r="2141" spans="1:26" ht="16.8" x14ac:dyDescent="0.45">
      <c r="A2141" s="6"/>
      <c r="B2141" s="7"/>
      <c r="C2141" s="6"/>
      <c r="D2141" s="6"/>
      <c r="E2141" s="6"/>
      <c r="F2141" s="6"/>
      <c r="G2141" s="6"/>
      <c r="H2141" s="6"/>
      <c r="I2141" s="6"/>
      <c r="J2141" s="6"/>
      <c r="K2141" s="6"/>
      <c r="L2141" s="6"/>
      <c r="M2141" s="6"/>
      <c r="N2141" s="6"/>
      <c r="O2141" s="6"/>
      <c r="P2141" s="6"/>
      <c r="Q2141" s="6"/>
      <c r="R2141" s="6"/>
      <c r="S2141" s="6"/>
      <c r="T2141" s="6"/>
      <c r="U2141" s="6"/>
      <c r="V2141" s="6"/>
      <c r="W2141" s="6"/>
      <c r="X2141" s="6"/>
      <c r="Y2141" s="6"/>
      <c r="Z2141" s="6"/>
    </row>
    <row r="2142" spans="1:26" ht="16.8" x14ac:dyDescent="0.45">
      <c r="A2142" s="6"/>
      <c r="B2142" s="7"/>
      <c r="C2142" s="6"/>
      <c r="D2142" s="6"/>
      <c r="E2142" s="6"/>
      <c r="F2142" s="6"/>
      <c r="G2142" s="6"/>
      <c r="H2142" s="6"/>
      <c r="I2142" s="6"/>
      <c r="J2142" s="6"/>
      <c r="K2142" s="6"/>
      <c r="L2142" s="6"/>
      <c r="M2142" s="6"/>
      <c r="N2142" s="6"/>
      <c r="O2142" s="6"/>
      <c r="P2142" s="6"/>
      <c r="Q2142" s="6"/>
      <c r="R2142" s="6"/>
      <c r="S2142" s="6"/>
      <c r="T2142" s="6"/>
      <c r="U2142" s="6"/>
      <c r="V2142" s="6"/>
      <c r="W2142" s="6"/>
      <c r="X2142" s="6"/>
      <c r="Y2142" s="6"/>
      <c r="Z2142" s="6"/>
    </row>
    <row r="2143" spans="1:26" ht="16.8" x14ac:dyDescent="0.45">
      <c r="A2143" s="6"/>
      <c r="B2143" s="7"/>
      <c r="C2143" s="6"/>
      <c r="D2143" s="6"/>
      <c r="E2143" s="6"/>
      <c r="F2143" s="6"/>
      <c r="G2143" s="6"/>
      <c r="H2143" s="6"/>
      <c r="I2143" s="6"/>
      <c r="J2143" s="6"/>
      <c r="K2143" s="6"/>
      <c r="L2143" s="6"/>
      <c r="M2143" s="6"/>
      <c r="N2143" s="6"/>
      <c r="O2143" s="6"/>
      <c r="P2143" s="6"/>
      <c r="Q2143" s="6"/>
      <c r="R2143" s="6"/>
      <c r="S2143" s="6"/>
      <c r="T2143" s="6"/>
      <c r="U2143" s="6"/>
      <c r="V2143" s="6"/>
      <c r="W2143" s="6"/>
      <c r="X2143" s="6"/>
      <c r="Y2143" s="6"/>
      <c r="Z2143" s="6"/>
    </row>
    <row r="2144" spans="1:26" ht="16.8" x14ac:dyDescent="0.45">
      <c r="A2144" s="6"/>
      <c r="B2144" s="7"/>
      <c r="C2144" s="6"/>
      <c r="D2144" s="6"/>
      <c r="E2144" s="6"/>
      <c r="F2144" s="6"/>
      <c r="G2144" s="6"/>
      <c r="H2144" s="6"/>
      <c r="I2144" s="6"/>
      <c r="J2144" s="6"/>
      <c r="K2144" s="6"/>
      <c r="L2144" s="6"/>
      <c r="M2144" s="6"/>
      <c r="N2144" s="6"/>
      <c r="O2144" s="6"/>
      <c r="P2144" s="6"/>
      <c r="Q2144" s="6"/>
      <c r="R2144" s="6"/>
      <c r="S2144" s="6"/>
      <c r="T2144" s="6"/>
      <c r="U2144" s="6"/>
      <c r="V2144" s="6"/>
      <c r="W2144" s="6"/>
      <c r="X2144" s="6"/>
      <c r="Y2144" s="6"/>
      <c r="Z2144" s="6"/>
    </row>
    <row r="2145" spans="1:26" ht="16.8" x14ac:dyDescent="0.45">
      <c r="A2145" s="6"/>
      <c r="B2145" s="7"/>
      <c r="C2145" s="6"/>
      <c r="D2145" s="6"/>
      <c r="E2145" s="6"/>
      <c r="F2145" s="6"/>
      <c r="G2145" s="6"/>
      <c r="H2145" s="6"/>
      <c r="I2145" s="6"/>
      <c r="J2145" s="6"/>
      <c r="K2145" s="6"/>
      <c r="L2145" s="6"/>
      <c r="M2145" s="6"/>
      <c r="N2145" s="6"/>
      <c r="O2145" s="6"/>
      <c r="P2145" s="6"/>
      <c r="Q2145" s="6"/>
      <c r="R2145" s="6"/>
      <c r="S2145" s="6"/>
      <c r="T2145" s="6"/>
      <c r="U2145" s="6"/>
      <c r="V2145" s="6"/>
      <c r="W2145" s="6"/>
      <c r="X2145" s="6"/>
      <c r="Y2145" s="6"/>
      <c r="Z2145" s="6"/>
    </row>
    <row r="2146" spans="1:26" ht="16.8" x14ac:dyDescent="0.45">
      <c r="A2146" s="6"/>
      <c r="B2146" s="7"/>
      <c r="C2146" s="6"/>
      <c r="D2146" s="6"/>
      <c r="E2146" s="6"/>
      <c r="F2146" s="6"/>
      <c r="G2146" s="6"/>
      <c r="H2146" s="6"/>
      <c r="I2146" s="6"/>
      <c r="J2146" s="6"/>
      <c r="K2146" s="6"/>
      <c r="L2146" s="6"/>
      <c r="M2146" s="6"/>
      <c r="N2146" s="6"/>
      <c r="O2146" s="6"/>
      <c r="P2146" s="6"/>
      <c r="Q2146" s="6"/>
      <c r="R2146" s="6"/>
      <c r="S2146" s="6"/>
      <c r="T2146" s="6"/>
      <c r="U2146" s="6"/>
      <c r="V2146" s="6"/>
      <c r="W2146" s="6"/>
      <c r="X2146" s="6"/>
      <c r="Y2146" s="6"/>
      <c r="Z2146" s="6"/>
    </row>
    <row r="2147" spans="1:26" ht="16.8" x14ac:dyDescent="0.45">
      <c r="A2147" s="6"/>
      <c r="B2147" s="7"/>
      <c r="C2147" s="6"/>
      <c r="D2147" s="6"/>
      <c r="E2147" s="6"/>
      <c r="F2147" s="6"/>
      <c r="G2147" s="6"/>
      <c r="H2147" s="6"/>
      <c r="I2147" s="6"/>
      <c r="J2147" s="6"/>
      <c r="K2147" s="6"/>
      <c r="L2147" s="6"/>
      <c r="M2147" s="6"/>
      <c r="N2147" s="6"/>
      <c r="O2147" s="6"/>
      <c r="P2147" s="6"/>
      <c r="Q2147" s="6"/>
      <c r="R2147" s="6"/>
      <c r="S2147" s="6"/>
      <c r="T2147" s="6"/>
      <c r="U2147" s="6"/>
      <c r="V2147" s="6"/>
      <c r="W2147" s="6"/>
      <c r="X2147" s="6"/>
      <c r="Y2147" s="6"/>
      <c r="Z2147" s="6"/>
    </row>
    <row r="2148" spans="1:26" ht="16.8" x14ac:dyDescent="0.45">
      <c r="A2148" s="6"/>
      <c r="B2148" s="7"/>
      <c r="C2148" s="6"/>
      <c r="D2148" s="6"/>
      <c r="E2148" s="6"/>
      <c r="F2148" s="6"/>
      <c r="G2148" s="6"/>
      <c r="H2148" s="6"/>
      <c r="I2148" s="6"/>
      <c r="J2148" s="6"/>
      <c r="K2148" s="6"/>
      <c r="L2148" s="6"/>
      <c r="M2148" s="6"/>
      <c r="N2148" s="6"/>
      <c r="O2148" s="6"/>
      <c r="P2148" s="6"/>
      <c r="Q2148" s="6"/>
      <c r="R2148" s="6"/>
      <c r="S2148" s="6"/>
      <c r="T2148" s="6"/>
      <c r="U2148" s="6"/>
      <c r="V2148" s="6"/>
      <c r="W2148" s="6"/>
      <c r="X2148" s="6"/>
      <c r="Y2148" s="6"/>
      <c r="Z2148" s="6"/>
    </row>
    <row r="2149" spans="1:26" ht="16.8" x14ac:dyDescent="0.45">
      <c r="A2149" s="6"/>
      <c r="B2149" s="7"/>
      <c r="C2149" s="6"/>
      <c r="D2149" s="6"/>
      <c r="E2149" s="6"/>
      <c r="F2149" s="6"/>
      <c r="G2149" s="6"/>
      <c r="H2149" s="6"/>
      <c r="I2149" s="6"/>
      <c r="J2149" s="6"/>
      <c r="K2149" s="6"/>
      <c r="L2149" s="6"/>
      <c r="M2149" s="6"/>
      <c r="N2149" s="6"/>
      <c r="O2149" s="6"/>
      <c r="P2149" s="6"/>
      <c r="Q2149" s="6"/>
      <c r="R2149" s="6"/>
      <c r="S2149" s="6"/>
      <c r="T2149" s="6"/>
      <c r="U2149" s="6"/>
      <c r="V2149" s="6"/>
      <c r="W2149" s="6"/>
      <c r="X2149" s="6"/>
      <c r="Y2149" s="6"/>
      <c r="Z2149" s="6"/>
    </row>
    <row r="2150" spans="1:26" ht="16.8" x14ac:dyDescent="0.45">
      <c r="A2150" s="6"/>
      <c r="B2150" s="7"/>
      <c r="C2150" s="6"/>
      <c r="D2150" s="6"/>
      <c r="E2150" s="6"/>
      <c r="F2150" s="6"/>
      <c r="G2150" s="6"/>
      <c r="H2150" s="6"/>
      <c r="I2150" s="6"/>
      <c r="J2150" s="6"/>
      <c r="K2150" s="6"/>
      <c r="L2150" s="6"/>
      <c r="M2150" s="6"/>
      <c r="N2150" s="6"/>
      <c r="O2150" s="6"/>
      <c r="P2150" s="6"/>
      <c r="Q2150" s="6"/>
      <c r="R2150" s="6"/>
      <c r="S2150" s="6"/>
      <c r="T2150" s="6"/>
      <c r="U2150" s="6"/>
      <c r="V2150" s="6"/>
      <c r="W2150" s="6"/>
      <c r="X2150" s="6"/>
      <c r="Y2150" s="6"/>
      <c r="Z2150" s="6"/>
    </row>
    <row r="2151" spans="1:26" ht="16.8" x14ac:dyDescent="0.45">
      <c r="A2151" s="6"/>
      <c r="B2151" s="7"/>
      <c r="C2151" s="6"/>
      <c r="D2151" s="6"/>
      <c r="E2151" s="6"/>
      <c r="F2151" s="6"/>
      <c r="G2151" s="6"/>
      <c r="H2151" s="6"/>
      <c r="I2151" s="6"/>
      <c r="J2151" s="6"/>
      <c r="K2151" s="6"/>
      <c r="L2151" s="6"/>
      <c r="M2151" s="6"/>
      <c r="N2151" s="6"/>
      <c r="O2151" s="6"/>
      <c r="P2151" s="6"/>
      <c r="Q2151" s="6"/>
      <c r="R2151" s="6"/>
      <c r="S2151" s="6"/>
      <c r="T2151" s="6"/>
      <c r="U2151" s="6"/>
      <c r="V2151" s="6"/>
      <c r="W2151" s="6"/>
      <c r="X2151" s="6"/>
      <c r="Y2151" s="6"/>
      <c r="Z2151" s="6"/>
    </row>
    <row r="2152" spans="1:26" ht="16.8" x14ac:dyDescent="0.45">
      <c r="A2152" s="6"/>
      <c r="B2152" s="7"/>
      <c r="C2152" s="6"/>
      <c r="D2152" s="6"/>
      <c r="E2152" s="6"/>
      <c r="F2152" s="6"/>
      <c r="G2152" s="6"/>
      <c r="H2152" s="6"/>
      <c r="I2152" s="6"/>
      <c r="J2152" s="6"/>
      <c r="K2152" s="6"/>
      <c r="L2152" s="6"/>
      <c r="M2152" s="6"/>
      <c r="N2152" s="6"/>
      <c r="O2152" s="6"/>
      <c r="P2152" s="6"/>
      <c r="Q2152" s="6"/>
      <c r="R2152" s="6"/>
      <c r="S2152" s="6"/>
      <c r="T2152" s="6"/>
      <c r="U2152" s="6"/>
      <c r="V2152" s="6"/>
      <c r="W2152" s="6"/>
      <c r="X2152" s="6"/>
      <c r="Y2152" s="6"/>
      <c r="Z2152" s="6"/>
    </row>
    <row r="2153" spans="1:26" ht="16.8" x14ac:dyDescent="0.45">
      <c r="A2153" s="6"/>
      <c r="B2153" s="7"/>
      <c r="C2153" s="6"/>
      <c r="D2153" s="6"/>
      <c r="E2153" s="6"/>
      <c r="F2153" s="6"/>
      <c r="G2153" s="6"/>
      <c r="H2153" s="6"/>
      <c r="I2153" s="6"/>
      <c r="J2153" s="6"/>
      <c r="K2153" s="6"/>
      <c r="L2153" s="6"/>
      <c r="M2153" s="6"/>
      <c r="N2153" s="6"/>
      <c r="O2153" s="6"/>
      <c r="P2153" s="6"/>
      <c r="Q2153" s="6"/>
      <c r="R2153" s="6"/>
      <c r="S2153" s="6"/>
      <c r="T2153" s="6"/>
      <c r="U2153" s="6"/>
      <c r="V2153" s="6"/>
      <c r="W2153" s="6"/>
      <c r="X2153" s="6"/>
      <c r="Y2153" s="6"/>
      <c r="Z2153" s="6"/>
    </row>
    <row r="2154" spans="1:26" ht="16.8" x14ac:dyDescent="0.45">
      <c r="A2154" s="6"/>
      <c r="B2154" s="7"/>
      <c r="C2154" s="6"/>
      <c r="D2154" s="6"/>
      <c r="E2154" s="6"/>
      <c r="F2154" s="6"/>
      <c r="G2154" s="6"/>
      <c r="H2154" s="6"/>
      <c r="I2154" s="6"/>
      <c r="J2154" s="6"/>
      <c r="K2154" s="6"/>
      <c r="L2154" s="6"/>
      <c r="M2154" s="6"/>
      <c r="N2154" s="6"/>
      <c r="O2154" s="6"/>
      <c r="P2154" s="6"/>
      <c r="Q2154" s="6"/>
      <c r="R2154" s="6"/>
      <c r="S2154" s="6"/>
      <c r="T2154" s="6"/>
      <c r="U2154" s="6"/>
      <c r="V2154" s="6"/>
      <c r="W2154" s="6"/>
      <c r="X2154" s="6"/>
      <c r="Y2154" s="6"/>
      <c r="Z2154" s="6"/>
    </row>
    <row r="2155" spans="1:26" ht="16.8" x14ac:dyDescent="0.45">
      <c r="A2155" s="6"/>
      <c r="B2155" s="7"/>
      <c r="C2155" s="6"/>
      <c r="D2155" s="6"/>
      <c r="E2155" s="6"/>
      <c r="F2155" s="6"/>
      <c r="G2155" s="6"/>
      <c r="H2155" s="6"/>
      <c r="I2155" s="6"/>
      <c r="J2155" s="6"/>
      <c r="K2155" s="6"/>
      <c r="L2155" s="6"/>
      <c r="M2155" s="6"/>
      <c r="N2155" s="6"/>
      <c r="O2155" s="6"/>
      <c r="P2155" s="6"/>
      <c r="Q2155" s="6"/>
      <c r="R2155" s="6"/>
      <c r="S2155" s="6"/>
      <c r="T2155" s="6"/>
      <c r="U2155" s="6"/>
      <c r="V2155" s="6"/>
      <c r="W2155" s="6"/>
      <c r="X2155" s="6"/>
      <c r="Y2155" s="6"/>
      <c r="Z2155" s="6"/>
    </row>
    <row r="2156" spans="1:26" ht="16.8" x14ac:dyDescent="0.45">
      <c r="A2156" s="6"/>
      <c r="B2156" s="7"/>
      <c r="C2156" s="6"/>
      <c r="D2156" s="6"/>
      <c r="E2156" s="6"/>
      <c r="F2156" s="6"/>
      <c r="G2156" s="6"/>
      <c r="H2156" s="6"/>
      <c r="I2156" s="6"/>
      <c r="J2156" s="6"/>
      <c r="K2156" s="6"/>
      <c r="L2156" s="6"/>
      <c r="M2156" s="6"/>
      <c r="N2156" s="6"/>
      <c r="O2156" s="6"/>
      <c r="P2156" s="6"/>
      <c r="Q2156" s="6"/>
      <c r="R2156" s="6"/>
      <c r="S2156" s="6"/>
      <c r="T2156" s="6"/>
      <c r="U2156" s="6"/>
      <c r="V2156" s="6"/>
      <c r="W2156" s="6"/>
      <c r="X2156" s="6"/>
      <c r="Y2156" s="6"/>
      <c r="Z2156" s="6"/>
    </row>
    <row r="2157" spans="1:26" ht="16.8" x14ac:dyDescent="0.45">
      <c r="A2157" s="6"/>
      <c r="B2157" s="7"/>
      <c r="C2157" s="6"/>
      <c r="D2157" s="6"/>
      <c r="E2157" s="6"/>
      <c r="F2157" s="6"/>
      <c r="G2157" s="6"/>
      <c r="H2157" s="6"/>
      <c r="I2157" s="6"/>
      <c r="J2157" s="6"/>
      <c r="K2157" s="6"/>
      <c r="L2157" s="6"/>
      <c r="M2157" s="6"/>
      <c r="N2157" s="6"/>
      <c r="O2157" s="6"/>
      <c r="P2157" s="6"/>
      <c r="Q2157" s="6"/>
      <c r="R2157" s="6"/>
      <c r="S2157" s="6"/>
      <c r="T2157" s="6"/>
      <c r="U2157" s="6"/>
      <c r="V2157" s="6"/>
      <c r="W2157" s="6"/>
      <c r="X2157" s="6"/>
      <c r="Y2157" s="6"/>
      <c r="Z2157" s="6"/>
    </row>
    <row r="2158" spans="1:26" ht="16.8" x14ac:dyDescent="0.45">
      <c r="A2158" s="6"/>
      <c r="B2158" s="7"/>
      <c r="C2158" s="6"/>
      <c r="D2158" s="6"/>
      <c r="E2158" s="6"/>
      <c r="F2158" s="6"/>
      <c r="G2158" s="6"/>
      <c r="H2158" s="6"/>
      <c r="I2158" s="6"/>
      <c r="J2158" s="6"/>
      <c r="K2158" s="6"/>
      <c r="L2158" s="6"/>
      <c r="M2158" s="6"/>
      <c r="N2158" s="6"/>
      <c r="O2158" s="6"/>
      <c r="P2158" s="6"/>
      <c r="Q2158" s="6"/>
      <c r="R2158" s="6"/>
      <c r="S2158" s="6"/>
      <c r="T2158" s="6"/>
      <c r="U2158" s="6"/>
      <c r="V2158" s="6"/>
      <c r="W2158" s="6"/>
      <c r="X2158" s="6"/>
      <c r="Y2158" s="6"/>
      <c r="Z2158" s="6"/>
    </row>
    <row r="2159" spans="1:26" ht="16.8" x14ac:dyDescent="0.45">
      <c r="A2159" s="6"/>
      <c r="B2159" s="7"/>
      <c r="C2159" s="6"/>
      <c r="D2159" s="6"/>
      <c r="E2159" s="6"/>
      <c r="F2159" s="6"/>
      <c r="G2159" s="6"/>
      <c r="H2159" s="6"/>
      <c r="I2159" s="6"/>
      <c r="J2159" s="6"/>
      <c r="K2159" s="6"/>
      <c r="L2159" s="6"/>
      <c r="M2159" s="6"/>
      <c r="N2159" s="6"/>
      <c r="O2159" s="6"/>
      <c r="P2159" s="6"/>
      <c r="Q2159" s="6"/>
      <c r="R2159" s="6"/>
      <c r="S2159" s="6"/>
      <c r="T2159" s="6"/>
      <c r="U2159" s="6"/>
      <c r="V2159" s="6"/>
      <c r="W2159" s="6"/>
      <c r="X2159" s="6"/>
      <c r="Y2159" s="6"/>
      <c r="Z2159" s="6"/>
    </row>
    <row r="2160" spans="1:26" ht="16.8" x14ac:dyDescent="0.45">
      <c r="A2160" s="6"/>
      <c r="B2160" s="7"/>
      <c r="C2160" s="6"/>
      <c r="D2160" s="6"/>
      <c r="E2160" s="6"/>
      <c r="F2160" s="6"/>
      <c r="G2160" s="6"/>
      <c r="H2160" s="6"/>
      <c r="I2160" s="6"/>
      <c r="J2160" s="6"/>
      <c r="K2160" s="6"/>
      <c r="L2160" s="6"/>
      <c r="M2160" s="6"/>
      <c r="N2160" s="6"/>
      <c r="O2160" s="6"/>
      <c r="P2160" s="6"/>
      <c r="Q2160" s="6"/>
      <c r="R2160" s="6"/>
      <c r="S2160" s="6"/>
      <c r="T2160" s="6"/>
      <c r="U2160" s="6"/>
      <c r="V2160" s="6"/>
      <c r="W2160" s="6"/>
      <c r="X2160" s="6"/>
      <c r="Y2160" s="6"/>
      <c r="Z2160" s="6"/>
    </row>
    <row r="2161" spans="1:26" ht="16.8" x14ac:dyDescent="0.45">
      <c r="A2161" s="6"/>
      <c r="B2161" s="7"/>
      <c r="C2161" s="6"/>
      <c r="D2161" s="6"/>
      <c r="E2161" s="6"/>
      <c r="F2161" s="6"/>
      <c r="G2161" s="6"/>
      <c r="H2161" s="6"/>
      <c r="I2161" s="6"/>
      <c r="J2161" s="6"/>
      <c r="K2161" s="6"/>
      <c r="L2161" s="6"/>
      <c r="M2161" s="6"/>
      <c r="N2161" s="6"/>
      <c r="O2161" s="6"/>
      <c r="P2161" s="6"/>
      <c r="Q2161" s="6"/>
      <c r="R2161" s="6"/>
      <c r="S2161" s="6"/>
      <c r="T2161" s="6"/>
      <c r="U2161" s="6"/>
      <c r="V2161" s="6"/>
      <c r="W2161" s="6"/>
      <c r="X2161" s="6"/>
      <c r="Y2161" s="6"/>
      <c r="Z2161" s="6"/>
    </row>
    <row r="2162" spans="1:26" ht="16.8" x14ac:dyDescent="0.45">
      <c r="A2162" s="6"/>
      <c r="B2162" s="7"/>
      <c r="C2162" s="6"/>
      <c r="D2162" s="6"/>
      <c r="E2162" s="6"/>
      <c r="F2162" s="6"/>
      <c r="G2162" s="6"/>
      <c r="H2162" s="6"/>
      <c r="I2162" s="6"/>
      <c r="J2162" s="6"/>
      <c r="K2162" s="6"/>
      <c r="L2162" s="6"/>
      <c r="M2162" s="6"/>
      <c r="N2162" s="6"/>
      <c r="O2162" s="6"/>
      <c r="P2162" s="6"/>
      <c r="Q2162" s="6"/>
      <c r="R2162" s="6"/>
      <c r="S2162" s="6"/>
      <c r="T2162" s="6"/>
      <c r="U2162" s="6"/>
      <c r="V2162" s="6"/>
      <c r="W2162" s="6"/>
      <c r="X2162" s="6"/>
      <c r="Y2162" s="6"/>
      <c r="Z2162" s="6"/>
    </row>
    <row r="2163" spans="1:26" ht="16.8" x14ac:dyDescent="0.45">
      <c r="A2163" s="6"/>
      <c r="B2163" s="7"/>
      <c r="C2163" s="6"/>
      <c r="D2163" s="6"/>
      <c r="E2163" s="6"/>
      <c r="F2163" s="6"/>
      <c r="G2163" s="6"/>
      <c r="H2163" s="6"/>
      <c r="I2163" s="6"/>
      <c r="J2163" s="6"/>
      <c r="K2163" s="6"/>
      <c r="L2163" s="6"/>
      <c r="M2163" s="6"/>
      <c r="N2163" s="6"/>
      <c r="O2163" s="6"/>
      <c r="P2163" s="6"/>
      <c r="Q2163" s="6"/>
      <c r="R2163" s="6"/>
      <c r="S2163" s="6"/>
      <c r="T2163" s="6"/>
      <c r="U2163" s="6"/>
      <c r="V2163" s="6"/>
      <c r="W2163" s="6"/>
      <c r="X2163" s="6"/>
      <c r="Y2163" s="6"/>
      <c r="Z2163" s="6"/>
    </row>
    <row r="2164" spans="1:26" ht="16.8" x14ac:dyDescent="0.45">
      <c r="A2164" s="6"/>
      <c r="B2164" s="7"/>
      <c r="C2164" s="6"/>
      <c r="D2164" s="6"/>
      <c r="E2164" s="6"/>
      <c r="F2164" s="6"/>
      <c r="G2164" s="6"/>
      <c r="H2164" s="6"/>
      <c r="I2164" s="6"/>
      <c r="J2164" s="6"/>
      <c r="K2164" s="6"/>
      <c r="L2164" s="6"/>
      <c r="M2164" s="6"/>
      <c r="N2164" s="6"/>
      <c r="O2164" s="6"/>
      <c r="P2164" s="6"/>
      <c r="Q2164" s="6"/>
      <c r="R2164" s="6"/>
      <c r="S2164" s="6"/>
      <c r="T2164" s="6"/>
      <c r="U2164" s="6"/>
      <c r="V2164" s="6"/>
      <c r="W2164" s="6"/>
      <c r="X2164" s="6"/>
      <c r="Y2164" s="6"/>
      <c r="Z2164" s="6"/>
    </row>
    <row r="2165" spans="1:26" ht="16.8" x14ac:dyDescent="0.45">
      <c r="A2165" s="6"/>
      <c r="B2165" s="7"/>
      <c r="C2165" s="6"/>
      <c r="D2165" s="6"/>
      <c r="E2165" s="6"/>
      <c r="F2165" s="6"/>
      <c r="G2165" s="6"/>
      <c r="H2165" s="6"/>
      <c r="I2165" s="6"/>
      <c r="J2165" s="6"/>
      <c r="K2165" s="6"/>
      <c r="L2165" s="6"/>
      <c r="M2165" s="6"/>
      <c r="N2165" s="6"/>
      <c r="O2165" s="6"/>
      <c r="P2165" s="6"/>
      <c r="Q2165" s="6"/>
      <c r="R2165" s="6"/>
      <c r="S2165" s="6"/>
      <c r="T2165" s="6"/>
      <c r="U2165" s="6"/>
      <c r="V2165" s="6"/>
      <c r="W2165" s="6"/>
      <c r="X2165" s="6"/>
      <c r="Y2165" s="6"/>
      <c r="Z2165" s="6"/>
    </row>
    <row r="2166" spans="1:26" ht="16.8" x14ac:dyDescent="0.45">
      <c r="A2166" s="6"/>
      <c r="B2166" s="7"/>
      <c r="C2166" s="6"/>
      <c r="D2166" s="6"/>
      <c r="E2166" s="6"/>
      <c r="F2166" s="6"/>
      <c r="G2166" s="6"/>
      <c r="H2166" s="6"/>
      <c r="I2166" s="6"/>
      <c r="J2166" s="6"/>
      <c r="K2166" s="6"/>
      <c r="L2166" s="6"/>
      <c r="M2166" s="6"/>
      <c r="N2166" s="6"/>
      <c r="O2166" s="6"/>
      <c r="P2166" s="6"/>
      <c r="Q2166" s="6"/>
      <c r="R2166" s="6"/>
      <c r="S2166" s="6"/>
      <c r="T2166" s="6"/>
      <c r="U2166" s="6"/>
      <c r="V2166" s="6"/>
      <c r="W2166" s="6"/>
      <c r="X2166" s="6"/>
      <c r="Y2166" s="6"/>
      <c r="Z2166" s="6"/>
    </row>
    <row r="2167" spans="1:26" ht="16.8" x14ac:dyDescent="0.45">
      <c r="A2167" s="6"/>
      <c r="B2167" s="7"/>
      <c r="C2167" s="6"/>
      <c r="D2167" s="6"/>
      <c r="E2167" s="6"/>
      <c r="F2167" s="6"/>
      <c r="G2167" s="6"/>
      <c r="H2167" s="6"/>
      <c r="I2167" s="6"/>
      <c r="J2167" s="6"/>
      <c r="K2167" s="6"/>
      <c r="L2167" s="6"/>
      <c r="M2167" s="6"/>
      <c r="N2167" s="6"/>
      <c r="O2167" s="6"/>
      <c r="P2167" s="6"/>
      <c r="Q2167" s="6"/>
      <c r="R2167" s="6"/>
      <c r="S2167" s="6"/>
      <c r="T2167" s="6"/>
      <c r="U2167" s="6"/>
      <c r="V2167" s="6"/>
      <c r="W2167" s="6"/>
      <c r="X2167" s="6"/>
      <c r="Y2167" s="6"/>
      <c r="Z2167" s="6"/>
    </row>
    <row r="2168" spans="1:26" ht="16.8" x14ac:dyDescent="0.45">
      <c r="A2168" s="6"/>
      <c r="B2168" s="7"/>
      <c r="C2168" s="6"/>
      <c r="D2168" s="6"/>
      <c r="E2168" s="6"/>
      <c r="F2168" s="6"/>
      <c r="G2168" s="6"/>
      <c r="H2168" s="6"/>
      <c r="I2168" s="6"/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</row>
    <row r="2169" spans="1:26" ht="16.8" x14ac:dyDescent="0.45">
      <c r="A2169" s="6"/>
      <c r="B2169" s="7"/>
      <c r="C2169" s="6"/>
      <c r="D2169" s="6"/>
      <c r="E2169" s="6"/>
      <c r="F2169" s="6"/>
      <c r="G2169" s="6"/>
      <c r="H2169" s="6"/>
      <c r="I2169" s="6"/>
      <c r="J2169" s="6"/>
      <c r="K2169" s="6"/>
      <c r="L2169" s="6"/>
      <c r="M2169" s="6"/>
      <c r="N2169" s="6"/>
      <c r="O2169" s="6"/>
      <c r="P2169" s="6"/>
      <c r="Q2169" s="6"/>
      <c r="R2169" s="6"/>
      <c r="S2169" s="6"/>
      <c r="T2169" s="6"/>
      <c r="U2169" s="6"/>
      <c r="V2169" s="6"/>
      <c r="W2169" s="6"/>
      <c r="X2169" s="6"/>
      <c r="Y2169" s="6"/>
      <c r="Z2169" s="6"/>
    </row>
    <row r="2170" spans="1:26" ht="16.8" x14ac:dyDescent="0.45">
      <c r="A2170" s="6"/>
      <c r="B2170" s="7"/>
      <c r="C2170" s="6"/>
      <c r="D2170" s="6"/>
      <c r="E2170" s="6"/>
      <c r="F2170" s="6"/>
      <c r="G2170" s="6"/>
      <c r="H2170" s="6"/>
      <c r="I2170" s="6"/>
      <c r="J2170" s="6"/>
      <c r="K2170" s="6"/>
      <c r="L2170" s="6"/>
      <c r="M2170" s="6"/>
      <c r="N2170" s="6"/>
      <c r="O2170" s="6"/>
      <c r="P2170" s="6"/>
      <c r="Q2170" s="6"/>
      <c r="R2170" s="6"/>
      <c r="S2170" s="6"/>
      <c r="T2170" s="6"/>
      <c r="U2170" s="6"/>
      <c r="V2170" s="6"/>
      <c r="W2170" s="6"/>
      <c r="X2170" s="6"/>
      <c r="Y2170" s="6"/>
      <c r="Z2170" s="6"/>
    </row>
    <row r="2171" spans="1:26" ht="16.8" x14ac:dyDescent="0.45">
      <c r="A2171" s="6"/>
      <c r="B2171" s="7"/>
      <c r="C2171" s="6"/>
      <c r="D2171" s="6"/>
      <c r="E2171" s="6"/>
      <c r="F2171" s="6"/>
      <c r="G2171" s="6"/>
      <c r="H2171" s="6"/>
      <c r="I2171" s="6"/>
      <c r="J2171" s="6"/>
      <c r="K2171" s="6"/>
      <c r="L2171" s="6"/>
      <c r="M2171" s="6"/>
      <c r="N2171" s="6"/>
      <c r="O2171" s="6"/>
      <c r="P2171" s="6"/>
      <c r="Q2171" s="6"/>
      <c r="R2171" s="6"/>
      <c r="S2171" s="6"/>
      <c r="T2171" s="6"/>
      <c r="U2171" s="6"/>
      <c r="V2171" s="6"/>
      <c r="W2171" s="6"/>
      <c r="X2171" s="6"/>
      <c r="Y2171" s="6"/>
      <c r="Z2171" s="6"/>
    </row>
    <row r="2172" spans="1:26" ht="16.8" x14ac:dyDescent="0.45">
      <c r="A2172" s="6"/>
      <c r="B2172" s="7"/>
      <c r="C2172" s="6"/>
      <c r="D2172" s="6"/>
      <c r="E2172" s="6"/>
      <c r="F2172" s="6"/>
      <c r="G2172" s="6"/>
      <c r="H2172" s="6"/>
      <c r="I2172" s="6"/>
      <c r="J2172" s="6"/>
      <c r="K2172" s="6"/>
      <c r="L2172" s="6"/>
      <c r="M2172" s="6"/>
      <c r="N2172" s="6"/>
      <c r="O2172" s="6"/>
      <c r="P2172" s="6"/>
      <c r="Q2172" s="6"/>
      <c r="R2172" s="6"/>
      <c r="S2172" s="6"/>
      <c r="T2172" s="6"/>
      <c r="U2172" s="6"/>
      <c r="V2172" s="6"/>
      <c r="W2172" s="6"/>
      <c r="X2172" s="6"/>
      <c r="Y2172" s="6"/>
      <c r="Z2172" s="6"/>
    </row>
    <row r="2173" spans="1:26" ht="16.8" x14ac:dyDescent="0.45">
      <c r="A2173" s="6"/>
      <c r="B2173" s="7"/>
      <c r="C2173" s="6"/>
      <c r="D2173" s="6"/>
      <c r="E2173" s="6"/>
      <c r="F2173" s="6"/>
      <c r="G2173" s="6"/>
      <c r="H2173" s="6"/>
      <c r="I2173" s="6"/>
      <c r="J2173" s="6"/>
      <c r="K2173" s="6"/>
      <c r="L2173" s="6"/>
      <c r="M2173" s="6"/>
      <c r="N2173" s="6"/>
      <c r="O2173" s="6"/>
      <c r="P2173" s="6"/>
      <c r="Q2173" s="6"/>
      <c r="R2173" s="6"/>
      <c r="S2173" s="6"/>
      <c r="T2173" s="6"/>
      <c r="U2173" s="6"/>
      <c r="V2173" s="6"/>
      <c r="W2173" s="6"/>
      <c r="X2173" s="6"/>
      <c r="Y2173" s="6"/>
      <c r="Z2173" s="6"/>
    </row>
    <row r="2174" spans="1:26" ht="16.8" x14ac:dyDescent="0.45">
      <c r="A2174" s="6"/>
      <c r="B2174" s="7"/>
      <c r="C2174" s="6"/>
      <c r="D2174" s="6"/>
      <c r="E2174" s="6"/>
      <c r="F2174" s="6"/>
      <c r="G2174" s="6"/>
      <c r="H2174" s="6"/>
      <c r="I2174" s="6"/>
      <c r="J2174" s="6"/>
      <c r="K2174" s="6"/>
      <c r="L2174" s="6"/>
      <c r="M2174" s="6"/>
      <c r="N2174" s="6"/>
      <c r="O2174" s="6"/>
      <c r="P2174" s="6"/>
      <c r="Q2174" s="6"/>
      <c r="R2174" s="6"/>
      <c r="S2174" s="6"/>
      <c r="T2174" s="6"/>
      <c r="U2174" s="6"/>
      <c r="V2174" s="6"/>
      <c r="W2174" s="6"/>
      <c r="X2174" s="6"/>
      <c r="Y2174" s="6"/>
      <c r="Z2174" s="6"/>
    </row>
    <row r="2175" spans="1:26" ht="16.8" x14ac:dyDescent="0.45">
      <c r="A2175" s="6"/>
      <c r="B2175" s="7"/>
      <c r="C2175" s="6"/>
      <c r="D2175" s="6"/>
      <c r="E2175" s="6"/>
      <c r="F2175" s="6"/>
      <c r="G2175" s="6"/>
      <c r="H2175" s="6"/>
      <c r="I2175" s="6"/>
      <c r="J2175" s="6"/>
      <c r="K2175" s="6"/>
      <c r="L2175" s="6"/>
      <c r="M2175" s="6"/>
      <c r="N2175" s="6"/>
      <c r="O2175" s="6"/>
      <c r="P2175" s="6"/>
      <c r="Q2175" s="6"/>
      <c r="R2175" s="6"/>
      <c r="S2175" s="6"/>
      <c r="T2175" s="6"/>
      <c r="U2175" s="6"/>
      <c r="V2175" s="6"/>
      <c r="W2175" s="6"/>
      <c r="X2175" s="6"/>
      <c r="Y2175" s="6"/>
      <c r="Z2175" s="6"/>
    </row>
    <row r="2176" spans="1:26" ht="16.8" x14ac:dyDescent="0.45">
      <c r="A2176" s="6"/>
      <c r="B2176" s="7"/>
      <c r="C2176" s="6"/>
      <c r="D2176" s="6"/>
      <c r="E2176" s="6"/>
      <c r="F2176" s="6"/>
      <c r="G2176" s="6"/>
      <c r="H2176" s="6"/>
      <c r="I2176" s="6"/>
      <c r="J2176" s="6"/>
      <c r="K2176" s="6"/>
      <c r="L2176" s="6"/>
      <c r="M2176" s="6"/>
      <c r="N2176" s="6"/>
      <c r="O2176" s="6"/>
      <c r="P2176" s="6"/>
      <c r="Q2176" s="6"/>
      <c r="R2176" s="6"/>
      <c r="S2176" s="6"/>
      <c r="T2176" s="6"/>
      <c r="U2176" s="6"/>
      <c r="V2176" s="6"/>
      <c r="W2176" s="6"/>
      <c r="X2176" s="6"/>
      <c r="Y2176" s="6"/>
      <c r="Z2176" s="6"/>
    </row>
    <row r="2177" spans="1:26" ht="16.8" x14ac:dyDescent="0.45">
      <c r="A2177" s="6"/>
      <c r="B2177" s="7"/>
      <c r="C2177" s="6"/>
      <c r="D2177" s="6"/>
      <c r="E2177" s="6"/>
      <c r="F2177" s="6"/>
      <c r="G2177" s="6"/>
      <c r="H2177" s="6"/>
      <c r="I2177" s="6"/>
      <c r="J2177" s="6"/>
      <c r="K2177" s="6"/>
      <c r="L2177" s="6"/>
      <c r="M2177" s="6"/>
      <c r="N2177" s="6"/>
      <c r="O2177" s="6"/>
      <c r="P2177" s="6"/>
      <c r="Q2177" s="6"/>
      <c r="R2177" s="6"/>
      <c r="S2177" s="6"/>
      <c r="T2177" s="6"/>
      <c r="U2177" s="6"/>
      <c r="V2177" s="6"/>
      <c r="W2177" s="6"/>
      <c r="X2177" s="6"/>
      <c r="Y2177" s="6"/>
      <c r="Z2177" s="6"/>
    </row>
    <row r="2178" spans="1:26" ht="16.8" x14ac:dyDescent="0.45">
      <c r="A2178" s="6"/>
      <c r="B2178" s="7"/>
      <c r="C2178" s="6"/>
      <c r="D2178" s="6"/>
      <c r="E2178" s="6"/>
      <c r="F2178" s="6"/>
      <c r="G2178" s="6"/>
      <c r="H2178" s="6"/>
      <c r="I2178" s="6"/>
      <c r="J2178" s="6"/>
      <c r="K2178" s="6"/>
      <c r="L2178" s="6"/>
      <c r="M2178" s="6"/>
      <c r="N2178" s="6"/>
      <c r="O2178" s="6"/>
      <c r="P2178" s="6"/>
      <c r="Q2178" s="6"/>
      <c r="R2178" s="6"/>
      <c r="S2178" s="6"/>
      <c r="T2178" s="6"/>
      <c r="U2178" s="6"/>
      <c r="V2178" s="6"/>
      <c r="W2178" s="6"/>
      <c r="X2178" s="6"/>
      <c r="Y2178" s="6"/>
      <c r="Z2178" s="6"/>
    </row>
    <row r="2179" spans="1:26" ht="16.8" x14ac:dyDescent="0.45">
      <c r="A2179" s="6"/>
      <c r="B2179" s="7"/>
      <c r="C2179" s="6"/>
      <c r="D2179" s="6"/>
      <c r="E2179" s="6"/>
      <c r="F2179" s="6"/>
      <c r="G2179" s="6"/>
      <c r="H2179" s="6"/>
      <c r="I2179" s="6"/>
      <c r="J2179" s="6"/>
      <c r="K2179" s="6"/>
      <c r="L2179" s="6"/>
      <c r="M2179" s="6"/>
      <c r="N2179" s="6"/>
      <c r="O2179" s="6"/>
      <c r="P2179" s="6"/>
      <c r="Q2179" s="6"/>
      <c r="R2179" s="6"/>
      <c r="S2179" s="6"/>
      <c r="T2179" s="6"/>
      <c r="U2179" s="6"/>
      <c r="V2179" s="6"/>
      <c r="W2179" s="6"/>
      <c r="X2179" s="6"/>
      <c r="Y2179" s="6"/>
      <c r="Z2179" s="6"/>
    </row>
    <row r="2180" spans="1:26" ht="16.8" x14ac:dyDescent="0.45">
      <c r="A2180" s="6"/>
      <c r="B2180" s="7"/>
      <c r="C2180" s="6"/>
      <c r="D2180" s="6"/>
      <c r="E2180" s="6"/>
      <c r="F2180" s="6"/>
      <c r="G2180" s="6"/>
      <c r="H2180" s="6"/>
      <c r="I2180" s="6"/>
      <c r="J2180" s="6"/>
      <c r="K2180" s="6"/>
      <c r="L2180" s="6"/>
      <c r="M2180" s="6"/>
      <c r="N2180" s="6"/>
      <c r="O2180" s="6"/>
      <c r="P2180" s="6"/>
      <c r="Q2180" s="6"/>
      <c r="R2180" s="6"/>
      <c r="S2180" s="6"/>
      <c r="T2180" s="6"/>
      <c r="U2180" s="6"/>
      <c r="V2180" s="6"/>
      <c r="W2180" s="6"/>
      <c r="X2180" s="6"/>
      <c r="Y2180" s="6"/>
      <c r="Z2180" s="6"/>
    </row>
    <row r="2181" spans="1:26" ht="16.8" x14ac:dyDescent="0.45">
      <c r="A2181" s="6"/>
      <c r="B2181" s="7"/>
      <c r="C2181" s="6"/>
      <c r="D2181" s="6"/>
      <c r="E2181" s="6"/>
      <c r="F2181" s="6"/>
      <c r="G2181" s="6"/>
      <c r="H2181" s="6"/>
      <c r="I2181" s="6"/>
      <c r="J2181" s="6"/>
      <c r="K2181" s="6"/>
      <c r="L2181" s="6"/>
      <c r="M2181" s="6"/>
      <c r="N2181" s="6"/>
      <c r="O2181" s="6"/>
      <c r="P2181" s="6"/>
      <c r="Q2181" s="6"/>
      <c r="R2181" s="6"/>
      <c r="S2181" s="6"/>
      <c r="T2181" s="6"/>
      <c r="U2181" s="6"/>
      <c r="V2181" s="6"/>
      <c r="W2181" s="6"/>
      <c r="X2181" s="6"/>
      <c r="Y2181" s="6"/>
      <c r="Z2181" s="6"/>
    </row>
    <row r="2182" spans="1:26" ht="16.8" x14ac:dyDescent="0.45">
      <c r="A2182" s="6"/>
      <c r="B2182" s="7"/>
      <c r="C2182" s="6"/>
      <c r="D2182" s="6"/>
      <c r="E2182" s="6"/>
      <c r="F2182" s="6"/>
      <c r="G2182" s="6"/>
      <c r="H2182" s="6"/>
      <c r="I2182" s="6"/>
      <c r="J2182" s="6"/>
      <c r="K2182" s="6"/>
      <c r="L2182" s="6"/>
      <c r="M2182" s="6"/>
      <c r="N2182" s="6"/>
      <c r="O2182" s="6"/>
      <c r="P2182" s="6"/>
      <c r="Q2182" s="6"/>
      <c r="R2182" s="6"/>
      <c r="S2182" s="6"/>
      <c r="T2182" s="6"/>
      <c r="U2182" s="6"/>
      <c r="V2182" s="6"/>
      <c r="W2182" s="6"/>
      <c r="X2182" s="6"/>
      <c r="Y2182" s="6"/>
      <c r="Z2182" s="6"/>
    </row>
    <row r="2183" spans="1:26" ht="16.8" x14ac:dyDescent="0.45">
      <c r="A2183" s="6"/>
      <c r="B2183" s="7"/>
      <c r="C2183" s="6"/>
      <c r="D2183" s="6"/>
      <c r="E2183" s="6"/>
      <c r="F2183" s="6"/>
      <c r="G2183" s="6"/>
      <c r="H2183" s="6"/>
      <c r="I2183" s="6"/>
      <c r="J2183" s="6"/>
      <c r="K2183" s="6"/>
      <c r="L2183" s="6"/>
      <c r="M2183" s="6"/>
      <c r="N2183" s="6"/>
      <c r="O2183" s="6"/>
      <c r="P2183" s="6"/>
      <c r="Q2183" s="6"/>
      <c r="R2183" s="6"/>
      <c r="S2183" s="6"/>
      <c r="T2183" s="6"/>
      <c r="U2183" s="6"/>
      <c r="V2183" s="6"/>
      <c r="W2183" s="6"/>
      <c r="X2183" s="6"/>
      <c r="Y2183" s="6"/>
      <c r="Z2183" s="6"/>
    </row>
    <row r="2184" spans="1:26" ht="16.8" x14ac:dyDescent="0.45">
      <c r="A2184" s="6"/>
      <c r="B2184" s="7"/>
      <c r="C2184" s="6"/>
      <c r="D2184" s="6"/>
      <c r="E2184" s="6"/>
      <c r="F2184" s="6"/>
      <c r="G2184" s="6"/>
      <c r="H2184" s="6"/>
      <c r="I2184" s="6"/>
      <c r="J2184" s="6"/>
      <c r="K2184" s="6"/>
      <c r="L2184" s="6"/>
      <c r="M2184" s="6"/>
      <c r="N2184" s="6"/>
      <c r="O2184" s="6"/>
      <c r="P2184" s="6"/>
      <c r="Q2184" s="6"/>
      <c r="R2184" s="6"/>
      <c r="S2184" s="6"/>
      <c r="T2184" s="6"/>
      <c r="U2184" s="6"/>
      <c r="V2184" s="6"/>
      <c r="W2184" s="6"/>
      <c r="X2184" s="6"/>
      <c r="Y2184" s="6"/>
      <c r="Z2184" s="6"/>
    </row>
    <row r="2185" spans="1:26" ht="16.8" x14ac:dyDescent="0.45">
      <c r="A2185" s="6"/>
      <c r="B2185" s="7"/>
      <c r="C2185" s="6"/>
      <c r="D2185" s="6"/>
      <c r="E2185" s="6"/>
      <c r="F2185" s="6"/>
      <c r="G2185" s="6"/>
      <c r="H2185" s="6"/>
      <c r="I2185" s="6"/>
      <c r="J2185" s="6"/>
      <c r="K2185" s="6"/>
      <c r="L2185" s="6"/>
      <c r="M2185" s="6"/>
      <c r="N2185" s="6"/>
      <c r="O2185" s="6"/>
      <c r="P2185" s="6"/>
      <c r="Q2185" s="6"/>
      <c r="R2185" s="6"/>
      <c r="S2185" s="6"/>
      <c r="T2185" s="6"/>
      <c r="U2185" s="6"/>
      <c r="V2185" s="6"/>
      <c r="W2185" s="6"/>
      <c r="X2185" s="6"/>
      <c r="Y2185" s="6"/>
      <c r="Z2185" s="6"/>
    </row>
    <row r="2186" spans="1:26" ht="16.8" x14ac:dyDescent="0.45">
      <c r="A2186" s="6"/>
      <c r="B2186" s="7"/>
      <c r="C2186" s="6"/>
      <c r="D2186" s="6"/>
      <c r="E2186" s="6"/>
      <c r="F2186" s="6"/>
      <c r="G2186" s="6"/>
      <c r="H2186" s="6"/>
      <c r="I2186" s="6"/>
      <c r="J2186" s="6"/>
      <c r="K2186" s="6"/>
      <c r="L2186" s="6"/>
      <c r="M2186" s="6"/>
      <c r="N2186" s="6"/>
      <c r="O2186" s="6"/>
      <c r="P2186" s="6"/>
      <c r="Q2186" s="6"/>
      <c r="R2186" s="6"/>
      <c r="S2186" s="6"/>
      <c r="T2186" s="6"/>
      <c r="U2186" s="6"/>
      <c r="V2186" s="6"/>
      <c r="W2186" s="6"/>
      <c r="X2186" s="6"/>
      <c r="Y2186" s="6"/>
      <c r="Z2186" s="6"/>
    </row>
    <row r="2187" spans="1:26" ht="16.8" x14ac:dyDescent="0.45">
      <c r="A2187" s="6"/>
      <c r="B2187" s="7"/>
      <c r="C2187" s="6"/>
      <c r="D2187" s="6"/>
      <c r="E2187" s="6"/>
      <c r="F2187" s="6"/>
      <c r="G2187" s="6"/>
      <c r="H2187" s="6"/>
      <c r="I2187" s="6"/>
      <c r="J2187" s="6"/>
      <c r="K2187" s="6"/>
      <c r="L2187" s="6"/>
      <c r="M2187" s="6"/>
      <c r="N2187" s="6"/>
      <c r="O2187" s="6"/>
      <c r="P2187" s="6"/>
      <c r="Q2187" s="6"/>
      <c r="R2187" s="6"/>
      <c r="S2187" s="6"/>
      <c r="T2187" s="6"/>
      <c r="U2187" s="6"/>
      <c r="V2187" s="6"/>
      <c r="W2187" s="6"/>
      <c r="X2187" s="6"/>
      <c r="Y2187" s="6"/>
      <c r="Z2187" s="6"/>
    </row>
    <row r="2188" spans="1:26" ht="16.8" x14ac:dyDescent="0.45">
      <c r="A2188" s="6"/>
      <c r="B2188" s="7"/>
      <c r="C2188" s="6"/>
      <c r="D2188" s="6"/>
      <c r="E2188" s="6"/>
      <c r="F2188" s="6"/>
      <c r="G2188" s="6"/>
      <c r="H2188" s="6"/>
      <c r="I2188" s="6"/>
      <c r="J2188" s="6"/>
      <c r="K2188" s="6"/>
      <c r="L2188" s="6"/>
      <c r="M2188" s="6"/>
      <c r="N2188" s="6"/>
      <c r="O2188" s="6"/>
      <c r="P2188" s="6"/>
      <c r="Q2188" s="6"/>
      <c r="R2188" s="6"/>
      <c r="S2188" s="6"/>
      <c r="T2188" s="6"/>
      <c r="U2188" s="6"/>
      <c r="V2188" s="6"/>
      <c r="W2188" s="6"/>
      <c r="X2188" s="6"/>
      <c r="Y2188" s="6"/>
      <c r="Z2188" s="6"/>
    </row>
    <row r="2189" spans="1:26" ht="16.8" x14ac:dyDescent="0.45">
      <c r="A2189" s="6"/>
      <c r="B2189" s="7"/>
      <c r="C2189" s="6"/>
      <c r="D2189" s="6"/>
      <c r="E2189" s="6"/>
      <c r="F2189" s="6"/>
      <c r="G2189" s="6"/>
      <c r="H2189" s="6"/>
      <c r="I2189" s="6"/>
      <c r="J2189" s="6"/>
      <c r="K2189" s="6"/>
      <c r="L2189" s="6"/>
      <c r="M2189" s="6"/>
      <c r="N2189" s="6"/>
      <c r="O2189" s="6"/>
      <c r="P2189" s="6"/>
      <c r="Q2189" s="6"/>
      <c r="R2189" s="6"/>
      <c r="S2189" s="6"/>
      <c r="T2189" s="6"/>
      <c r="U2189" s="6"/>
      <c r="V2189" s="6"/>
      <c r="W2189" s="6"/>
      <c r="X2189" s="6"/>
      <c r="Y2189" s="6"/>
      <c r="Z2189" s="6"/>
    </row>
    <row r="2190" spans="1:26" ht="16.8" x14ac:dyDescent="0.45">
      <c r="A2190" s="6"/>
      <c r="B2190" s="7"/>
      <c r="C2190" s="6"/>
      <c r="D2190" s="6"/>
      <c r="E2190" s="6"/>
      <c r="F2190" s="6"/>
      <c r="G2190" s="6"/>
      <c r="H2190" s="6"/>
      <c r="I2190" s="6"/>
      <c r="J2190" s="6"/>
      <c r="K2190" s="6"/>
      <c r="L2190" s="6"/>
      <c r="M2190" s="6"/>
      <c r="N2190" s="6"/>
      <c r="O2190" s="6"/>
      <c r="P2190" s="6"/>
      <c r="Q2190" s="6"/>
      <c r="R2190" s="6"/>
      <c r="S2190" s="6"/>
      <c r="T2190" s="6"/>
      <c r="U2190" s="6"/>
      <c r="V2190" s="6"/>
      <c r="W2190" s="6"/>
      <c r="X2190" s="6"/>
      <c r="Y2190" s="6"/>
      <c r="Z2190" s="6"/>
    </row>
    <row r="2191" spans="1:26" ht="16.8" x14ac:dyDescent="0.45">
      <c r="A2191" s="6"/>
      <c r="B2191" s="7"/>
      <c r="C2191" s="6"/>
      <c r="D2191" s="6"/>
      <c r="E2191" s="6"/>
      <c r="F2191" s="6"/>
      <c r="G2191" s="6"/>
      <c r="H2191" s="6"/>
      <c r="I2191" s="6"/>
      <c r="J2191" s="6"/>
      <c r="K2191" s="6"/>
      <c r="L2191" s="6"/>
      <c r="M2191" s="6"/>
      <c r="N2191" s="6"/>
      <c r="O2191" s="6"/>
      <c r="P2191" s="6"/>
      <c r="Q2191" s="6"/>
      <c r="R2191" s="6"/>
      <c r="S2191" s="6"/>
      <c r="T2191" s="6"/>
      <c r="U2191" s="6"/>
      <c r="V2191" s="6"/>
      <c r="W2191" s="6"/>
      <c r="X2191" s="6"/>
      <c r="Y2191" s="6"/>
      <c r="Z2191" s="6"/>
    </row>
    <row r="2192" spans="1:26" ht="16.8" x14ac:dyDescent="0.45">
      <c r="A2192" s="6"/>
      <c r="B2192" s="7"/>
      <c r="C2192" s="6"/>
      <c r="D2192" s="6"/>
      <c r="E2192" s="6"/>
      <c r="F2192" s="6"/>
      <c r="G2192" s="6"/>
      <c r="H2192" s="6"/>
      <c r="I2192" s="6"/>
      <c r="J2192" s="6"/>
      <c r="K2192" s="6"/>
      <c r="L2192" s="6"/>
      <c r="M2192" s="6"/>
      <c r="N2192" s="6"/>
      <c r="O2192" s="6"/>
      <c r="P2192" s="6"/>
      <c r="Q2192" s="6"/>
      <c r="R2192" s="6"/>
      <c r="S2192" s="6"/>
      <c r="T2192" s="6"/>
      <c r="U2192" s="6"/>
      <c r="V2192" s="6"/>
      <c r="W2192" s="6"/>
      <c r="X2192" s="6"/>
      <c r="Y2192" s="6"/>
      <c r="Z2192" s="6"/>
    </row>
    <row r="2193" spans="1:26" ht="16.8" x14ac:dyDescent="0.45">
      <c r="A2193" s="6"/>
      <c r="B2193" s="7"/>
      <c r="C2193" s="6"/>
      <c r="D2193" s="6"/>
      <c r="E2193" s="6"/>
      <c r="F2193" s="6"/>
      <c r="G2193" s="6"/>
      <c r="H2193" s="6"/>
      <c r="I2193" s="6"/>
      <c r="J2193" s="6"/>
      <c r="K2193" s="6"/>
      <c r="L2193" s="6"/>
      <c r="M2193" s="6"/>
      <c r="N2193" s="6"/>
      <c r="O2193" s="6"/>
      <c r="P2193" s="6"/>
      <c r="Q2193" s="6"/>
      <c r="R2193" s="6"/>
      <c r="S2193" s="6"/>
      <c r="T2193" s="6"/>
      <c r="U2193" s="6"/>
      <c r="V2193" s="6"/>
      <c r="W2193" s="6"/>
      <c r="X2193" s="6"/>
      <c r="Y2193" s="6"/>
      <c r="Z2193" s="6"/>
    </row>
    <row r="2194" spans="1:26" ht="16.8" x14ac:dyDescent="0.45">
      <c r="A2194" s="6"/>
      <c r="B2194" s="7"/>
      <c r="C2194" s="6"/>
      <c r="D2194" s="6"/>
      <c r="E2194" s="6"/>
      <c r="F2194" s="6"/>
      <c r="G2194" s="6"/>
      <c r="H2194" s="6"/>
      <c r="I2194" s="6"/>
      <c r="J2194" s="6"/>
      <c r="K2194" s="6"/>
      <c r="L2194" s="6"/>
      <c r="M2194" s="6"/>
      <c r="N2194" s="6"/>
      <c r="O2194" s="6"/>
      <c r="P2194" s="6"/>
      <c r="Q2194" s="6"/>
      <c r="R2194" s="6"/>
      <c r="S2194" s="6"/>
      <c r="T2194" s="6"/>
      <c r="U2194" s="6"/>
      <c r="V2194" s="6"/>
      <c r="W2194" s="6"/>
      <c r="X2194" s="6"/>
      <c r="Y2194" s="6"/>
      <c r="Z2194" s="6"/>
    </row>
    <row r="2195" spans="1:26" ht="16.8" x14ac:dyDescent="0.45">
      <c r="A2195" s="6"/>
      <c r="B2195" s="7"/>
      <c r="C2195" s="6"/>
      <c r="D2195" s="6"/>
      <c r="E2195" s="6"/>
      <c r="F2195" s="6"/>
      <c r="G2195" s="6"/>
      <c r="H2195" s="6"/>
      <c r="I2195" s="6"/>
      <c r="J2195" s="6"/>
      <c r="K2195" s="6"/>
      <c r="L2195" s="6"/>
      <c r="M2195" s="6"/>
      <c r="N2195" s="6"/>
      <c r="O2195" s="6"/>
      <c r="P2195" s="6"/>
      <c r="Q2195" s="6"/>
      <c r="R2195" s="6"/>
      <c r="S2195" s="6"/>
      <c r="T2195" s="6"/>
      <c r="U2195" s="6"/>
      <c r="V2195" s="6"/>
      <c r="W2195" s="6"/>
      <c r="X2195" s="6"/>
      <c r="Y2195" s="6"/>
      <c r="Z2195" s="6"/>
    </row>
    <row r="2196" spans="1:26" ht="16.8" x14ac:dyDescent="0.45">
      <c r="A2196" s="6"/>
      <c r="B2196" s="7"/>
      <c r="C2196" s="6"/>
      <c r="D2196" s="6"/>
      <c r="E2196" s="6"/>
      <c r="F2196" s="6"/>
      <c r="G2196" s="6"/>
      <c r="H2196" s="6"/>
      <c r="I2196" s="6"/>
      <c r="J2196" s="6"/>
      <c r="K2196" s="6"/>
      <c r="L2196" s="6"/>
      <c r="M2196" s="6"/>
      <c r="N2196" s="6"/>
      <c r="O2196" s="6"/>
      <c r="P2196" s="6"/>
      <c r="Q2196" s="6"/>
      <c r="R2196" s="6"/>
      <c r="S2196" s="6"/>
      <c r="T2196" s="6"/>
      <c r="U2196" s="6"/>
      <c r="V2196" s="6"/>
      <c r="W2196" s="6"/>
      <c r="X2196" s="6"/>
      <c r="Y2196" s="6"/>
      <c r="Z2196" s="6"/>
    </row>
    <row r="2197" spans="1:26" ht="16.8" x14ac:dyDescent="0.45">
      <c r="A2197" s="6"/>
      <c r="B2197" s="7"/>
      <c r="C2197" s="6"/>
      <c r="D2197" s="6"/>
      <c r="E2197" s="6"/>
      <c r="F2197" s="6"/>
      <c r="G2197" s="6"/>
      <c r="H2197" s="6"/>
      <c r="I2197" s="6"/>
      <c r="J2197" s="6"/>
      <c r="K2197" s="6"/>
      <c r="L2197" s="6"/>
      <c r="M2197" s="6"/>
      <c r="N2197" s="6"/>
      <c r="O2197" s="6"/>
      <c r="P2197" s="6"/>
      <c r="Q2197" s="6"/>
      <c r="R2197" s="6"/>
      <c r="S2197" s="6"/>
      <c r="T2197" s="6"/>
      <c r="U2197" s="6"/>
      <c r="V2197" s="6"/>
      <c r="W2197" s="6"/>
      <c r="X2197" s="6"/>
      <c r="Y2197" s="6"/>
      <c r="Z2197" s="6"/>
    </row>
    <row r="2198" spans="1:26" ht="16.8" x14ac:dyDescent="0.45">
      <c r="A2198" s="6"/>
      <c r="B2198" s="7"/>
      <c r="C2198" s="6"/>
      <c r="D2198" s="6"/>
      <c r="E2198" s="6"/>
      <c r="F2198" s="6"/>
      <c r="G2198" s="6"/>
      <c r="H2198" s="6"/>
      <c r="I2198" s="6"/>
      <c r="J2198" s="6"/>
      <c r="K2198" s="6"/>
      <c r="L2198" s="6"/>
      <c r="M2198" s="6"/>
      <c r="N2198" s="6"/>
      <c r="O2198" s="6"/>
      <c r="P2198" s="6"/>
      <c r="Q2198" s="6"/>
      <c r="R2198" s="6"/>
      <c r="S2198" s="6"/>
      <c r="T2198" s="6"/>
      <c r="U2198" s="6"/>
      <c r="V2198" s="6"/>
      <c r="W2198" s="6"/>
      <c r="X2198" s="6"/>
      <c r="Y2198" s="6"/>
      <c r="Z2198" s="6"/>
    </row>
    <row r="2199" spans="1:26" ht="16.8" x14ac:dyDescent="0.45">
      <c r="A2199" s="6"/>
      <c r="B2199" s="7"/>
      <c r="C2199" s="6"/>
      <c r="D2199" s="6"/>
      <c r="E2199" s="6"/>
      <c r="F2199" s="6"/>
      <c r="G2199" s="6"/>
      <c r="H2199" s="6"/>
      <c r="I2199" s="6"/>
      <c r="J2199" s="6"/>
      <c r="K2199" s="6"/>
      <c r="L2199" s="6"/>
      <c r="M2199" s="6"/>
      <c r="N2199" s="6"/>
      <c r="O2199" s="6"/>
      <c r="P2199" s="6"/>
      <c r="Q2199" s="6"/>
      <c r="R2199" s="6"/>
      <c r="S2199" s="6"/>
      <c r="T2199" s="6"/>
      <c r="U2199" s="6"/>
      <c r="V2199" s="6"/>
      <c r="W2199" s="6"/>
      <c r="X2199" s="6"/>
      <c r="Y2199" s="6"/>
      <c r="Z2199" s="6"/>
    </row>
    <row r="2200" spans="1:26" ht="16.8" x14ac:dyDescent="0.45">
      <c r="A2200" s="6"/>
      <c r="B2200" s="7"/>
      <c r="C2200" s="6"/>
      <c r="D2200" s="6"/>
      <c r="E2200" s="6"/>
      <c r="F2200" s="6"/>
      <c r="G2200" s="6"/>
      <c r="H2200" s="6"/>
      <c r="I2200" s="6"/>
      <c r="J2200" s="6"/>
      <c r="K2200" s="6"/>
      <c r="L2200" s="6"/>
      <c r="M2200" s="6"/>
      <c r="N2200" s="6"/>
      <c r="O2200" s="6"/>
      <c r="P2200" s="6"/>
      <c r="Q2200" s="6"/>
      <c r="R2200" s="6"/>
      <c r="S2200" s="6"/>
      <c r="T2200" s="6"/>
      <c r="U2200" s="6"/>
      <c r="V2200" s="6"/>
      <c r="W2200" s="6"/>
      <c r="X2200" s="6"/>
      <c r="Y2200" s="6"/>
      <c r="Z2200" s="6"/>
    </row>
    <row r="2201" spans="1:26" ht="16.8" x14ac:dyDescent="0.45">
      <c r="A2201" s="6"/>
      <c r="B2201" s="7"/>
      <c r="C2201" s="6"/>
      <c r="D2201" s="6"/>
      <c r="E2201" s="6"/>
      <c r="F2201" s="6"/>
      <c r="G2201" s="6"/>
      <c r="H2201" s="6"/>
      <c r="I2201" s="6"/>
      <c r="J2201" s="6"/>
      <c r="K2201" s="6"/>
      <c r="L2201" s="6"/>
      <c r="M2201" s="6"/>
      <c r="N2201" s="6"/>
      <c r="O2201" s="6"/>
      <c r="P2201" s="6"/>
      <c r="Q2201" s="6"/>
      <c r="R2201" s="6"/>
      <c r="S2201" s="6"/>
      <c r="T2201" s="6"/>
      <c r="U2201" s="6"/>
      <c r="V2201" s="6"/>
      <c r="W2201" s="6"/>
      <c r="X2201" s="6"/>
      <c r="Y2201" s="6"/>
      <c r="Z2201" s="6"/>
    </row>
    <row r="2202" spans="1:26" ht="16.8" x14ac:dyDescent="0.45">
      <c r="A2202" s="6"/>
      <c r="B2202" s="7"/>
      <c r="C2202" s="6"/>
      <c r="D2202" s="6"/>
      <c r="E2202" s="6"/>
      <c r="F2202" s="6"/>
      <c r="G2202" s="6"/>
      <c r="H2202" s="6"/>
      <c r="I2202" s="6"/>
      <c r="J2202" s="6"/>
      <c r="K2202" s="6"/>
      <c r="L2202" s="6"/>
      <c r="M2202" s="6"/>
      <c r="N2202" s="6"/>
      <c r="O2202" s="6"/>
      <c r="P2202" s="6"/>
      <c r="Q2202" s="6"/>
      <c r="R2202" s="6"/>
      <c r="S2202" s="6"/>
      <c r="T2202" s="6"/>
      <c r="U2202" s="6"/>
      <c r="V2202" s="6"/>
      <c r="W2202" s="6"/>
      <c r="X2202" s="6"/>
      <c r="Y2202" s="6"/>
      <c r="Z2202" s="6"/>
    </row>
    <row r="2203" spans="1:26" ht="16.8" x14ac:dyDescent="0.45">
      <c r="A2203" s="6"/>
      <c r="B2203" s="7"/>
      <c r="C2203" s="6"/>
      <c r="D2203" s="6"/>
      <c r="E2203" s="6"/>
      <c r="F2203" s="6"/>
      <c r="G2203" s="6"/>
      <c r="H2203" s="6"/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</row>
    <row r="2204" spans="1:26" ht="16.8" x14ac:dyDescent="0.45">
      <c r="A2204" s="6"/>
      <c r="B2204" s="7"/>
      <c r="C2204" s="6"/>
      <c r="D2204" s="6"/>
      <c r="E2204" s="6"/>
      <c r="F2204" s="6"/>
      <c r="G2204" s="6"/>
      <c r="H2204" s="6"/>
      <c r="I2204" s="6"/>
      <c r="J2204" s="6"/>
      <c r="K2204" s="6"/>
      <c r="L2204" s="6"/>
      <c r="M2204" s="6"/>
      <c r="N2204" s="6"/>
      <c r="O2204" s="6"/>
      <c r="P2204" s="6"/>
      <c r="Q2204" s="6"/>
      <c r="R2204" s="6"/>
      <c r="S2204" s="6"/>
      <c r="T2204" s="6"/>
      <c r="U2204" s="6"/>
      <c r="V2204" s="6"/>
      <c r="W2204" s="6"/>
      <c r="X2204" s="6"/>
      <c r="Y2204" s="6"/>
      <c r="Z2204" s="6"/>
    </row>
    <row r="2205" spans="1:26" ht="16.8" x14ac:dyDescent="0.45">
      <c r="A2205" s="6"/>
      <c r="B2205" s="7"/>
      <c r="C2205" s="6"/>
      <c r="D2205" s="6"/>
      <c r="E2205" s="6"/>
      <c r="F2205" s="6"/>
      <c r="G2205" s="6"/>
      <c r="H2205" s="6"/>
      <c r="I2205" s="6"/>
      <c r="J2205" s="6"/>
      <c r="K2205" s="6"/>
      <c r="L2205" s="6"/>
      <c r="M2205" s="6"/>
      <c r="N2205" s="6"/>
      <c r="O2205" s="6"/>
      <c r="P2205" s="6"/>
      <c r="Q2205" s="6"/>
      <c r="R2205" s="6"/>
      <c r="S2205" s="6"/>
      <c r="T2205" s="6"/>
      <c r="U2205" s="6"/>
      <c r="V2205" s="6"/>
      <c r="W2205" s="6"/>
      <c r="X2205" s="6"/>
      <c r="Y2205" s="6"/>
      <c r="Z2205" s="6"/>
    </row>
    <row r="2206" spans="1:26" ht="16.8" x14ac:dyDescent="0.45">
      <c r="A2206" s="6"/>
      <c r="B2206" s="7"/>
      <c r="C2206" s="6"/>
      <c r="D2206" s="6"/>
      <c r="E2206" s="6"/>
      <c r="F2206" s="6"/>
      <c r="G2206" s="6"/>
      <c r="H2206" s="6"/>
      <c r="I2206" s="6"/>
      <c r="J2206" s="6"/>
      <c r="K2206" s="6"/>
      <c r="L2206" s="6"/>
      <c r="M2206" s="6"/>
      <c r="N2206" s="6"/>
      <c r="O2206" s="6"/>
      <c r="P2206" s="6"/>
      <c r="Q2206" s="6"/>
      <c r="R2206" s="6"/>
      <c r="S2206" s="6"/>
      <c r="T2206" s="6"/>
      <c r="U2206" s="6"/>
      <c r="V2206" s="6"/>
      <c r="W2206" s="6"/>
      <c r="X2206" s="6"/>
      <c r="Y2206" s="6"/>
      <c r="Z2206" s="6"/>
    </row>
    <row r="2207" spans="1:26" ht="16.8" x14ac:dyDescent="0.45">
      <c r="A2207" s="6"/>
      <c r="B2207" s="7"/>
      <c r="C2207" s="6"/>
      <c r="D2207" s="6"/>
      <c r="E2207" s="6"/>
      <c r="F2207" s="6"/>
      <c r="G2207" s="6"/>
      <c r="H2207" s="6"/>
      <c r="I2207" s="6"/>
      <c r="J2207" s="6"/>
      <c r="K2207" s="6"/>
      <c r="L2207" s="6"/>
      <c r="M2207" s="6"/>
      <c r="N2207" s="6"/>
      <c r="O2207" s="6"/>
      <c r="P2207" s="6"/>
      <c r="Q2207" s="6"/>
      <c r="R2207" s="6"/>
      <c r="S2207" s="6"/>
      <c r="T2207" s="6"/>
      <c r="U2207" s="6"/>
      <c r="V2207" s="6"/>
      <c r="W2207" s="6"/>
      <c r="X2207" s="6"/>
      <c r="Y2207" s="6"/>
      <c r="Z2207" s="6"/>
    </row>
    <row r="2208" spans="1:26" ht="16.8" x14ac:dyDescent="0.45">
      <c r="A2208" s="6"/>
      <c r="B2208" s="7"/>
      <c r="C2208" s="6"/>
      <c r="D2208" s="6"/>
      <c r="E2208" s="6"/>
      <c r="F2208" s="6"/>
      <c r="G2208" s="6"/>
      <c r="H2208" s="6"/>
      <c r="I2208" s="6"/>
      <c r="J2208" s="6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</row>
    <row r="2209" spans="1:26" ht="16.8" x14ac:dyDescent="0.45">
      <c r="A2209" s="6"/>
      <c r="B2209" s="7"/>
      <c r="C2209" s="6"/>
      <c r="D2209" s="6"/>
      <c r="E2209" s="6"/>
      <c r="F2209" s="6"/>
      <c r="G2209" s="6"/>
      <c r="H2209" s="6"/>
      <c r="I2209" s="6"/>
      <c r="J2209" s="6"/>
      <c r="K2209" s="6"/>
      <c r="L2209" s="6"/>
      <c r="M2209" s="6"/>
      <c r="N2209" s="6"/>
      <c r="O2209" s="6"/>
      <c r="P2209" s="6"/>
      <c r="Q2209" s="6"/>
      <c r="R2209" s="6"/>
      <c r="S2209" s="6"/>
      <c r="T2209" s="6"/>
      <c r="U2209" s="6"/>
      <c r="V2209" s="6"/>
      <c r="W2209" s="6"/>
      <c r="X2209" s="6"/>
      <c r="Y2209" s="6"/>
      <c r="Z2209" s="6"/>
    </row>
    <row r="2210" spans="1:26" ht="16.8" x14ac:dyDescent="0.45">
      <c r="A2210" s="6"/>
      <c r="B2210" s="7"/>
      <c r="C2210" s="6"/>
      <c r="D2210" s="6"/>
      <c r="E2210" s="6"/>
      <c r="F2210" s="6"/>
      <c r="G2210" s="6"/>
      <c r="H2210" s="6"/>
      <c r="I2210" s="6"/>
      <c r="J2210" s="6"/>
      <c r="K2210" s="6"/>
      <c r="L2210" s="6"/>
      <c r="M2210" s="6"/>
      <c r="N2210" s="6"/>
      <c r="O2210" s="6"/>
      <c r="P2210" s="6"/>
      <c r="Q2210" s="6"/>
      <c r="R2210" s="6"/>
      <c r="S2210" s="6"/>
      <c r="T2210" s="6"/>
      <c r="U2210" s="6"/>
      <c r="V2210" s="6"/>
      <c r="W2210" s="6"/>
      <c r="X2210" s="6"/>
      <c r="Y2210" s="6"/>
      <c r="Z2210" s="6"/>
    </row>
    <row r="2211" spans="1:26" ht="16.8" x14ac:dyDescent="0.45">
      <c r="A2211" s="6"/>
      <c r="B2211" s="7"/>
      <c r="C2211" s="6"/>
      <c r="D2211" s="6"/>
      <c r="E2211" s="6"/>
      <c r="F2211" s="6"/>
      <c r="G2211" s="6"/>
      <c r="H2211" s="6"/>
      <c r="I2211" s="6"/>
      <c r="J2211" s="6"/>
      <c r="K2211" s="6"/>
      <c r="L2211" s="6"/>
      <c r="M2211" s="6"/>
      <c r="N2211" s="6"/>
      <c r="O2211" s="6"/>
      <c r="P2211" s="6"/>
      <c r="Q2211" s="6"/>
      <c r="R2211" s="6"/>
      <c r="S2211" s="6"/>
      <c r="T2211" s="6"/>
      <c r="U2211" s="6"/>
      <c r="V2211" s="6"/>
      <c r="W2211" s="6"/>
      <c r="X2211" s="6"/>
      <c r="Y2211" s="6"/>
      <c r="Z2211" s="6"/>
    </row>
    <row r="2212" spans="1:26" ht="16.8" x14ac:dyDescent="0.45">
      <c r="A2212" s="6"/>
      <c r="B2212" s="7"/>
      <c r="C2212" s="6"/>
      <c r="D2212" s="6"/>
      <c r="E2212" s="6"/>
      <c r="F2212" s="6"/>
      <c r="G2212" s="6"/>
      <c r="H2212" s="6"/>
      <c r="I2212" s="6"/>
      <c r="J2212" s="6"/>
      <c r="K2212" s="6"/>
      <c r="L2212" s="6"/>
      <c r="M2212" s="6"/>
      <c r="N2212" s="6"/>
      <c r="O2212" s="6"/>
      <c r="P2212" s="6"/>
      <c r="Q2212" s="6"/>
      <c r="R2212" s="6"/>
      <c r="S2212" s="6"/>
      <c r="T2212" s="6"/>
      <c r="U2212" s="6"/>
      <c r="V2212" s="6"/>
      <c r="W2212" s="6"/>
      <c r="X2212" s="6"/>
      <c r="Y2212" s="6"/>
      <c r="Z2212" s="6"/>
    </row>
    <row r="2213" spans="1:26" ht="16.8" x14ac:dyDescent="0.45">
      <c r="A2213" s="6"/>
      <c r="B2213" s="7"/>
      <c r="C2213" s="6"/>
      <c r="D2213" s="6"/>
      <c r="E2213" s="6"/>
      <c r="F2213" s="6"/>
      <c r="G2213" s="6"/>
      <c r="H2213" s="6"/>
      <c r="I2213" s="6"/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</row>
    <row r="2214" spans="1:26" ht="16.8" x14ac:dyDescent="0.45">
      <c r="A2214" s="6"/>
      <c r="B2214" s="7"/>
      <c r="C2214" s="6"/>
      <c r="D2214" s="6"/>
      <c r="E2214" s="6"/>
      <c r="F2214" s="6"/>
      <c r="G2214" s="6"/>
      <c r="H2214" s="6"/>
      <c r="I2214" s="6"/>
      <c r="J2214" s="6"/>
      <c r="K2214" s="6"/>
      <c r="L2214" s="6"/>
      <c r="M2214" s="6"/>
      <c r="N2214" s="6"/>
      <c r="O2214" s="6"/>
      <c r="P2214" s="6"/>
      <c r="Q2214" s="6"/>
      <c r="R2214" s="6"/>
      <c r="S2214" s="6"/>
      <c r="T2214" s="6"/>
      <c r="U2214" s="6"/>
      <c r="V2214" s="6"/>
      <c r="W2214" s="6"/>
      <c r="X2214" s="6"/>
      <c r="Y2214" s="6"/>
      <c r="Z2214" s="6"/>
    </row>
    <row r="2215" spans="1:26" ht="16.8" x14ac:dyDescent="0.45">
      <c r="A2215" s="6"/>
      <c r="B2215" s="7"/>
      <c r="C2215" s="6"/>
      <c r="D2215" s="6"/>
      <c r="E2215" s="6"/>
      <c r="F2215" s="6"/>
      <c r="G2215" s="6"/>
      <c r="H2215" s="6"/>
      <c r="I2215" s="6"/>
      <c r="J2215" s="6"/>
      <c r="K2215" s="6"/>
      <c r="L2215" s="6"/>
      <c r="M2215" s="6"/>
      <c r="N2215" s="6"/>
      <c r="O2215" s="6"/>
      <c r="P2215" s="6"/>
      <c r="Q2215" s="6"/>
      <c r="R2215" s="6"/>
      <c r="S2215" s="6"/>
      <c r="T2215" s="6"/>
      <c r="U2215" s="6"/>
      <c r="V2215" s="6"/>
      <c r="W2215" s="6"/>
      <c r="X2215" s="6"/>
      <c r="Y2215" s="6"/>
      <c r="Z2215" s="6"/>
    </row>
    <row r="2216" spans="1:26" ht="16.8" x14ac:dyDescent="0.45">
      <c r="A2216" s="6"/>
      <c r="B2216" s="7"/>
      <c r="C2216" s="6"/>
      <c r="D2216" s="6"/>
      <c r="E2216" s="6"/>
      <c r="F2216" s="6"/>
      <c r="G2216" s="6"/>
      <c r="H2216" s="6"/>
      <c r="I2216" s="6"/>
      <c r="J2216" s="6"/>
      <c r="K2216" s="6"/>
      <c r="L2216" s="6"/>
      <c r="M2216" s="6"/>
      <c r="N2216" s="6"/>
      <c r="O2216" s="6"/>
      <c r="P2216" s="6"/>
      <c r="Q2216" s="6"/>
      <c r="R2216" s="6"/>
      <c r="S2216" s="6"/>
      <c r="T2216" s="6"/>
      <c r="U2216" s="6"/>
      <c r="V2216" s="6"/>
      <c r="W2216" s="6"/>
      <c r="X2216" s="6"/>
      <c r="Y2216" s="6"/>
      <c r="Z2216" s="6"/>
    </row>
    <row r="2217" spans="1:26" ht="16.8" x14ac:dyDescent="0.45">
      <c r="A2217" s="6"/>
      <c r="B2217" s="7"/>
      <c r="C2217" s="6"/>
      <c r="D2217" s="6"/>
      <c r="E2217" s="6"/>
      <c r="F2217" s="6"/>
      <c r="G2217" s="6"/>
      <c r="H2217" s="6"/>
      <c r="I2217" s="6"/>
      <c r="J2217" s="6"/>
      <c r="K2217" s="6"/>
      <c r="L2217" s="6"/>
      <c r="M2217" s="6"/>
      <c r="N2217" s="6"/>
      <c r="O2217" s="6"/>
      <c r="P2217" s="6"/>
      <c r="Q2217" s="6"/>
      <c r="R2217" s="6"/>
      <c r="S2217" s="6"/>
      <c r="T2217" s="6"/>
      <c r="U2217" s="6"/>
      <c r="V2217" s="6"/>
      <c r="W2217" s="6"/>
      <c r="X2217" s="6"/>
      <c r="Y2217" s="6"/>
      <c r="Z2217" s="6"/>
    </row>
    <row r="2218" spans="1:26" ht="16.8" x14ac:dyDescent="0.45">
      <c r="A2218" s="6"/>
      <c r="B2218" s="7"/>
      <c r="C2218" s="6"/>
      <c r="D2218" s="6"/>
      <c r="E2218" s="6"/>
      <c r="F2218" s="6"/>
      <c r="G2218" s="6"/>
      <c r="H2218" s="6"/>
      <c r="I2218" s="6"/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</row>
    <row r="2219" spans="1:26" ht="16.8" x14ac:dyDescent="0.45">
      <c r="A2219" s="6"/>
      <c r="B2219" s="7"/>
      <c r="C2219" s="6"/>
      <c r="D2219" s="6"/>
      <c r="E2219" s="6"/>
      <c r="F2219" s="6"/>
      <c r="G2219" s="6"/>
      <c r="H2219" s="6"/>
      <c r="I2219" s="6"/>
      <c r="J2219" s="6"/>
      <c r="K2219" s="6"/>
      <c r="L2219" s="6"/>
      <c r="M2219" s="6"/>
      <c r="N2219" s="6"/>
      <c r="O2219" s="6"/>
      <c r="P2219" s="6"/>
      <c r="Q2219" s="6"/>
      <c r="R2219" s="6"/>
      <c r="S2219" s="6"/>
      <c r="T2219" s="6"/>
      <c r="U2219" s="6"/>
      <c r="V2219" s="6"/>
      <c r="W2219" s="6"/>
      <c r="X2219" s="6"/>
      <c r="Y2219" s="6"/>
      <c r="Z2219" s="6"/>
    </row>
    <row r="2220" spans="1:26" ht="16.8" x14ac:dyDescent="0.45">
      <c r="A2220" s="6"/>
      <c r="B2220" s="7"/>
      <c r="C2220" s="6"/>
      <c r="D2220" s="6"/>
      <c r="E2220" s="6"/>
      <c r="F2220" s="6"/>
      <c r="G2220" s="6"/>
      <c r="H2220" s="6"/>
      <c r="I2220" s="6"/>
      <c r="J2220" s="6"/>
      <c r="K2220" s="6"/>
      <c r="L2220" s="6"/>
      <c r="M2220" s="6"/>
      <c r="N2220" s="6"/>
      <c r="O2220" s="6"/>
      <c r="P2220" s="6"/>
      <c r="Q2220" s="6"/>
      <c r="R2220" s="6"/>
      <c r="S2220" s="6"/>
      <c r="T2220" s="6"/>
      <c r="U2220" s="6"/>
      <c r="V2220" s="6"/>
      <c r="W2220" s="6"/>
      <c r="X2220" s="6"/>
      <c r="Y2220" s="6"/>
      <c r="Z2220" s="6"/>
    </row>
    <row r="2221" spans="1:26" ht="16.8" x14ac:dyDescent="0.45">
      <c r="A2221" s="6"/>
      <c r="B2221" s="7"/>
      <c r="C2221" s="6"/>
      <c r="D2221" s="6"/>
      <c r="E2221" s="6"/>
      <c r="F2221" s="6"/>
      <c r="G2221" s="6"/>
      <c r="H2221" s="6"/>
      <c r="I2221" s="6"/>
      <c r="J2221" s="6"/>
      <c r="K2221" s="6"/>
      <c r="L2221" s="6"/>
      <c r="M2221" s="6"/>
      <c r="N2221" s="6"/>
      <c r="O2221" s="6"/>
      <c r="P2221" s="6"/>
      <c r="Q2221" s="6"/>
      <c r="R2221" s="6"/>
      <c r="S2221" s="6"/>
      <c r="T2221" s="6"/>
      <c r="U2221" s="6"/>
      <c r="V2221" s="6"/>
      <c r="W2221" s="6"/>
      <c r="X2221" s="6"/>
      <c r="Y2221" s="6"/>
      <c r="Z2221" s="6"/>
    </row>
    <row r="2222" spans="1:26" ht="16.8" x14ac:dyDescent="0.45">
      <c r="A2222" s="6"/>
      <c r="B2222" s="7"/>
      <c r="C2222" s="6"/>
      <c r="D2222" s="6"/>
      <c r="E2222" s="6"/>
      <c r="F2222" s="6"/>
      <c r="G2222" s="6"/>
      <c r="H2222" s="6"/>
      <c r="I2222" s="6"/>
      <c r="J2222" s="6"/>
      <c r="K2222" s="6"/>
      <c r="L2222" s="6"/>
      <c r="M2222" s="6"/>
      <c r="N2222" s="6"/>
      <c r="O2222" s="6"/>
      <c r="P2222" s="6"/>
      <c r="Q2222" s="6"/>
      <c r="R2222" s="6"/>
      <c r="S2222" s="6"/>
      <c r="T2222" s="6"/>
      <c r="U2222" s="6"/>
      <c r="V2222" s="6"/>
      <c r="W2222" s="6"/>
      <c r="X2222" s="6"/>
      <c r="Y2222" s="6"/>
      <c r="Z2222" s="6"/>
    </row>
    <row r="2223" spans="1:26" ht="16.8" x14ac:dyDescent="0.45">
      <c r="A2223" s="6"/>
      <c r="B2223" s="7"/>
      <c r="C2223" s="6"/>
      <c r="D2223" s="6"/>
      <c r="E2223" s="6"/>
      <c r="F2223" s="6"/>
      <c r="G2223" s="6"/>
      <c r="H2223" s="6"/>
      <c r="I2223" s="6"/>
      <c r="J2223" s="6"/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</row>
    <row r="2224" spans="1:26" ht="16.8" x14ac:dyDescent="0.45">
      <c r="A2224" s="6"/>
      <c r="B2224" s="7"/>
      <c r="C2224" s="6"/>
      <c r="D2224" s="6"/>
      <c r="E2224" s="6"/>
      <c r="F2224" s="6"/>
      <c r="G2224" s="6"/>
      <c r="H2224" s="6"/>
      <c r="I2224" s="6"/>
      <c r="J2224" s="6"/>
      <c r="K2224" s="6"/>
      <c r="L2224" s="6"/>
      <c r="M2224" s="6"/>
      <c r="N2224" s="6"/>
      <c r="O2224" s="6"/>
      <c r="P2224" s="6"/>
      <c r="Q2224" s="6"/>
      <c r="R2224" s="6"/>
      <c r="S2224" s="6"/>
      <c r="T2224" s="6"/>
      <c r="U2224" s="6"/>
      <c r="V2224" s="6"/>
      <c r="W2224" s="6"/>
      <c r="X2224" s="6"/>
      <c r="Y2224" s="6"/>
      <c r="Z2224" s="6"/>
    </row>
    <row r="2225" spans="1:26" ht="16.8" x14ac:dyDescent="0.45">
      <c r="A2225" s="6"/>
      <c r="B2225" s="7"/>
      <c r="C2225" s="6"/>
      <c r="D2225" s="6"/>
      <c r="E2225" s="6"/>
      <c r="F2225" s="6"/>
      <c r="G2225" s="6"/>
      <c r="H2225" s="6"/>
      <c r="I2225" s="6"/>
      <c r="J2225" s="6"/>
      <c r="K2225" s="6"/>
      <c r="L2225" s="6"/>
      <c r="M2225" s="6"/>
      <c r="N2225" s="6"/>
      <c r="O2225" s="6"/>
      <c r="P2225" s="6"/>
      <c r="Q2225" s="6"/>
      <c r="R2225" s="6"/>
      <c r="S2225" s="6"/>
      <c r="T2225" s="6"/>
      <c r="U2225" s="6"/>
      <c r="V2225" s="6"/>
      <c r="W2225" s="6"/>
      <c r="X2225" s="6"/>
      <c r="Y2225" s="6"/>
      <c r="Z2225" s="6"/>
    </row>
    <row r="2226" spans="1:26" ht="16.8" x14ac:dyDescent="0.45">
      <c r="A2226" s="6"/>
      <c r="B2226" s="7"/>
      <c r="C2226" s="6"/>
      <c r="D2226" s="6"/>
      <c r="E2226" s="6"/>
      <c r="F2226" s="6"/>
      <c r="G2226" s="6"/>
      <c r="H2226" s="6"/>
      <c r="I2226" s="6"/>
      <c r="J2226" s="6"/>
      <c r="K2226" s="6"/>
      <c r="L2226" s="6"/>
      <c r="M2226" s="6"/>
      <c r="N2226" s="6"/>
      <c r="O2226" s="6"/>
      <c r="P2226" s="6"/>
      <c r="Q2226" s="6"/>
      <c r="R2226" s="6"/>
      <c r="S2226" s="6"/>
      <c r="T2226" s="6"/>
      <c r="U2226" s="6"/>
      <c r="V2226" s="6"/>
      <c r="W2226" s="6"/>
      <c r="X2226" s="6"/>
      <c r="Y2226" s="6"/>
      <c r="Z2226" s="6"/>
    </row>
    <row r="2227" spans="1:26" ht="16.8" x14ac:dyDescent="0.45">
      <c r="A2227" s="6"/>
      <c r="B2227" s="7"/>
      <c r="C2227" s="6"/>
      <c r="D2227" s="6"/>
      <c r="E2227" s="6"/>
      <c r="F2227" s="6"/>
      <c r="G2227" s="6"/>
      <c r="H2227" s="6"/>
      <c r="I2227" s="6"/>
      <c r="J2227" s="6"/>
      <c r="K2227" s="6"/>
      <c r="L2227" s="6"/>
      <c r="M2227" s="6"/>
      <c r="N2227" s="6"/>
      <c r="O2227" s="6"/>
      <c r="P2227" s="6"/>
      <c r="Q2227" s="6"/>
      <c r="R2227" s="6"/>
      <c r="S2227" s="6"/>
      <c r="T2227" s="6"/>
      <c r="U2227" s="6"/>
      <c r="V2227" s="6"/>
      <c r="W2227" s="6"/>
      <c r="X2227" s="6"/>
      <c r="Y2227" s="6"/>
      <c r="Z2227" s="6"/>
    </row>
    <row r="2228" spans="1:26" ht="16.8" x14ac:dyDescent="0.45">
      <c r="A2228" s="6"/>
      <c r="B2228" s="7"/>
      <c r="C2228" s="6"/>
      <c r="D2228" s="6"/>
      <c r="E2228" s="6"/>
      <c r="F2228" s="6"/>
      <c r="G2228" s="6"/>
      <c r="H2228" s="6"/>
      <c r="I2228" s="6"/>
      <c r="J2228" s="6"/>
      <c r="K2228" s="6"/>
      <c r="L2228" s="6"/>
      <c r="M2228" s="6"/>
      <c r="N2228" s="6"/>
      <c r="O2228" s="6"/>
      <c r="P2228" s="6"/>
      <c r="Q2228" s="6"/>
      <c r="R2228" s="6"/>
      <c r="S2228" s="6"/>
      <c r="T2228" s="6"/>
      <c r="U2228" s="6"/>
      <c r="V2228" s="6"/>
      <c r="W2228" s="6"/>
      <c r="X2228" s="6"/>
      <c r="Y2228" s="6"/>
      <c r="Z2228" s="6"/>
    </row>
    <row r="2229" spans="1:26" ht="16.8" x14ac:dyDescent="0.45">
      <c r="A2229" s="6"/>
      <c r="B2229" s="7"/>
      <c r="C2229" s="6"/>
      <c r="D2229" s="6"/>
      <c r="E2229" s="6"/>
      <c r="F2229" s="6"/>
      <c r="G2229" s="6"/>
      <c r="H2229" s="6"/>
      <c r="I2229" s="6"/>
      <c r="J2229" s="6"/>
      <c r="K2229" s="6"/>
      <c r="L2229" s="6"/>
      <c r="M2229" s="6"/>
      <c r="N2229" s="6"/>
      <c r="O2229" s="6"/>
      <c r="P2229" s="6"/>
      <c r="Q2229" s="6"/>
      <c r="R2229" s="6"/>
      <c r="S2229" s="6"/>
      <c r="T2229" s="6"/>
      <c r="U2229" s="6"/>
      <c r="V2229" s="6"/>
      <c r="W2229" s="6"/>
      <c r="X2229" s="6"/>
      <c r="Y2229" s="6"/>
      <c r="Z2229" s="6"/>
    </row>
    <row r="2230" spans="1:26" ht="16.8" x14ac:dyDescent="0.45">
      <c r="A2230" s="6"/>
      <c r="B2230" s="7"/>
      <c r="C2230" s="6"/>
      <c r="D2230" s="6"/>
      <c r="E2230" s="6"/>
      <c r="F2230" s="6"/>
      <c r="G2230" s="6"/>
      <c r="H2230" s="6"/>
      <c r="I2230" s="6"/>
      <c r="J2230" s="6"/>
      <c r="K2230" s="6"/>
      <c r="L2230" s="6"/>
      <c r="M2230" s="6"/>
      <c r="N2230" s="6"/>
      <c r="O2230" s="6"/>
      <c r="P2230" s="6"/>
      <c r="Q2230" s="6"/>
      <c r="R2230" s="6"/>
      <c r="S2230" s="6"/>
      <c r="T2230" s="6"/>
      <c r="U2230" s="6"/>
      <c r="V2230" s="6"/>
      <c r="W2230" s="6"/>
      <c r="X2230" s="6"/>
      <c r="Y2230" s="6"/>
      <c r="Z2230" s="6"/>
    </row>
    <row r="2231" spans="1:26" ht="16.8" x14ac:dyDescent="0.45">
      <c r="A2231" s="6"/>
      <c r="B2231" s="7"/>
      <c r="C2231" s="6"/>
      <c r="D2231" s="6"/>
      <c r="E2231" s="6"/>
      <c r="F2231" s="6"/>
      <c r="G2231" s="6"/>
      <c r="H2231" s="6"/>
      <c r="I2231" s="6"/>
      <c r="J2231" s="6"/>
      <c r="K2231" s="6"/>
      <c r="L2231" s="6"/>
      <c r="M2231" s="6"/>
      <c r="N2231" s="6"/>
      <c r="O2231" s="6"/>
      <c r="P2231" s="6"/>
      <c r="Q2231" s="6"/>
      <c r="R2231" s="6"/>
      <c r="S2231" s="6"/>
      <c r="T2231" s="6"/>
      <c r="U2231" s="6"/>
      <c r="V2231" s="6"/>
      <c r="W2231" s="6"/>
      <c r="X2231" s="6"/>
      <c r="Y2231" s="6"/>
      <c r="Z2231" s="6"/>
    </row>
    <row r="2232" spans="1:26" ht="16.8" x14ac:dyDescent="0.45">
      <c r="A2232" s="6"/>
      <c r="B2232" s="7"/>
      <c r="C2232" s="6"/>
      <c r="D2232" s="6"/>
      <c r="E2232" s="6"/>
      <c r="F2232" s="6"/>
      <c r="G2232" s="6"/>
      <c r="H2232" s="6"/>
      <c r="I2232" s="6"/>
      <c r="J2232" s="6"/>
      <c r="K2232" s="6"/>
      <c r="L2232" s="6"/>
      <c r="M2232" s="6"/>
      <c r="N2232" s="6"/>
      <c r="O2232" s="6"/>
      <c r="P2232" s="6"/>
      <c r="Q2232" s="6"/>
      <c r="R2232" s="6"/>
      <c r="S2232" s="6"/>
      <c r="T2232" s="6"/>
      <c r="U2232" s="6"/>
      <c r="V2232" s="6"/>
      <c r="W2232" s="6"/>
      <c r="X2232" s="6"/>
      <c r="Y2232" s="6"/>
      <c r="Z2232" s="6"/>
    </row>
    <row r="2233" spans="1:26" ht="16.8" x14ac:dyDescent="0.45">
      <c r="A2233" s="6"/>
      <c r="B2233" s="7"/>
      <c r="C2233" s="6"/>
      <c r="D2233" s="6"/>
      <c r="E2233" s="6"/>
      <c r="F2233" s="6"/>
      <c r="G2233" s="6"/>
      <c r="H2233" s="6"/>
      <c r="I2233" s="6"/>
      <c r="J2233" s="6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</row>
    <row r="2234" spans="1:26" ht="16.8" x14ac:dyDescent="0.45">
      <c r="A2234" s="6"/>
      <c r="B2234" s="7"/>
      <c r="C2234" s="6"/>
      <c r="D2234" s="6"/>
      <c r="E2234" s="6"/>
      <c r="F2234" s="6"/>
      <c r="G2234" s="6"/>
      <c r="H2234" s="6"/>
      <c r="I2234" s="6"/>
      <c r="J2234" s="6"/>
      <c r="K2234" s="6"/>
      <c r="L2234" s="6"/>
      <c r="M2234" s="6"/>
      <c r="N2234" s="6"/>
      <c r="O2234" s="6"/>
      <c r="P2234" s="6"/>
      <c r="Q2234" s="6"/>
      <c r="R2234" s="6"/>
      <c r="S2234" s="6"/>
      <c r="T2234" s="6"/>
      <c r="U2234" s="6"/>
      <c r="V2234" s="6"/>
      <c r="W2234" s="6"/>
      <c r="X2234" s="6"/>
      <c r="Y2234" s="6"/>
      <c r="Z2234" s="6"/>
    </row>
    <row r="2235" spans="1:26" ht="16.8" x14ac:dyDescent="0.45">
      <c r="A2235" s="6"/>
      <c r="B2235" s="7"/>
      <c r="C2235" s="6"/>
      <c r="D2235" s="6"/>
      <c r="E2235" s="6"/>
      <c r="F2235" s="6"/>
      <c r="G2235" s="6"/>
      <c r="H2235" s="6"/>
      <c r="I2235" s="6"/>
      <c r="J2235" s="6"/>
      <c r="K2235" s="6"/>
      <c r="L2235" s="6"/>
      <c r="M2235" s="6"/>
      <c r="N2235" s="6"/>
      <c r="O2235" s="6"/>
      <c r="P2235" s="6"/>
      <c r="Q2235" s="6"/>
      <c r="R2235" s="6"/>
      <c r="S2235" s="6"/>
      <c r="T2235" s="6"/>
      <c r="U2235" s="6"/>
      <c r="V2235" s="6"/>
      <c r="W2235" s="6"/>
      <c r="X2235" s="6"/>
      <c r="Y2235" s="6"/>
      <c r="Z2235" s="6"/>
    </row>
    <row r="2236" spans="1:26" ht="16.8" x14ac:dyDescent="0.45">
      <c r="A2236" s="6"/>
      <c r="B2236" s="7"/>
      <c r="C2236" s="6"/>
      <c r="D2236" s="6"/>
      <c r="E2236" s="6"/>
      <c r="F2236" s="6"/>
      <c r="G2236" s="6"/>
      <c r="H2236" s="6"/>
      <c r="I2236" s="6"/>
      <c r="J2236" s="6"/>
      <c r="K2236" s="6"/>
      <c r="L2236" s="6"/>
      <c r="M2236" s="6"/>
      <c r="N2236" s="6"/>
      <c r="O2236" s="6"/>
      <c r="P2236" s="6"/>
      <c r="Q2236" s="6"/>
      <c r="R2236" s="6"/>
      <c r="S2236" s="6"/>
      <c r="T2236" s="6"/>
      <c r="U2236" s="6"/>
      <c r="V2236" s="6"/>
      <c r="W2236" s="6"/>
      <c r="X2236" s="6"/>
      <c r="Y2236" s="6"/>
      <c r="Z2236" s="6"/>
    </row>
    <row r="2237" spans="1:26" ht="16.8" x14ac:dyDescent="0.45">
      <c r="A2237" s="6"/>
      <c r="B2237" s="7"/>
      <c r="C2237" s="6"/>
      <c r="D2237" s="6"/>
      <c r="E2237" s="6"/>
      <c r="F2237" s="6"/>
      <c r="G2237" s="6"/>
      <c r="H2237" s="6"/>
      <c r="I2237" s="6"/>
      <c r="J2237" s="6"/>
      <c r="K2237" s="6"/>
      <c r="L2237" s="6"/>
      <c r="M2237" s="6"/>
      <c r="N2237" s="6"/>
      <c r="O2237" s="6"/>
      <c r="P2237" s="6"/>
      <c r="Q2237" s="6"/>
      <c r="R2237" s="6"/>
      <c r="S2237" s="6"/>
      <c r="T2237" s="6"/>
      <c r="U2237" s="6"/>
      <c r="V2237" s="6"/>
      <c r="W2237" s="6"/>
      <c r="X2237" s="6"/>
      <c r="Y2237" s="6"/>
      <c r="Z2237" s="6"/>
    </row>
    <row r="2238" spans="1:26" ht="16.8" x14ac:dyDescent="0.45">
      <c r="A2238" s="6"/>
      <c r="B2238" s="7"/>
      <c r="C2238" s="6"/>
      <c r="D2238" s="6"/>
      <c r="E2238" s="6"/>
      <c r="F2238" s="6"/>
      <c r="G2238" s="6"/>
      <c r="H2238" s="6"/>
      <c r="I2238" s="6"/>
      <c r="J2238" s="6"/>
      <c r="K2238" s="6"/>
      <c r="L2238" s="6"/>
      <c r="M2238" s="6"/>
      <c r="N2238" s="6"/>
      <c r="O2238" s="6"/>
      <c r="P2238" s="6"/>
      <c r="Q2238" s="6"/>
      <c r="R2238" s="6"/>
      <c r="S2238" s="6"/>
      <c r="T2238" s="6"/>
      <c r="U2238" s="6"/>
      <c r="V2238" s="6"/>
      <c r="W2238" s="6"/>
      <c r="X2238" s="6"/>
      <c r="Y2238" s="6"/>
      <c r="Z2238" s="6"/>
    </row>
    <row r="2239" spans="1:26" ht="16.8" x14ac:dyDescent="0.45">
      <c r="A2239" s="6"/>
      <c r="B2239" s="7"/>
      <c r="C2239" s="6"/>
      <c r="D2239" s="6"/>
      <c r="E2239" s="6"/>
      <c r="F2239" s="6"/>
      <c r="G2239" s="6"/>
      <c r="H2239" s="6"/>
      <c r="I2239" s="6"/>
      <c r="J2239" s="6"/>
      <c r="K2239" s="6"/>
      <c r="L2239" s="6"/>
      <c r="M2239" s="6"/>
      <c r="N2239" s="6"/>
      <c r="O2239" s="6"/>
      <c r="P2239" s="6"/>
      <c r="Q2239" s="6"/>
      <c r="R2239" s="6"/>
      <c r="S2239" s="6"/>
      <c r="T2239" s="6"/>
      <c r="U2239" s="6"/>
      <c r="V2239" s="6"/>
      <c r="W2239" s="6"/>
      <c r="X2239" s="6"/>
      <c r="Y2239" s="6"/>
      <c r="Z2239" s="6"/>
    </row>
    <row r="2240" spans="1:26" ht="16.8" x14ac:dyDescent="0.45">
      <c r="A2240" s="6"/>
      <c r="B2240" s="7"/>
      <c r="C2240" s="6"/>
      <c r="D2240" s="6"/>
      <c r="E2240" s="6"/>
      <c r="F2240" s="6"/>
      <c r="G2240" s="6"/>
      <c r="H2240" s="6"/>
      <c r="I2240" s="6"/>
      <c r="J2240" s="6"/>
      <c r="K2240" s="6"/>
      <c r="L2240" s="6"/>
      <c r="M2240" s="6"/>
      <c r="N2240" s="6"/>
      <c r="O2240" s="6"/>
      <c r="P2240" s="6"/>
      <c r="Q2240" s="6"/>
      <c r="R2240" s="6"/>
      <c r="S2240" s="6"/>
      <c r="T2240" s="6"/>
      <c r="U2240" s="6"/>
      <c r="V2240" s="6"/>
      <c r="W2240" s="6"/>
      <c r="X2240" s="6"/>
      <c r="Y2240" s="6"/>
      <c r="Z2240" s="6"/>
    </row>
    <row r="2241" spans="1:26" ht="16.8" x14ac:dyDescent="0.45">
      <c r="A2241" s="6"/>
      <c r="B2241" s="7"/>
      <c r="C2241" s="6"/>
      <c r="D2241" s="6"/>
      <c r="E2241" s="6"/>
      <c r="F2241" s="6"/>
      <c r="G2241" s="6"/>
      <c r="H2241" s="6"/>
      <c r="I2241" s="6"/>
      <c r="J2241" s="6"/>
      <c r="K2241" s="6"/>
      <c r="L2241" s="6"/>
      <c r="M2241" s="6"/>
      <c r="N2241" s="6"/>
      <c r="O2241" s="6"/>
      <c r="P2241" s="6"/>
      <c r="Q2241" s="6"/>
      <c r="R2241" s="6"/>
      <c r="S2241" s="6"/>
      <c r="T2241" s="6"/>
      <c r="U2241" s="6"/>
      <c r="V2241" s="6"/>
      <c r="W2241" s="6"/>
      <c r="X2241" s="6"/>
      <c r="Y2241" s="6"/>
      <c r="Z2241" s="6"/>
    </row>
    <row r="2242" spans="1:26" ht="16.8" x14ac:dyDescent="0.45">
      <c r="A2242" s="6"/>
      <c r="B2242" s="7"/>
      <c r="C2242" s="6"/>
      <c r="D2242" s="6"/>
      <c r="E2242" s="6"/>
      <c r="F2242" s="6"/>
      <c r="G2242" s="6"/>
      <c r="H2242" s="6"/>
      <c r="I2242" s="6"/>
      <c r="J2242" s="6"/>
      <c r="K2242" s="6"/>
      <c r="L2242" s="6"/>
      <c r="M2242" s="6"/>
      <c r="N2242" s="6"/>
      <c r="O2242" s="6"/>
      <c r="P2242" s="6"/>
      <c r="Q2242" s="6"/>
      <c r="R2242" s="6"/>
      <c r="S2242" s="6"/>
      <c r="T2242" s="6"/>
      <c r="U2242" s="6"/>
      <c r="V2242" s="6"/>
      <c r="W2242" s="6"/>
      <c r="X2242" s="6"/>
      <c r="Y2242" s="6"/>
      <c r="Z2242" s="6"/>
    </row>
    <row r="2243" spans="1:26" ht="16.8" x14ac:dyDescent="0.45">
      <c r="A2243" s="6"/>
      <c r="B2243" s="7"/>
      <c r="C2243" s="6"/>
      <c r="D2243" s="6"/>
      <c r="E2243" s="6"/>
      <c r="F2243" s="6"/>
      <c r="G2243" s="6"/>
      <c r="H2243" s="6"/>
      <c r="I2243" s="6"/>
      <c r="J2243" s="6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</row>
    <row r="2244" spans="1:26" ht="16.8" x14ac:dyDescent="0.45">
      <c r="A2244" s="6"/>
      <c r="B2244" s="7"/>
      <c r="C2244" s="6"/>
      <c r="D2244" s="6"/>
      <c r="E2244" s="6"/>
      <c r="F2244" s="6"/>
      <c r="G2244" s="6"/>
      <c r="H2244" s="6"/>
      <c r="I2244" s="6"/>
      <c r="J2244" s="6"/>
      <c r="K2244" s="6"/>
      <c r="L2244" s="6"/>
      <c r="M2244" s="6"/>
      <c r="N2244" s="6"/>
      <c r="O2244" s="6"/>
      <c r="P2244" s="6"/>
      <c r="Q2244" s="6"/>
      <c r="R2244" s="6"/>
      <c r="S2244" s="6"/>
      <c r="T2244" s="6"/>
      <c r="U2244" s="6"/>
      <c r="V2244" s="6"/>
      <c r="W2244" s="6"/>
      <c r="X2244" s="6"/>
      <c r="Y2244" s="6"/>
      <c r="Z2244" s="6"/>
    </row>
    <row r="2245" spans="1:26" ht="16.8" x14ac:dyDescent="0.45">
      <c r="A2245" s="6"/>
      <c r="B2245" s="7"/>
      <c r="C2245" s="6"/>
      <c r="D2245" s="6"/>
      <c r="E2245" s="6"/>
      <c r="F2245" s="6"/>
      <c r="G2245" s="6"/>
      <c r="H2245" s="6"/>
      <c r="I2245" s="6"/>
      <c r="J2245" s="6"/>
      <c r="K2245" s="6"/>
      <c r="L2245" s="6"/>
      <c r="M2245" s="6"/>
      <c r="N2245" s="6"/>
      <c r="O2245" s="6"/>
      <c r="P2245" s="6"/>
      <c r="Q2245" s="6"/>
      <c r="R2245" s="6"/>
      <c r="S2245" s="6"/>
      <c r="T2245" s="6"/>
      <c r="U2245" s="6"/>
      <c r="V2245" s="6"/>
      <c r="W2245" s="6"/>
      <c r="X2245" s="6"/>
      <c r="Y2245" s="6"/>
      <c r="Z2245" s="6"/>
    </row>
    <row r="2246" spans="1:26" ht="16.8" x14ac:dyDescent="0.45">
      <c r="A2246" s="6"/>
      <c r="B2246" s="7"/>
      <c r="C2246" s="6"/>
      <c r="D2246" s="6"/>
      <c r="E2246" s="6"/>
      <c r="F2246" s="6"/>
      <c r="G2246" s="6"/>
      <c r="H2246" s="6"/>
      <c r="I2246" s="6"/>
      <c r="J2246" s="6"/>
      <c r="K2246" s="6"/>
      <c r="L2246" s="6"/>
      <c r="M2246" s="6"/>
      <c r="N2246" s="6"/>
      <c r="O2246" s="6"/>
      <c r="P2246" s="6"/>
      <c r="Q2246" s="6"/>
      <c r="R2246" s="6"/>
      <c r="S2246" s="6"/>
      <c r="T2246" s="6"/>
      <c r="U2246" s="6"/>
      <c r="V2246" s="6"/>
      <c r="W2246" s="6"/>
      <c r="X2246" s="6"/>
      <c r="Y2246" s="6"/>
      <c r="Z2246" s="6"/>
    </row>
    <row r="2247" spans="1:26" ht="16.8" x14ac:dyDescent="0.45">
      <c r="A2247" s="6"/>
      <c r="B2247" s="7"/>
      <c r="C2247" s="6"/>
      <c r="D2247" s="6"/>
      <c r="E2247" s="6"/>
      <c r="F2247" s="6"/>
      <c r="G2247" s="6"/>
      <c r="H2247" s="6"/>
      <c r="I2247" s="6"/>
      <c r="J2247" s="6"/>
      <c r="K2247" s="6"/>
      <c r="L2247" s="6"/>
      <c r="M2247" s="6"/>
      <c r="N2247" s="6"/>
      <c r="O2247" s="6"/>
      <c r="P2247" s="6"/>
      <c r="Q2247" s="6"/>
      <c r="R2247" s="6"/>
      <c r="S2247" s="6"/>
      <c r="T2247" s="6"/>
      <c r="U2247" s="6"/>
      <c r="V2247" s="6"/>
      <c r="W2247" s="6"/>
      <c r="X2247" s="6"/>
      <c r="Y2247" s="6"/>
      <c r="Z2247" s="6"/>
    </row>
    <row r="2248" spans="1:26" ht="16.8" x14ac:dyDescent="0.45">
      <c r="A2248" s="6"/>
      <c r="B2248" s="7"/>
      <c r="C2248" s="6"/>
      <c r="D2248" s="6"/>
      <c r="E2248" s="6"/>
      <c r="F2248" s="6"/>
      <c r="G2248" s="6"/>
      <c r="H2248" s="6"/>
      <c r="I2248" s="6"/>
      <c r="J2248" s="6"/>
      <c r="K2248" s="6"/>
      <c r="L2248" s="6"/>
      <c r="M2248" s="6"/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6"/>
    </row>
    <row r="2249" spans="1:26" ht="16.8" x14ac:dyDescent="0.45">
      <c r="A2249" s="6"/>
      <c r="B2249" s="7"/>
      <c r="C2249" s="6"/>
      <c r="D2249" s="6"/>
      <c r="E2249" s="6"/>
      <c r="F2249" s="6"/>
      <c r="G2249" s="6"/>
      <c r="H2249" s="6"/>
      <c r="I2249" s="6"/>
      <c r="J2249" s="6"/>
      <c r="K2249" s="6"/>
      <c r="L2249" s="6"/>
      <c r="M2249" s="6"/>
      <c r="N2249" s="6"/>
      <c r="O2249" s="6"/>
      <c r="P2249" s="6"/>
      <c r="Q2249" s="6"/>
      <c r="R2249" s="6"/>
      <c r="S2249" s="6"/>
      <c r="T2249" s="6"/>
      <c r="U2249" s="6"/>
      <c r="V2249" s="6"/>
      <c r="W2249" s="6"/>
      <c r="X2249" s="6"/>
      <c r="Y2249" s="6"/>
      <c r="Z2249" s="6"/>
    </row>
    <row r="2250" spans="1:26" ht="16.8" x14ac:dyDescent="0.45">
      <c r="A2250" s="6"/>
      <c r="B2250" s="7"/>
      <c r="C2250" s="6"/>
      <c r="D2250" s="6"/>
      <c r="E2250" s="6"/>
      <c r="F2250" s="6"/>
      <c r="G2250" s="6"/>
      <c r="H2250" s="6"/>
      <c r="I2250" s="6"/>
      <c r="J2250" s="6"/>
      <c r="K2250" s="6"/>
      <c r="L2250" s="6"/>
      <c r="M2250" s="6"/>
      <c r="N2250" s="6"/>
      <c r="O2250" s="6"/>
      <c r="P2250" s="6"/>
      <c r="Q2250" s="6"/>
      <c r="R2250" s="6"/>
      <c r="S2250" s="6"/>
      <c r="T2250" s="6"/>
      <c r="U2250" s="6"/>
      <c r="V2250" s="6"/>
      <c r="W2250" s="6"/>
      <c r="X2250" s="6"/>
      <c r="Y2250" s="6"/>
      <c r="Z2250" s="6"/>
    </row>
    <row r="2251" spans="1:26" ht="16.8" x14ac:dyDescent="0.45">
      <c r="A2251" s="6"/>
      <c r="B2251" s="7"/>
      <c r="C2251" s="6"/>
      <c r="D2251" s="6"/>
      <c r="E2251" s="6"/>
      <c r="F2251" s="6"/>
      <c r="G2251" s="6"/>
      <c r="H2251" s="6"/>
      <c r="I2251" s="6"/>
      <c r="J2251" s="6"/>
      <c r="K2251" s="6"/>
      <c r="L2251" s="6"/>
      <c r="M2251" s="6"/>
      <c r="N2251" s="6"/>
      <c r="O2251" s="6"/>
      <c r="P2251" s="6"/>
      <c r="Q2251" s="6"/>
      <c r="R2251" s="6"/>
      <c r="S2251" s="6"/>
      <c r="T2251" s="6"/>
      <c r="U2251" s="6"/>
      <c r="V2251" s="6"/>
      <c r="W2251" s="6"/>
      <c r="X2251" s="6"/>
      <c r="Y2251" s="6"/>
      <c r="Z2251" s="6"/>
    </row>
    <row r="2252" spans="1:26" ht="16.8" x14ac:dyDescent="0.45">
      <c r="A2252" s="6"/>
      <c r="B2252" s="7"/>
      <c r="C2252" s="6"/>
      <c r="D2252" s="6"/>
      <c r="E2252" s="6"/>
      <c r="F2252" s="6"/>
      <c r="G2252" s="6"/>
      <c r="H2252" s="6"/>
      <c r="I2252" s="6"/>
      <c r="J2252" s="6"/>
      <c r="K2252" s="6"/>
      <c r="L2252" s="6"/>
      <c r="M2252" s="6"/>
      <c r="N2252" s="6"/>
      <c r="O2252" s="6"/>
      <c r="P2252" s="6"/>
      <c r="Q2252" s="6"/>
      <c r="R2252" s="6"/>
      <c r="S2252" s="6"/>
      <c r="T2252" s="6"/>
      <c r="U2252" s="6"/>
      <c r="V2252" s="6"/>
      <c r="W2252" s="6"/>
      <c r="X2252" s="6"/>
      <c r="Y2252" s="6"/>
      <c r="Z2252" s="6"/>
    </row>
    <row r="2253" spans="1:26" ht="16.8" x14ac:dyDescent="0.45">
      <c r="A2253" s="6"/>
      <c r="B2253" s="7"/>
      <c r="C2253" s="6"/>
      <c r="D2253" s="6"/>
      <c r="E2253" s="6"/>
      <c r="F2253" s="6"/>
      <c r="G2253" s="6"/>
      <c r="H2253" s="6"/>
      <c r="I2253" s="6"/>
      <c r="J2253" s="6"/>
      <c r="K2253" s="6"/>
      <c r="L2253" s="6"/>
      <c r="M2253" s="6"/>
      <c r="N2253" s="6"/>
      <c r="O2253" s="6"/>
      <c r="P2253" s="6"/>
      <c r="Q2253" s="6"/>
      <c r="R2253" s="6"/>
      <c r="S2253" s="6"/>
      <c r="T2253" s="6"/>
      <c r="U2253" s="6"/>
      <c r="V2253" s="6"/>
      <c r="W2253" s="6"/>
      <c r="X2253" s="6"/>
      <c r="Y2253" s="6"/>
      <c r="Z2253" s="6"/>
    </row>
    <row r="2254" spans="1:26" ht="16.8" x14ac:dyDescent="0.45">
      <c r="A2254" s="6"/>
      <c r="B2254" s="7"/>
      <c r="C2254" s="6"/>
      <c r="D2254" s="6"/>
      <c r="E2254" s="6"/>
      <c r="F2254" s="6"/>
      <c r="G2254" s="6"/>
      <c r="H2254" s="6"/>
      <c r="I2254" s="6"/>
      <c r="J2254" s="6"/>
      <c r="K2254" s="6"/>
      <c r="L2254" s="6"/>
      <c r="M2254" s="6"/>
      <c r="N2254" s="6"/>
      <c r="O2254" s="6"/>
      <c r="P2254" s="6"/>
      <c r="Q2254" s="6"/>
      <c r="R2254" s="6"/>
      <c r="S2254" s="6"/>
      <c r="T2254" s="6"/>
      <c r="U2254" s="6"/>
      <c r="V2254" s="6"/>
      <c r="W2254" s="6"/>
      <c r="X2254" s="6"/>
      <c r="Y2254" s="6"/>
      <c r="Z2254" s="6"/>
    </row>
    <row r="2255" spans="1:26" ht="16.8" x14ac:dyDescent="0.45">
      <c r="A2255" s="6"/>
      <c r="B2255" s="7"/>
      <c r="C2255" s="6"/>
      <c r="D2255" s="6"/>
      <c r="E2255" s="6"/>
      <c r="F2255" s="6"/>
      <c r="G2255" s="6"/>
      <c r="H2255" s="6"/>
      <c r="I2255" s="6"/>
      <c r="J2255" s="6"/>
      <c r="K2255" s="6"/>
      <c r="L2255" s="6"/>
      <c r="M2255" s="6"/>
      <c r="N2255" s="6"/>
      <c r="O2255" s="6"/>
      <c r="P2255" s="6"/>
      <c r="Q2255" s="6"/>
      <c r="R2255" s="6"/>
      <c r="S2255" s="6"/>
      <c r="T2255" s="6"/>
      <c r="U2255" s="6"/>
      <c r="V2255" s="6"/>
      <c r="W2255" s="6"/>
      <c r="X2255" s="6"/>
      <c r="Y2255" s="6"/>
      <c r="Z2255" s="6"/>
    </row>
    <row r="2256" spans="1:26" ht="16.8" x14ac:dyDescent="0.45">
      <c r="A2256" s="6"/>
      <c r="B2256" s="7"/>
      <c r="C2256" s="6"/>
      <c r="D2256" s="6"/>
      <c r="E2256" s="6"/>
      <c r="F2256" s="6"/>
      <c r="G2256" s="6"/>
      <c r="H2256" s="6"/>
      <c r="I2256" s="6"/>
      <c r="J2256" s="6"/>
      <c r="K2256" s="6"/>
      <c r="L2256" s="6"/>
      <c r="M2256" s="6"/>
      <c r="N2256" s="6"/>
      <c r="O2256" s="6"/>
      <c r="P2256" s="6"/>
      <c r="Q2256" s="6"/>
      <c r="R2256" s="6"/>
      <c r="S2256" s="6"/>
      <c r="T2256" s="6"/>
      <c r="U2256" s="6"/>
      <c r="V2256" s="6"/>
      <c r="W2256" s="6"/>
      <c r="X2256" s="6"/>
      <c r="Y2256" s="6"/>
      <c r="Z2256" s="6"/>
    </row>
    <row r="2257" spans="1:26" ht="16.8" x14ac:dyDescent="0.45">
      <c r="A2257" s="6"/>
      <c r="B2257" s="7"/>
      <c r="C2257" s="6"/>
      <c r="D2257" s="6"/>
      <c r="E2257" s="6"/>
      <c r="F2257" s="6"/>
      <c r="G2257" s="6"/>
      <c r="H2257" s="6"/>
      <c r="I2257" s="6"/>
      <c r="J2257" s="6"/>
      <c r="K2257" s="6"/>
      <c r="L2257" s="6"/>
      <c r="M2257" s="6"/>
      <c r="N2257" s="6"/>
      <c r="O2257" s="6"/>
      <c r="P2257" s="6"/>
      <c r="Q2257" s="6"/>
      <c r="R2257" s="6"/>
      <c r="S2257" s="6"/>
      <c r="T2257" s="6"/>
      <c r="U2257" s="6"/>
      <c r="V2257" s="6"/>
      <c r="W2257" s="6"/>
      <c r="X2257" s="6"/>
      <c r="Y2257" s="6"/>
      <c r="Z2257" s="6"/>
    </row>
    <row r="2258" spans="1:26" ht="16.8" x14ac:dyDescent="0.45">
      <c r="A2258" s="6"/>
      <c r="B2258" s="7"/>
      <c r="C2258" s="6"/>
      <c r="D2258" s="6"/>
      <c r="E2258" s="6"/>
      <c r="F2258" s="6"/>
      <c r="G2258" s="6"/>
      <c r="H2258" s="6"/>
      <c r="I2258" s="6"/>
      <c r="J2258" s="6"/>
      <c r="K2258" s="6"/>
      <c r="L2258" s="6"/>
      <c r="M2258" s="6"/>
      <c r="N2258" s="6"/>
      <c r="O2258" s="6"/>
      <c r="P2258" s="6"/>
      <c r="Q2258" s="6"/>
      <c r="R2258" s="6"/>
      <c r="S2258" s="6"/>
      <c r="T2258" s="6"/>
      <c r="U2258" s="6"/>
      <c r="V2258" s="6"/>
      <c r="W2258" s="6"/>
      <c r="X2258" s="6"/>
      <c r="Y2258" s="6"/>
      <c r="Z2258" s="6"/>
    </row>
    <row r="2259" spans="1:26" ht="16.8" x14ac:dyDescent="0.45">
      <c r="A2259" s="6"/>
      <c r="B2259" s="7"/>
      <c r="C2259" s="6"/>
      <c r="D2259" s="6"/>
      <c r="E2259" s="6"/>
      <c r="F2259" s="6"/>
      <c r="G2259" s="6"/>
      <c r="H2259" s="6"/>
      <c r="I2259" s="6"/>
      <c r="J2259" s="6"/>
      <c r="K2259" s="6"/>
      <c r="L2259" s="6"/>
      <c r="M2259" s="6"/>
      <c r="N2259" s="6"/>
      <c r="O2259" s="6"/>
      <c r="P2259" s="6"/>
      <c r="Q2259" s="6"/>
      <c r="R2259" s="6"/>
      <c r="S2259" s="6"/>
      <c r="T2259" s="6"/>
      <c r="U2259" s="6"/>
      <c r="V2259" s="6"/>
      <c r="W2259" s="6"/>
      <c r="X2259" s="6"/>
      <c r="Y2259" s="6"/>
      <c r="Z2259" s="6"/>
    </row>
    <row r="2260" spans="1:26" ht="16.8" x14ac:dyDescent="0.45">
      <c r="A2260" s="6"/>
      <c r="B2260" s="7"/>
      <c r="C2260" s="6"/>
      <c r="D2260" s="6"/>
      <c r="E2260" s="6"/>
      <c r="F2260" s="6"/>
      <c r="G2260" s="6"/>
      <c r="H2260" s="6"/>
      <c r="I2260" s="6"/>
      <c r="J2260" s="6"/>
      <c r="K2260" s="6"/>
      <c r="L2260" s="6"/>
      <c r="M2260" s="6"/>
      <c r="N2260" s="6"/>
      <c r="O2260" s="6"/>
      <c r="P2260" s="6"/>
      <c r="Q2260" s="6"/>
      <c r="R2260" s="6"/>
      <c r="S2260" s="6"/>
      <c r="T2260" s="6"/>
      <c r="U2260" s="6"/>
      <c r="V2260" s="6"/>
      <c r="W2260" s="6"/>
      <c r="X2260" s="6"/>
      <c r="Y2260" s="6"/>
      <c r="Z2260" s="6"/>
    </row>
    <row r="2261" spans="1:26" ht="16.8" x14ac:dyDescent="0.45">
      <c r="A2261" s="6"/>
      <c r="B2261" s="7"/>
      <c r="C2261" s="6"/>
      <c r="D2261" s="6"/>
      <c r="E2261" s="6"/>
      <c r="F2261" s="6"/>
      <c r="G2261" s="6"/>
      <c r="H2261" s="6"/>
      <c r="I2261" s="6"/>
      <c r="J2261" s="6"/>
      <c r="K2261" s="6"/>
      <c r="L2261" s="6"/>
      <c r="M2261" s="6"/>
      <c r="N2261" s="6"/>
      <c r="O2261" s="6"/>
      <c r="P2261" s="6"/>
      <c r="Q2261" s="6"/>
      <c r="R2261" s="6"/>
      <c r="S2261" s="6"/>
      <c r="T2261" s="6"/>
      <c r="U2261" s="6"/>
      <c r="V2261" s="6"/>
      <c r="W2261" s="6"/>
      <c r="X2261" s="6"/>
      <c r="Y2261" s="6"/>
      <c r="Z2261" s="6"/>
    </row>
    <row r="2262" spans="1:26" ht="16.8" x14ac:dyDescent="0.45">
      <c r="A2262" s="6"/>
      <c r="B2262" s="7"/>
      <c r="C2262" s="6"/>
      <c r="D2262" s="6"/>
      <c r="E2262" s="6"/>
      <c r="F2262" s="6"/>
      <c r="G2262" s="6"/>
      <c r="H2262" s="6"/>
      <c r="I2262" s="6"/>
      <c r="J2262" s="6"/>
      <c r="K2262" s="6"/>
      <c r="L2262" s="6"/>
      <c r="M2262" s="6"/>
      <c r="N2262" s="6"/>
      <c r="O2262" s="6"/>
      <c r="P2262" s="6"/>
      <c r="Q2262" s="6"/>
      <c r="R2262" s="6"/>
      <c r="S2262" s="6"/>
      <c r="T2262" s="6"/>
      <c r="U2262" s="6"/>
      <c r="V2262" s="6"/>
      <c r="W2262" s="6"/>
      <c r="X2262" s="6"/>
      <c r="Y2262" s="6"/>
      <c r="Z2262" s="6"/>
    </row>
    <row r="2263" spans="1:26" ht="16.8" x14ac:dyDescent="0.45">
      <c r="A2263" s="6"/>
      <c r="B2263" s="7"/>
      <c r="C2263" s="6"/>
      <c r="D2263" s="6"/>
      <c r="E2263" s="6"/>
      <c r="F2263" s="6"/>
      <c r="G2263" s="6"/>
      <c r="H2263" s="6"/>
      <c r="I2263" s="6"/>
      <c r="J2263" s="6"/>
      <c r="K2263" s="6"/>
      <c r="L2263" s="6"/>
      <c r="M2263" s="6"/>
      <c r="N2263" s="6"/>
      <c r="O2263" s="6"/>
      <c r="P2263" s="6"/>
      <c r="Q2263" s="6"/>
      <c r="R2263" s="6"/>
      <c r="S2263" s="6"/>
      <c r="T2263" s="6"/>
      <c r="U2263" s="6"/>
      <c r="V2263" s="6"/>
      <c r="W2263" s="6"/>
      <c r="X2263" s="6"/>
      <c r="Y2263" s="6"/>
      <c r="Z2263" s="6"/>
    </row>
    <row r="2264" spans="1:26" ht="16.8" x14ac:dyDescent="0.45">
      <c r="A2264" s="6"/>
      <c r="B2264" s="7"/>
      <c r="C2264" s="6"/>
      <c r="D2264" s="6"/>
      <c r="E2264" s="6"/>
      <c r="F2264" s="6"/>
      <c r="G2264" s="6"/>
      <c r="H2264" s="6"/>
      <c r="I2264" s="6"/>
      <c r="J2264" s="6"/>
      <c r="K2264" s="6"/>
      <c r="L2264" s="6"/>
      <c r="M2264" s="6"/>
      <c r="N2264" s="6"/>
      <c r="O2264" s="6"/>
      <c r="P2264" s="6"/>
      <c r="Q2264" s="6"/>
      <c r="R2264" s="6"/>
      <c r="S2264" s="6"/>
      <c r="T2264" s="6"/>
      <c r="U2264" s="6"/>
      <c r="V2264" s="6"/>
      <c r="W2264" s="6"/>
      <c r="X2264" s="6"/>
      <c r="Y2264" s="6"/>
      <c r="Z2264" s="6"/>
    </row>
    <row r="2265" spans="1:26" ht="16.8" x14ac:dyDescent="0.45">
      <c r="A2265" s="6"/>
      <c r="B2265" s="7"/>
      <c r="C2265" s="6"/>
      <c r="D2265" s="6"/>
      <c r="E2265" s="6"/>
      <c r="F2265" s="6"/>
      <c r="G2265" s="6"/>
      <c r="H2265" s="6"/>
      <c r="I2265" s="6"/>
      <c r="J2265" s="6"/>
      <c r="K2265" s="6"/>
      <c r="L2265" s="6"/>
      <c r="M2265" s="6"/>
      <c r="N2265" s="6"/>
      <c r="O2265" s="6"/>
      <c r="P2265" s="6"/>
      <c r="Q2265" s="6"/>
      <c r="R2265" s="6"/>
      <c r="S2265" s="6"/>
      <c r="T2265" s="6"/>
      <c r="U2265" s="6"/>
      <c r="V2265" s="6"/>
      <c r="W2265" s="6"/>
      <c r="X2265" s="6"/>
      <c r="Y2265" s="6"/>
      <c r="Z2265" s="6"/>
    </row>
    <row r="2266" spans="1:26" ht="16.8" x14ac:dyDescent="0.45">
      <c r="A2266" s="6"/>
      <c r="B2266" s="7"/>
      <c r="C2266" s="6"/>
      <c r="D2266" s="6"/>
      <c r="E2266" s="6"/>
      <c r="F2266" s="6"/>
      <c r="G2266" s="6"/>
      <c r="H2266" s="6"/>
      <c r="I2266" s="6"/>
      <c r="J2266" s="6"/>
      <c r="K2266" s="6"/>
      <c r="L2266" s="6"/>
      <c r="M2266" s="6"/>
      <c r="N2266" s="6"/>
      <c r="O2266" s="6"/>
      <c r="P2266" s="6"/>
      <c r="Q2266" s="6"/>
      <c r="R2266" s="6"/>
      <c r="S2266" s="6"/>
      <c r="T2266" s="6"/>
      <c r="U2266" s="6"/>
      <c r="V2266" s="6"/>
      <c r="W2266" s="6"/>
      <c r="X2266" s="6"/>
      <c r="Y2266" s="6"/>
      <c r="Z2266" s="6"/>
    </row>
    <row r="2267" spans="1:26" ht="16.8" x14ac:dyDescent="0.45">
      <c r="A2267" s="6"/>
      <c r="B2267" s="7"/>
      <c r="C2267" s="6"/>
      <c r="D2267" s="6"/>
      <c r="E2267" s="6"/>
      <c r="F2267" s="6"/>
      <c r="G2267" s="6"/>
      <c r="H2267" s="6"/>
      <c r="I2267" s="6"/>
      <c r="J2267" s="6"/>
      <c r="K2267" s="6"/>
      <c r="L2267" s="6"/>
      <c r="M2267" s="6"/>
      <c r="N2267" s="6"/>
      <c r="O2267" s="6"/>
      <c r="P2267" s="6"/>
      <c r="Q2267" s="6"/>
      <c r="R2267" s="6"/>
      <c r="S2267" s="6"/>
      <c r="T2267" s="6"/>
      <c r="U2267" s="6"/>
      <c r="V2267" s="6"/>
      <c r="W2267" s="6"/>
      <c r="X2267" s="6"/>
      <c r="Y2267" s="6"/>
      <c r="Z2267" s="6"/>
    </row>
    <row r="2268" spans="1:26" ht="16.8" x14ac:dyDescent="0.45">
      <c r="A2268" s="6"/>
      <c r="B2268" s="7"/>
      <c r="C2268" s="6"/>
      <c r="D2268" s="6"/>
      <c r="E2268" s="6"/>
      <c r="F2268" s="6"/>
      <c r="G2268" s="6"/>
      <c r="H2268" s="6"/>
      <c r="I2268" s="6"/>
      <c r="J2268" s="6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</row>
    <row r="2269" spans="1:26" ht="16.8" x14ac:dyDescent="0.45">
      <c r="A2269" s="6"/>
      <c r="B2269" s="7"/>
      <c r="C2269" s="6"/>
      <c r="D2269" s="6"/>
      <c r="E2269" s="6"/>
      <c r="F2269" s="6"/>
      <c r="G2269" s="6"/>
      <c r="H2269" s="6"/>
      <c r="I2269" s="6"/>
      <c r="J2269" s="6"/>
      <c r="K2269" s="6"/>
      <c r="L2269" s="6"/>
      <c r="M2269" s="6"/>
      <c r="N2269" s="6"/>
      <c r="O2269" s="6"/>
      <c r="P2269" s="6"/>
      <c r="Q2269" s="6"/>
      <c r="R2269" s="6"/>
      <c r="S2269" s="6"/>
      <c r="T2269" s="6"/>
      <c r="U2269" s="6"/>
      <c r="V2269" s="6"/>
      <c r="W2269" s="6"/>
      <c r="X2269" s="6"/>
      <c r="Y2269" s="6"/>
      <c r="Z2269" s="6"/>
    </row>
    <row r="2270" spans="1:26" ht="16.8" x14ac:dyDescent="0.45">
      <c r="A2270" s="6"/>
      <c r="B2270" s="7"/>
      <c r="C2270" s="6"/>
      <c r="D2270" s="6"/>
      <c r="E2270" s="6"/>
      <c r="F2270" s="6"/>
      <c r="G2270" s="6"/>
      <c r="H2270" s="6"/>
      <c r="I2270" s="6"/>
      <c r="J2270" s="6"/>
      <c r="K2270" s="6"/>
      <c r="L2270" s="6"/>
      <c r="M2270" s="6"/>
      <c r="N2270" s="6"/>
      <c r="O2270" s="6"/>
      <c r="P2270" s="6"/>
      <c r="Q2270" s="6"/>
      <c r="R2270" s="6"/>
      <c r="S2270" s="6"/>
      <c r="T2270" s="6"/>
      <c r="U2270" s="6"/>
      <c r="V2270" s="6"/>
      <c r="W2270" s="6"/>
      <c r="X2270" s="6"/>
      <c r="Y2270" s="6"/>
      <c r="Z2270" s="6"/>
    </row>
    <row r="2271" spans="1:26" ht="16.8" x14ac:dyDescent="0.45">
      <c r="A2271" s="6"/>
      <c r="B2271" s="7"/>
      <c r="C2271" s="6"/>
      <c r="D2271" s="6"/>
      <c r="E2271" s="6"/>
      <c r="F2271" s="6"/>
      <c r="G2271" s="6"/>
      <c r="H2271" s="6"/>
      <c r="I2271" s="6"/>
      <c r="J2271" s="6"/>
      <c r="K2271" s="6"/>
      <c r="L2271" s="6"/>
      <c r="M2271" s="6"/>
      <c r="N2271" s="6"/>
      <c r="O2271" s="6"/>
      <c r="P2271" s="6"/>
      <c r="Q2271" s="6"/>
      <c r="R2271" s="6"/>
      <c r="S2271" s="6"/>
      <c r="T2271" s="6"/>
      <c r="U2271" s="6"/>
      <c r="V2271" s="6"/>
      <c r="W2271" s="6"/>
      <c r="X2271" s="6"/>
      <c r="Y2271" s="6"/>
      <c r="Z2271" s="6"/>
    </row>
    <row r="2272" spans="1:26" ht="16.8" x14ac:dyDescent="0.45">
      <c r="A2272" s="6"/>
      <c r="B2272" s="7"/>
      <c r="C2272" s="6"/>
      <c r="D2272" s="6"/>
      <c r="E2272" s="6"/>
      <c r="F2272" s="6"/>
      <c r="G2272" s="6"/>
      <c r="H2272" s="6"/>
      <c r="I2272" s="6"/>
      <c r="J2272" s="6"/>
      <c r="K2272" s="6"/>
      <c r="L2272" s="6"/>
      <c r="M2272" s="6"/>
      <c r="N2272" s="6"/>
      <c r="O2272" s="6"/>
      <c r="P2272" s="6"/>
      <c r="Q2272" s="6"/>
      <c r="R2272" s="6"/>
      <c r="S2272" s="6"/>
      <c r="T2272" s="6"/>
      <c r="U2272" s="6"/>
      <c r="V2272" s="6"/>
      <c r="W2272" s="6"/>
      <c r="X2272" s="6"/>
      <c r="Y2272" s="6"/>
      <c r="Z2272" s="6"/>
    </row>
    <row r="2273" spans="1:26" ht="16.8" x14ac:dyDescent="0.45">
      <c r="A2273" s="6"/>
      <c r="B2273" s="7"/>
      <c r="C2273" s="6"/>
      <c r="D2273" s="6"/>
      <c r="E2273" s="6"/>
      <c r="F2273" s="6"/>
      <c r="G2273" s="6"/>
      <c r="H2273" s="6"/>
      <c r="I2273" s="6"/>
      <c r="J2273" s="6"/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</row>
    <row r="2274" spans="1:26" ht="16.8" x14ac:dyDescent="0.45">
      <c r="A2274" s="6"/>
      <c r="B2274" s="7"/>
      <c r="C2274" s="6"/>
      <c r="D2274" s="6"/>
      <c r="E2274" s="6"/>
      <c r="F2274" s="6"/>
      <c r="G2274" s="6"/>
      <c r="H2274" s="6"/>
      <c r="I2274" s="6"/>
      <c r="J2274" s="6"/>
      <c r="K2274" s="6"/>
      <c r="L2274" s="6"/>
      <c r="M2274" s="6"/>
      <c r="N2274" s="6"/>
      <c r="O2274" s="6"/>
      <c r="P2274" s="6"/>
      <c r="Q2274" s="6"/>
      <c r="R2274" s="6"/>
      <c r="S2274" s="6"/>
      <c r="T2274" s="6"/>
      <c r="U2274" s="6"/>
      <c r="V2274" s="6"/>
      <c r="W2274" s="6"/>
      <c r="X2274" s="6"/>
      <c r="Y2274" s="6"/>
      <c r="Z2274" s="6"/>
    </row>
    <row r="2275" spans="1:26" ht="16.8" x14ac:dyDescent="0.45">
      <c r="A2275" s="6"/>
      <c r="B2275" s="7"/>
      <c r="C2275" s="6"/>
      <c r="D2275" s="6"/>
      <c r="E2275" s="6"/>
      <c r="F2275" s="6"/>
      <c r="G2275" s="6"/>
      <c r="H2275" s="6"/>
      <c r="I2275" s="6"/>
      <c r="J2275" s="6"/>
      <c r="K2275" s="6"/>
      <c r="L2275" s="6"/>
      <c r="M2275" s="6"/>
      <c r="N2275" s="6"/>
      <c r="O2275" s="6"/>
      <c r="P2275" s="6"/>
      <c r="Q2275" s="6"/>
      <c r="R2275" s="6"/>
      <c r="S2275" s="6"/>
      <c r="T2275" s="6"/>
      <c r="U2275" s="6"/>
      <c r="V2275" s="6"/>
      <c r="W2275" s="6"/>
      <c r="X2275" s="6"/>
      <c r="Y2275" s="6"/>
      <c r="Z2275" s="6"/>
    </row>
    <row r="2276" spans="1:26" ht="16.8" x14ac:dyDescent="0.45">
      <c r="A2276" s="6"/>
      <c r="B2276" s="7"/>
      <c r="C2276" s="6"/>
      <c r="D2276" s="6"/>
      <c r="E2276" s="6"/>
      <c r="F2276" s="6"/>
      <c r="G2276" s="6"/>
      <c r="H2276" s="6"/>
      <c r="I2276" s="6"/>
      <c r="J2276" s="6"/>
      <c r="K2276" s="6"/>
      <c r="L2276" s="6"/>
      <c r="M2276" s="6"/>
      <c r="N2276" s="6"/>
      <c r="O2276" s="6"/>
      <c r="P2276" s="6"/>
      <c r="Q2276" s="6"/>
      <c r="R2276" s="6"/>
      <c r="S2276" s="6"/>
      <c r="T2276" s="6"/>
      <c r="U2276" s="6"/>
      <c r="V2276" s="6"/>
      <c r="W2276" s="6"/>
      <c r="X2276" s="6"/>
      <c r="Y2276" s="6"/>
      <c r="Z2276" s="6"/>
    </row>
    <row r="2277" spans="1:26" ht="16.8" x14ac:dyDescent="0.45">
      <c r="A2277" s="6"/>
      <c r="B2277" s="7"/>
      <c r="C2277" s="6"/>
      <c r="D2277" s="6"/>
      <c r="E2277" s="6"/>
      <c r="F2277" s="6"/>
      <c r="G2277" s="6"/>
      <c r="H2277" s="6"/>
      <c r="I2277" s="6"/>
      <c r="J2277" s="6"/>
      <c r="K2277" s="6"/>
      <c r="L2277" s="6"/>
      <c r="M2277" s="6"/>
      <c r="N2277" s="6"/>
      <c r="O2277" s="6"/>
      <c r="P2277" s="6"/>
      <c r="Q2277" s="6"/>
      <c r="R2277" s="6"/>
      <c r="S2277" s="6"/>
      <c r="T2277" s="6"/>
      <c r="U2277" s="6"/>
      <c r="V2277" s="6"/>
      <c r="W2277" s="6"/>
      <c r="X2277" s="6"/>
      <c r="Y2277" s="6"/>
      <c r="Z2277" s="6"/>
    </row>
    <row r="2278" spans="1:26" ht="16.8" x14ac:dyDescent="0.45">
      <c r="A2278" s="6"/>
      <c r="B2278" s="7"/>
      <c r="C2278" s="6"/>
      <c r="D2278" s="6"/>
      <c r="E2278" s="6"/>
      <c r="F2278" s="6"/>
      <c r="G2278" s="6"/>
      <c r="H2278" s="6"/>
      <c r="I2278" s="6"/>
      <c r="J2278" s="6"/>
      <c r="K2278" s="6"/>
      <c r="L2278" s="6"/>
      <c r="M2278" s="6"/>
      <c r="N2278" s="6"/>
      <c r="O2278" s="6"/>
      <c r="P2278" s="6"/>
      <c r="Q2278" s="6"/>
      <c r="R2278" s="6"/>
      <c r="S2278" s="6"/>
      <c r="T2278" s="6"/>
      <c r="U2278" s="6"/>
      <c r="V2278" s="6"/>
      <c r="W2278" s="6"/>
      <c r="X2278" s="6"/>
      <c r="Y2278" s="6"/>
      <c r="Z2278" s="6"/>
    </row>
    <row r="2279" spans="1:26" ht="16.8" x14ac:dyDescent="0.45">
      <c r="A2279" s="6"/>
      <c r="B2279" s="7"/>
      <c r="C2279" s="6"/>
      <c r="D2279" s="6"/>
      <c r="E2279" s="6"/>
      <c r="F2279" s="6"/>
      <c r="G2279" s="6"/>
      <c r="H2279" s="6"/>
      <c r="I2279" s="6"/>
      <c r="J2279" s="6"/>
      <c r="K2279" s="6"/>
      <c r="L2279" s="6"/>
      <c r="M2279" s="6"/>
      <c r="N2279" s="6"/>
      <c r="O2279" s="6"/>
      <c r="P2279" s="6"/>
      <c r="Q2279" s="6"/>
      <c r="R2279" s="6"/>
      <c r="S2279" s="6"/>
      <c r="T2279" s="6"/>
      <c r="U2279" s="6"/>
      <c r="V2279" s="6"/>
      <c r="W2279" s="6"/>
      <c r="X2279" s="6"/>
      <c r="Y2279" s="6"/>
      <c r="Z2279" s="6"/>
    </row>
    <row r="2280" spans="1:26" ht="16.8" x14ac:dyDescent="0.45">
      <c r="A2280" s="6"/>
      <c r="B2280" s="7"/>
      <c r="C2280" s="6"/>
      <c r="D2280" s="6"/>
      <c r="E2280" s="6"/>
      <c r="F2280" s="6"/>
      <c r="G2280" s="6"/>
      <c r="H2280" s="6"/>
      <c r="I2280" s="6"/>
      <c r="J2280" s="6"/>
      <c r="K2280" s="6"/>
      <c r="L2280" s="6"/>
      <c r="M2280" s="6"/>
      <c r="N2280" s="6"/>
      <c r="O2280" s="6"/>
      <c r="P2280" s="6"/>
      <c r="Q2280" s="6"/>
      <c r="R2280" s="6"/>
      <c r="S2280" s="6"/>
      <c r="T2280" s="6"/>
      <c r="U2280" s="6"/>
      <c r="V2280" s="6"/>
      <c r="W2280" s="6"/>
      <c r="X2280" s="6"/>
      <c r="Y2280" s="6"/>
      <c r="Z2280" s="6"/>
    </row>
    <row r="2281" spans="1:26" ht="16.8" x14ac:dyDescent="0.45">
      <c r="A2281" s="6"/>
      <c r="B2281" s="7"/>
      <c r="C2281" s="6"/>
      <c r="D2281" s="6"/>
      <c r="E2281" s="6"/>
      <c r="F2281" s="6"/>
      <c r="G2281" s="6"/>
      <c r="H2281" s="6"/>
      <c r="I2281" s="6"/>
      <c r="J2281" s="6"/>
      <c r="K2281" s="6"/>
      <c r="L2281" s="6"/>
      <c r="M2281" s="6"/>
      <c r="N2281" s="6"/>
      <c r="O2281" s="6"/>
      <c r="P2281" s="6"/>
      <c r="Q2281" s="6"/>
      <c r="R2281" s="6"/>
      <c r="S2281" s="6"/>
      <c r="T2281" s="6"/>
      <c r="U2281" s="6"/>
      <c r="V2281" s="6"/>
      <c r="W2281" s="6"/>
      <c r="X2281" s="6"/>
      <c r="Y2281" s="6"/>
      <c r="Z2281" s="6"/>
    </row>
    <row r="2282" spans="1:26" ht="16.8" x14ac:dyDescent="0.45">
      <c r="A2282" s="6"/>
      <c r="B2282" s="7"/>
      <c r="C2282" s="6"/>
      <c r="D2282" s="6"/>
      <c r="E2282" s="6"/>
      <c r="F2282" s="6"/>
      <c r="G2282" s="6"/>
      <c r="H2282" s="6"/>
      <c r="I2282" s="6"/>
      <c r="J2282" s="6"/>
      <c r="K2282" s="6"/>
      <c r="L2282" s="6"/>
      <c r="M2282" s="6"/>
      <c r="N2282" s="6"/>
      <c r="O2282" s="6"/>
      <c r="P2282" s="6"/>
      <c r="Q2282" s="6"/>
      <c r="R2282" s="6"/>
      <c r="S2282" s="6"/>
      <c r="T2282" s="6"/>
      <c r="U2282" s="6"/>
      <c r="V2282" s="6"/>
      <c r="W2282" s="6"/>
      <c r="X2282" s="6"/>
      <c r="Y2282" s="6"/>
      <c r="Z2282" s="6"/>
    </row>
    <row r="2283" spans="1:26" ht="16.8" x14ac:dyDescent="0.45">
      <c r="A2283" s="6"/>
      <c r="B2283" s="7"/>
      <c r="C2283" s="6"/>
      <c r="D2283" s="6"/>
      <c r="E2283" s="6"/>
      <c r="F2283" s="6"/>
      <c r="G2283" s="6"/>
      <c r="H2283" s="6"/>
      <c r="I2283" s="6"/>
      <c r="J2283" s="6"/>
      <c r="K2283" s="6"/>
      <c r="L2283" s="6"/>
      <c r="M2283" s="6"/>
      <c r="N2283" s="6"/>
      <c r="O2283" s="6"/>
      <c r="P2283" s="6"/>
      <c r="Q2283" s="6"/>
      <c r="R2283" s="6"/>
      <c r="S2283" s="6"/>
      <c r="T2283" s="6"/>
      <c r="U2283" s="6"/>
      <c r="V2283" s="6"/>
      <c r="W2283" s="6"/>
      <c r="X2283" s="6"/>
      <c r="Y2283" s="6"/>
      <c r="Z2283" s="6"/>
    </row>
    <row r="2284" spans="1:26" ht="16.8" x14ac:dyDescent="0.45">
      <c r="A2284" s="6"/>
      <c r="B2284" s="7"/>
      <c r="C2284" s="6"/>
      <c r="D2284" s="6"/>
      <c r="E2284" s="6"/>
      <c r="F2284" s="6"/>
      <c r="G2284" s="6"/>
      <c r="H2284" s="6"/>
      <c r="I2284" s="6"/>
      <c r="J2284" s="6"/>
      <c r="K2284" s="6"/>
      <c r="L2284" s="6"/>
      <c r="M2284" s="6"/>
      <c r="N2284" s="6"/>
      <c r="O2284" s="6"/>
      <c r="P2284" s="6"/>
      <c r="Q2284" s="6"/>
      <c r="R2284" s="6"/>
      <c r="S2284" s="6"/>
      <c r="T2284" s="6"/>
      <c r="U2284" s="6"/>
      <c r="V2284" s="6"/>
      <c r="W2284" s="6"/>
      <c r="X2284" s="6"/>
      <c r="Y2284" s="6"/>
      <c r="Z2284" s="6"/>
    </row>
    <row r="2285" spans="1:26" ht="16.8" x14ac:dyDescent="0.45">
      <c r="A2285" s="6"/>
      <c r="B2285" s="7"/>
      <c r="C2285" s="6"/>
      <c r="D2285" s="6"/>
      <c r="E2285" s="6"/>
      <c r="F2285" s="6"/>
      <c r="G2285" s="6"/>
      <c r="H2285" s="6"/>
      <c r="I2285" s="6"/>
      <c r="J2285" s="6"/>
      <c r="K2285" s="6"/>
      <c r="L2285" s="6"/>
      <c r="M2285" s="6"/>
      <c r="N2285" s="6"/>
      <c r="O2285" s="6"/>
      <c r="P2285" s="6"/>
      <c r="Q2285" s="6"/>
      <c r="R2285" s="6"/>
      <c r="S2285" s="6"/>
      <c r="T2285" s="6"/>
      <c r="U2285" s="6"/>
      <c r="V2285" s="6"/>
      <c r="W2285" s="6"/>
      <c r="X2285" s="6"/>
      <c r="Y2285" s="6"/>
      <c r="Z2285" s="6"/>
    </row>
    <row r="2286" spans="1:26" ht="16.8" x14ac:dyDescent="0.45">
      <c r="A2286" s="6"/>
      <c r="B2286" s="7"/>
      <c r="C2286" s="6"/>
      <c r="D2286" s="6"/>
      <c r="E2286" s="6"/>
      <c r="F2286" s="6"/>
      <c r="G2286" s="6"/>
      <c r="H2286" s="6"/>
      <c r="I2286" s="6"/>
      <c r="J2286" s="6"/>
      <c r="K2286" s="6"/>
      <c r="L2286" s="6"/>
      <c r="M2286" s="6"/>
      <c r="N2286" s="6"/>
      <c r="O2286" s="6"/>
      <c r="P2286" s="6"/>
      <c r="Q2286" s="6"/>
      <c r="R2286" s="6"/>
      <c r="S2286" s="6"/>
      <c r="T2286" s="6"/>
      <c r="U2286" s="6"/>
      <c r="V2286" s="6"/>
      <c r="W2286" s="6"/>
      <c r="X2286" s="6"/>
      <c r="Y2286" s="6"/>
      <c r="Z2286" s="6"/>
    </row>
    <row r="2287" spans="1:26" ht="16.8" x14ac:dyDescent="0.45">
      <c r="A2287" s="6"/>
      <c r="B2287" s="7"/>
      <c r="C2287" s="6"/>
      <c r="D2287" s="6"/>
      <c r="E2287" s="6"/>
      <c r="F2287" s="6"/>
      <c r="G2287" s="6"/>
      <c r="H2287" s="6"/>
      <c r="I2287" s="6"/>
      <c r="J2287" s="6"/>
      <c r="K2287" s="6"/>
      <c r="L2287" s="6"/>
      <c r="M2287" s="6"/>
      <c r="N2287" s="6"/>
      <c r="O2287" s="6"/>
      <c r="P2287" s="6"/>
      <c r="Q2287" s="6"/>
      <c r="R2287" s="6"/>
      <c r="S2287" s="6"/>
      <c r="T2287" s="6"/>
      <c r="U2287" s="6"/>
      <c r="V2287" s="6"/>
      <c r="W2287" s="6"/>
      <c r="X2287" s="6"/>
      <c r="Y2287" s="6"/>
      <c r="Z2287" s="6"/>
    </row>
    <row r="2288" spans="1:26" ht="16.8" x14ac:dyDescent="0.45">
      <c r="A2288" s="6"/>
      <c r="B2288" s="7"/>
      <c r="C2288" s="6"/>
      <c r="D2288" s="6"/>
      <c r="E2288" s="6"/>
      <c r="F2288" s="6"/>
      <c r="G2288" s="6"/>
      <c r="H2288" s="6"/>
      <c r="I2288" s="6"/>
      <c r="J2288" s="6"/>
      <c r="K2288" s="6"/>
      <c r="L2288" s="6"/>
      <c r="M2288" s="6"/>
      <c r="N2288" s="6"/>
      <c r="O2288" s="6"/>
      <c r="P2288" s="6"/>
      <c r="Q2288" s="6"/>
      <c r="R2288" s="6"/>
      <c r="S2288" s="6"/>
      <c r="T2288" s="6"/>
      <c r="U2288" s="6"/>
      <c r="V2288" s="6"/>
      <c r="W2288" s="6"/>
      <c r="X2288" s="6"/>
      <c r="Y2288" s="6"/>
      <c r="Z2288" s="6"/>
    </row>
    <row r="2289" spans="1:26" ht="16.8" x14ac:dyDescent="0.45">
      <c r="A2289" s="6"/>
      <c r="B2289" s="7"/>
      <c r="C2289" s="6"/>
      <c r="D2289" s="6"/>
      <c r="E2289" s="6"/>
      <c r="F2289" s="6"/>
      <c r="G2289" s="6"/>
      <c r="H2289" s="6"/>
      <c r="I2289" s="6"/>
      <c r="J2289" s="6"/>
      <c r="K2289" s="6"/>
      <c r="L2289" s="6"/>
      <c r="M2289" s="6"/>
      <c r="N2289" s="6"/>
      <c r="O2289" s="6"/>
      <c r="P2289" s="6"/>
      <c r="Q2289" s="6"/>
      <c r="R2289" s="6"/>
      <c r="S2289" s="6"/>
      <c r="T2289" s="6"/>
      <c r="U2289" s="6"/>
      <c r="V2289" s="6"/>
      <c r="W2289" s="6"/>
      <c r="X2289" s="6"/>
      <c r="Y2289" s="6"/>
      <c r="Z2289" s="6"/>
    </row>
    <row r="2290" spans="1:26" ht="16.8" x14ac:dyDescent="0.45">
      <c r="A2290" s="6"/>
      <c r="B2290" s="7"/>
      <c r="C2290" s="6"/>
      <c r="D2290" s="6"/>
      <c r="E2290" s="6"/>
      <c r="F2290" s="6"/>
      <c r="G2290" s="6"/>
      <c r="H2290" s="6"/>
      <c r="I2290" s="6"/>
      <c r="J2290" s="6"/>
      <c r="K2290" s="6"/>
      <c r="L2290" s="6"/>
      <c r="M2290" s="6"/>
      <c r="N2290" s="6"/>
      <c r="O2290" s="6"/>
      <c r="P2290" s="6"/>
      <c r="Q2290" s="6"/>
      <c r="R2290" s="6"/>
      <c r="S2290" s="6"/>
      <c r="T2290" s="6"/>
      <c r="U2290" s="6"/>
      <c r="V2290" s="6"/>
      <c r="W2290" s="6"/>
      <c r="X2290" s="6"/>
      <c r="Y2290" s="6"/>
      <c r="Z2290" s="6"/>
    </row>
    <row r="2291" spans="1:26" ht="16.8" x14ac:dyDescent="0.45">
      <c r="A2291" s="6"/>
      <c r="B2291" s="7"/>
      <c r="C2291" s="6"/>
      <c r="D2291" s="6"/>
      <c r="E2291" s="6"/>
      <c r="F2291" s="6"/>
      <c r="G2291" s="6"/>
      <c r="H2291" s="6"/>
      <c r="I2291" s="6"/>
      <c r="J2291" s="6"/>
      <c r="K2291" s="6"/>
      <c r="L2291" s="6"/>
      <c r="M2291" s="6"/>
      <c r="N2291" s="6"/>
      <c r="O2291" s="6"/>
      <c r="P2291" s="6"/>
      <c r="Q2291" s="6"/>
      <c r="R2291" s="6"/>
      <c r="S2291" s="6"/>
      <c r="T2291" s="6"/>
      <c r="U2291" s="6"/>
      <c r="V2291" s="6"/>
      <c r="W2291" s="6"/>
      <c r="X2291" s="6"/>
      <c r="Y2291" s="6"/>
      <c r="Z2291" s="6"/>
    </row>
    <row r="2292" spans="1:26" ht="16.8" x14ac:dyDescent="0.45">
      <c r="A2292" s="6"/>
      <c r="B2292" s="7"/>
      <c r="C2292" s="6"/>
      <c r="D2292" s="6"/>
      <c r="E2292" s="6"/>
      <c r="F2292" s="6"/>
      <c r="G2292" s="6"/>
      <c r="H2292" s="6"/>
      <c r="I2292" s="6"/>
      <c r="J2292" s="6"/>
      <c r="K2292" s="6"/>
      <c r="L2292" s="6"/>
      <c r="M2292" s="6"/>
      <c r="N2292" s="6"/>
      <c r="O2292" s="6"/>
      <c r="P2292" s="6"/>
      <c r="Q2292" s="6"/>
      <c r="R2292" s="6"/>
      <c r="S2292" s="6"/>
      <c r="T2292" s="6"/>
      <c r="U2292" s="6"/>
      <c r="V2292" s="6"/>
      <c r="W2292" s="6"/>
      <c r="X2292" s="6"/>
      <c r="Y2292" s="6"/>
      <c r="Z2292" s="6"/>
    </row>
    <row r="2293" spans="1:26" ht="16.8" x14ac:dyDescent="0.45">
      <c r="A2293" s="6"/>
      <c r="B2293" s="7"/>
      <c r="C2293" s="6"/>
      <c r="D2293" s="6"/>
      <c r="E2293" s="6"/>
      <c r="F2293" s="6"/>
      <c r="G2293" s="6"/>
      <c r="H2293" s="6"/>
      <c r="I2293" s="6"/>
      <c r="J2293" s="6"/>
      <c r="K2293" s="6"/>
      <c r="L2293" s="6"/>
      <c r="M2293" s="6"/>
      <c r="N2293" s="6"/>
      <c r="O2293" s="6"/>
      <c r="P2293" s="6"/>
      <c r="Q2293" s="6"/>
      <c r="R2293" s="6"/>
      <c r="S2293" s="6"/>
      <c r="T2293" s="6"/>
      <c r="U2293" s="6"/>
      <c r="V2293" s="6"/>
      <c r="W2293" s="6"/>
      <c r="X2293" s="6"/>
      <c r="Y2293" s="6"/>
      <c r="Z2293" s="6"/>
    </row>
    <row r="2294" spans="1:26" ht="16.8" x14ac:dyDescent="0.45">
      <c r="A2294" s="6"/>
      <c r="B2294" s="7"/>
      <c r="C2294" s="6"/>
      <c r="D2294" s="6"/>
      <c r="E2294" s="6"/>
      <c r="F2294" s="6"/>
      <c r="G2294" s="6"/>
      <c r="H2294" s="6"/>
      <c r="I2294" s="6"/>
      <c r="J2294" s="6"/>
      <c r="K2294" s="6"/>
      <c r="L2294" s="6"/>
      <c r="M2294" s="6"/>
      <c r="N2294" s="6"/>
      <c r="O2294" s="6"/>
      <c r="P2294" s="6"/>
      <c r="Q2294" s="6"/>
      <c r="R2294" s="6"/>
      <c r="S2294" s="6"/>
      <c r="T2294" s="6"/>
      <c r="U2294" s="6"/>
      <c r="V2294" s="6"/>
      <c r="W2294" s="6"/>
      <c r="X2294" s="6"/>
      <c r="Y2294" s="6"/>
      <c r="Z2294" s="6"/>
    </row>
    <row r="2295" spans="1:26" ht="16.8" x14ac:dyDescent="0.45">
      <c r="A2295" s="6"/>
      <c r="B2295" s="7"/>
      <c r="C2295" s="6"/>
      <c r="D2295" s="6"/>
      <c r="E2295" s="6"/>
      <c r="F2295" s="6"/>
      <c r="G2295" s="6"/>
      <c r="H2295" s="6"/>
      <c r="I2295" s="6"/>
      <c r="J2295" s="6"/>
      <c r="K2295" s="6"/>
      <c r="L2295" s="6"/>
      <c r="M2295" s="6"/>
      <c r="N2295" s="6"/>
      <c r="O2295" s="6"/>
      <c r="P2295" s="6"/>
      <c r="Q2295" s="6"/>
      <c r="R2295" s="6"/>
      <c r="S2295" s="6"/>
      <c r="T2295" s="6"/>
      <c r="U2295" s="6"/>
      <c r="V2295" s="6"/>
      <c r="W2295" s="6"/>
      <c r="X2295" s="6"/>
      <c r="Y2295" s="6"/>
      <c r="Z2295" s="6"/>
    </row>
    <row r="2296" spans="1:26" ht="16.8" x14ac:dyDescent="0.45">
      <c r="A2296" s="6"/>
      <c r="B2296" s="7"/>
      <c r="C2296" s="6"/>
      <c r="D2296" s="6"/>
      <c r="E2296" s="6"/>
      <c r="F2296" s="6"/>
      <c r="G2296" s="6"/>
      <c r="H2296" s="6"/>
      <c r="I2296" s="6"/>
      <c r="J2296" s="6"/>
      <c r="K2296" s="6"/>
      <c r="L2296" s="6"/>
      <c r="M2296" s="6"/>
      <c r="N2296" s="6"/>
      <c r="O2296" s="6"/>
      <c r="P2296" s="6"/>
      <c r="Q2296" s="6"/>
      <c r="R2296" s="6"/>
      <c r="S2296" s="6"/>
      <c r="T2296" s="6"/>
      <c r="U2296" s="6"/>
      <c r="V2296" s="6"/>
      <c r="W2296" s="6"/>
      <c r="X2296" s="6"/>
      <c r="Y2296" s="6"/>
      <c r="Z2296" s="6"/>
    </row>
    <row r="2297" spans="1:26" ht="16.8" x14ac:dyDescent="0.45">
      <c r="A2297" s="6"/>
      <c r="B2297" s="7"/>
      <c r="C2297" s="6"/>
      <c r="D2297" s="6"/>
      <c r="E2297" s="6"/>
      <c r="F2297" s="6"/>
      <c r="G2297" s="6"/>
      <c r="H2297" s="6"/>
      <c r="I2297" s="6"/>
      <c r="J2297" s="6"/>
      <c r="K2297" s="6"/>
      <c r="L2297" s="6"/>
      <c r="M2297" s="6"/>
      <c r="N2297" s="6"/>
      <c r="O2297" s="6"/>
      <c r="P2297" s="6"/>
      <c r="Q2297" s="6"/>
      <c r="R2297" s="6"/>
      <c r="S2297" s="6"/>
      <c r="T2297" s="6"/>
      <c r="U2297" s="6"/>
      <c r="V2297" s="6"/>
      <c r="W2297" s="6"/>
      <c r="X2297" s="6"/>
      <c r="Y2297" s="6"/>
      <c r="Z2297" s="6"/>
    </row>
    <row r="2298" spans="1:26" ht="16.8" x14ac:dyDescent="0.45">
      <c r="A2298" s="6"/>
      <c r="B2298" s="7"/>
      <c r="C2298" s="6"/>
      <c r="D2298" s="6"/>
      <c r="E2298" s="6"/>
      <c r="F2298" s="6"/>
      <c r="G2298" s="6"/>
      <c r="H2298" s="6"/>
      <c r="I2298" s="6"/>
      <c r="J2298" s="6"/>
      <c r="K2298" s="6"/>
      <c r="L2298" s="6"/>
      <c r="M2298" s="6"/>
      <c r="N2298" s="6"/>
      <c r="O2298" s="6"/>
      <c r="P2298" s="6"/>
      <c r="Q2298" s="6"/>
      <c r="R2298" s="6"/>
      <c r="S2298" s="6"/>
      <c r="T2298" s="6"/>
      <c r="U2298" s="6"/>
      <c r="V2298" s="6"/>
      <c r="W2298" s="6"/>
      <c r="X2298" s="6"/>
      <c r="Y2298" s="6"/>
      <c r="Z2298" s="6"/>
    </row>
    <row r="2299" spans="1:26" ht="16.8" x14ac:dyDescent="0.45">
      <c r="A2299" s="6"/>
      <c r="B2299" s="7"/>
      <c r="C2299" s="6"/>
      <c r="D2299" s="6"/>
      <c r="E2299" s="6"/>
      <c r="F2299" s="6"/>
      <c r="G2299" s="6"/>
      <c r="H2299" s="6"/>
      <c r="I2299" s="6"/>
      <c r="J2299" s="6"/>
      <c r="K2299" s="6"/>
      <c r="L2299" s="6"/>
      <c r="M2299" s="6"/>
      <c r="N2299" s="6"/>
      <c r="O2299" s="6"/>
      <c r="P2299" s="6"/>
      <c r="Q2299" s="6"/>
      <c r="R2299" s="6"/>
      <c r="S2299" s="6"/>
      <c r="T2299" s="6"/>
      <c r="U2299" s="6"/>
      <c r="V2299" s="6"/>
      <c r="W2299" s="6"/>
      <c r="X2299" s="6"/>
      <c r="Y2299" s="6"/>
      <c r="Z2299" s="6"/>
    </row>
    <row r="2300" spans="1:26" ht="16.8" x14ac:dyDescent="0.45">
      <c r="A2300" s="6"/>
      <c r="B2300" s="7"/>
      <c r="C2300" s="6"/>
      <c r="D2300" s="6"/>
      <c r="E2300" s="6"/>
      <c r="F2300" s="6"/>
      <c r="G2300" s="6"/>
      <c r="H2300" s="6"/>
      <c r="I2300" s="6"/>
      <c r="J2300" s="6"/>
      <c r="K2300" s="6"/>
      <c r="L2300" s="6"/>
      <c r="M2300" s="6"/>
      <c r="N2300" s="6"/>
      <c r="O2300" s="6"/>
      <c r="P2300" s="6"/>
      <c r="Q2300" s="6"/>
      <c r="R2300" s="6"/>
      <c r="S2300" s="6"/>
      <c r="T2300" s="6"/>
      <c r="U2300" s="6"/>
      <c r="V2300" s="6"/>
      <c r="W2300" s="6"/>
      <c r="X2300" s="6"/>
      <c r="Y2300" s="6"/>
      <c r="Z2300" s="6"/>
    </row>
    <row r="2301" spans="1:26" ht="16.8" x14ac:dyDescent="0.45">
      <c r="A2301" s="6"/>
      <c r="B2301" s="7"/>
      <c r="C2301" s="6"/>
      <c r="D2301" s="6"/>
      <c r="E2301" s="6"/>
      <c r="F2301" s="6"/>
      <c r="G2301" s="6"/>
      <c r="H2301" s="6"/>
      <c r="I2301" s="6"/>
      <c r="J2301" s="6"/>
      <c r="K2301" s="6"/>
      <c r="L2301" s="6"/>
      <c r="M2301" s="6"/>
      <c r="N2301" s="6"/>
      <c r="O2301" s="6"/>
      <c r="P2301" s="6"/>
      <c r="Q2301" s="6"/>
      <c r="R2301" s="6"/>
      <c r="S2301" s="6"/>
      <c r="T2301" s="6"/>
      <c r="U2301" s="6"/>
      <c r="V2301" s="6"/>
      <c r="W2301" s="6"/>
      <c r="X2301" s="6"/>
      <c r="Y2301" s="6"/>
      <c r="Z2301" s="6"/>
    </row>
    <row r="2302" spans="1:26" ht="16.8" x14ac:dyDescent="0.45">
      <c r="A2302" s="6"/>
      <c r="B2302" s="7"/>
      <c r="C2302" s="6"/>
      <c r="D2302" s="6"/>
      <c r="E2302" s="6"/>
      <c r="F2302" s="6"/>
      <c r="G2302" s="6"/>
      <c r="H2302" s="6"/>
      <c r="I2302" s="6"/>
      <c r="J2302" s="6"/>
      <c r="K2302" s="6"/>
      <c r="L2302" s="6"/>
      <c r="M2302" s="6"/>
      <c r="N2302" s="6"/>
      <c r="O2302" s="6"/>
      <c r="P2302" s="6"/>
      <c r="Q2302" s="6"/>
      <c r="R2302" s="6"/>
      <c r="S2302" s="6"/>
      <c r="T2302" s="6"/>
      <c r="U2302" s="6"/>
      <c r="V2302" s="6"/>
      <c r="W2302" s="6"/>
      <c r="X2302" s="6"/>
      <c r="Y2302" s="6"/>
      <c r="Z2302" s="6"/>
    </row>
    <row r="2303" spans="1:26" ht="16.8" x14ac:dyDescent="0.45">
      <c r="A2303" s="6"/>
      <c r="B2303" s="7"/>
      <c r="C2303" s="6"/>
      <c r="D2303" s="6"/>
      <c r="E2303" s="6"/>
      <c r="F2303" s="6"/>
      <c r="G2303" s="6"/>
      <c r="H2303" s="6"/>
      <c r="I2303" s="6"/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</row>
    <row r="2304" spans="1:26" ht="16.8" x14ac:dyDescent="0.45">
      <c r="A2304" s="6"/>
      <c r="B2304" s="7"/>
      <c r="C2304" s="6"/>
      <c r="D2304" s="6"/>
      <c r="E2304" s="6"/>
      <c r="F2304" s="6"/>
      <c r="G2304" s="6"/>
      <c r="H2304" s="6"/>
      <c r="I2304" s="6"/>
      <c r="J2304" s="6"/>
      <c r="K2304" s="6"/>
      <c r="L2304" s="6"/>
      <c r="M2304" s="6"/>
      <c r="N2304" s="6"/>
      <c r="O2304" s="6"/>
      <c r="P2304" s="6"/>
      <c r="Q2304" s="6"/>
      <c r="R2304" s="6"/>
      <c r="S2304" s="6"/>
      <c r="T2304" s="6"/>
      <c r="U2304" s="6"/>
      <c r="V2304" s="6"/>
      <c r="W2304" s="6"/>
      <c r="X2304" s="6"/>
      <c r="Y2304" s="6"/>
      <c r="Z2304" s="6"/>
    </row>
    <row r="2305" spans="1:26" ht="16.8" x14ac:dyDescent="0.45">
      <c r="A2305" s="6"/>
      <c r="B2305" s="7"/>
      <c r="C2305" s="6"/>
      <c r="D2305" s="6"/>
      <c r="E2305" s="6"/>
      <c r="F2305" s="6"/>
      <c r="G2305" s="6"/>
      <c r="H2305" s="6"/>
      <c r="I2305" s="6"/>
      <c r="J2305" s="6"/>
      <c r="K2305" s="6"/>
      <c r="L2305" s="6"/>
      <c r="M2305" s="6"/>
      <c r="N2305" s="6"/>
      <c r="O2305" s="6"/>
      <c r="P2305" s="6"/>
      <c r="Q2305" s="6"/>
      <c r="R2305" s="6"/>
      <c r="S2305" s="6"/>
      <c r="T2305" s="6"/>
      <c r="U2305" s="6"/>
      <c r="V2305" s="6"/>
      <c r="W2305" s="6"/>
      <c r="X2305" s="6"/>
      <c r="Y2305" s="6"/>
      <c r="Z2305" s="6"/>
    </row>
    <row r="2306" spans="1:26" ht="16.8" x14ac:dyDescent="0.45">
      <c r="A2306" s="6"/>
      <c r="B2306" s="7"/>
      <c r="C2306" s="6"/>
      <c r="D2306" s="6"/>
      <c r="E2306" s="6"/>
      <c r="F2306" s="6"/>
      <c r="G2306" s="6"/>
      <c r="H2306" s="6"/>
      <c r="I2306" s="6"/>
      <c r="J2306" s="6"/>
      <c r="K2306" s="6"/>
      <c r="L2306" s="6"/>
      <c r="M2306" s="6"/>
      <c r="N2306" s="6"/>
      <c r="O2306" s="6"/>
      <c r="P2306" s="6"/>
      <c r="Q2306" s="6"/>
      <c r="R2306" s="6"/>
      <c r="S2306" s="6"/>
      <c r="T2306" s="6"/>
      <c r="U2306" s="6"/>
      <c r="V2306" s="6"/>
      <c r="W2306" s="6"/>
      <c r="X2306" s="6"/>
      <c r="Y2306" s="6"/>
      <c r="Z2306" s="6"/>
    </row>
    <row r="2307" spans="1:26" ht="16.8" x14ac:dyDescent="0.45">
      <c r="A2307" s="6"/>
      <c r="B2307" s="7"/>
      <c r="C2307" s="6"/>
      <c r="D2307" s="6"/>
      <c r="E2307" s="6"/>
      <c r="F2307" s="6"/>
      <c r="G2307" s="6"/>
      <c r="H2307" s="6"/>
      <c r="I2307" s="6"/>
      <c r="J2307" s="6"/>
      <c r="K2307" s="6"/>
      <c r="L2307" s="6"/>
      <c r="M2307" s="6"/>
      <c r="N2307" s="6"/>
      <c r="O2307" s="6"/>
      <c r="P2307" s="6"/>
      <c r="Q2307" s="6"/>
      <c r="R2307" s="6"/>
      <c r="S2307" s="6"/>
      <c r="T2307" s="6"/>
      <c r="U2307" s="6"/>
      <c r="V2307" s="6"/>
      <c r="W2307" s="6"/>
      <c r="X2307" s="6"/>
      <c r="Y2307" s="6"/>
      <c r="Z2307" s="6"/>
    </row>
    <row r="2308" spans="1:26" ht="16.8" x14ac:dyDescent="0.45">
      <c r="A2308" s="6"/>
      <c r="B2308" s="7"/>
      <c r="C2308" s="6"/>
      <c r="D2308" s="6"/>
      <c r="E2308" s="6"/>
      <c r="F2308" s="6"/>
      <c r="G2308" s="6"/>
      <c r="H2308" s="6"/>
      <c r="I2308" s="6"/>
      <c r="J2308" s="6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</row>
    <row r="2309" spans="1:26" ht="16.8" x14ac:dyDescent="0.45">
      <c r="A2309" s="6"/>
      <c r="B2309" s="7"/>
      <c r="C2309" s="6"/>
      <c r="D2309" s="6"/>
      <c r="E2309" s="6"/>
      <c r="F2309" s="6"/>
      <c r="G2309" s="6"/>
      <c r="H2309" s="6"/>
      <c r="I2309" s="6"/>
      <c r="J2309" s="6"/>
      <c r="K2309" s="6"/>
      <c r="L2309" s="6"/>
      <c r="M2309" s="6"/>
      <c r="N2309" s="6"/>
      <c r="O2309" s="6"/>
      <c r="P2309" s="6"/>
      <c r="Q2309" s="6"/>
      <c r="R2309" s="6"/>
      <c r="S2309" s="6"/>
      <c r="T2309" s="6"/>
      <c r="U2309" s="6"/>
      <c r="V2309" s="6"/>
      <c r="W2309" s="6"/>
      <c r="X2309" s="6"/>
      <c r="Y2309" s="6"/>
      <c r="Z2309" s="6"/>
    </row>
    <row r="2310" spans="1:26" ht="16.8" x14ac:dyDescent="0.45">
      <c r="A2310" s="6"/>
      <c r="B2310" s="7"/>
      <c r="C2310" s="6"/>
      <c r="D2310" s="6"/>
      <c r="E2310" s="6"/>
      <c r="F2310" s="6"/>
      <c r="G2310" s="6"/>
      <c r="H2310" s="6"/>
      <c r="I2310" s="6"/>
      <c r="J2310" s="6"/>
      <c r="K2310" s="6"/>
      <c r="L2310" s="6"/>
      <c r="M2310" s="6"/>
      <c r="N2310" s="6"/>
      <c r="O2310" s="6"/>
      <c r="P2310" s="6"/>
      <c r="Q2310" s="6"/>
      <c r="R2310" s="6"/>
      <c r="S2310" s="6"/>
      <c r="T2310" s="6"/>
      <c r="U2310" s="6"/>
      <c r="V2310" s="6"/>
      <c r="W2310" s="6"/>
      <c r="X2310" s="6"/>
      <c r="Y2310" s="6"/>
      <c r="Z2310" s="6"/>
    </row>
    <row r="2311" spans="1:26" ht="16.8" x14ac:dyDescent="0.45">
      <c r="A2311" s="6"/>
      <c r="B2311" s="7"/>
      <c r="C2311" s="6"/>
      <c r="D2311" s="6"/>
      <c r="E2311" s="6"/>
      <c r="F2311" s="6"/>
      <c r="G2311" s="6"/>
      <c r="H2311" s="6"/>
      <c r="I2311" s="6"/>
      <c r="J2311" s="6"/>
      <c r="K2311" s="6"/>
      <c r="L2311" s="6"/>
      <c r="M2311" s="6"/>
      <c r="N2311" s="6"/>
      <c r="O2311" s="6"/>
      <c r="P2311" s="6"/>
      <c r="Q2311" s="6"/>
      <c r="R2311" s="6"/>
      <c r="S2311" s="6"/>
      <c r="T2311" s="6"/>
      <c r="U2311" s="6"/>
      <c r="V2311" s="6"/>
      <c r="W2311" s="6"/>
      <c r="X2311" s="6"/>
      <c r="Y2311" s="6"/>
      <c r="Z2311" s="6"/>
    </row>
    <row r="2312" spans="1:26" ht="16.8" x14ac:dyDescent="0.45">
      <c r="A2312" s="6"/>
      <c r="B2312" s="7"/>
      <c r="C2312" s="6"/>
      <c r="D2312" s="6"/>
      <c r="E2312" s="6"/>
      <c r="F2312" s="6"/>
      <c r="G2312" s="6"/>
      <c r="H2312" s="6"/>
      <c r="I2312" s="6"/>
      <c r="J2312" s="6"/>
      <c r="K2312" s="6"/>
      <c r="L2312" s="6"/>
      <c r="M2312" s="6"/>
      <c r="N2312" s="6"/>
      <c r="O2312" s="6"/>
      <c r="P2312" s="6"/>
      <c r="Q2312" s="6"/>
      <c r="R2312" s="6"/>
      <c r="S2312" s="6"/>
      <c r="T2312" s="6"/>
      <c r="U2312" s="6"/>
      <c r="V2312" s="6"/>
      <c r="W2312" s="6"/>
      <c r="X2312" s="6"/>
      <c r="Y2312" s="6"/>
      <c r="Z2312" s="6"/>
    </row>
    <row r="2313" spans="1:26" ht="16.8" x14ac:dyDescent="0.45">
      <c r="A2313" s="6"/>
      <c r="B2313" s="7"/>
      <c r="C2313" s="6"/>
      <c r="D2313" s="6"/>
      <c r="E2313" s="6"/>
      <c r="F2313" s="6"/>
      <c r="G2313" s="6"/>
      <c r="H2313" s="6"/>
      <c r="I2313" s="6"/>
      <c r="J2313" s="6"/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</row>
    <row r="2314" spans="1:26" ht="16.8" x14ac:dyDescent="0.45">
      <c r="A2314" s="6"/>
      <c r="B2314" s="7"/>
      <c r="C2314" s="6"/>
      <c r="D2314" s="6"/>
      <c r="E2314" s="6"/>
      <c r="F2314" s="6"/>
      <c r="G2314" s="6"/>
      <c r="H2314" s="6"/>
      <c r="I2314" s="6"/>
      <c r="J2314" s="6"/>
      <c r="K2314" s="6"/>
      <c r="L2314" s="6"/>
      <c r="M2314" s="6"/>
      <c r="N2314" s="6"/>
      <c r="O2314" s="6"/>
      <c r="P2314" s="6"/>
      <c r="Q2314" s="6"/>
      <c r="R2314" s="6"/>
      <c r="S2314" s="6"/>
      <c r="T2314" s="6"/>
      <c r="U2314" s="6"/>
      <c r="V2314" s="6"/>
      <c r="W2314" s="6"/>
      <c r="X2314" s="6"/>
      <c r="Y2314" s="6"/>
      <c r="Z2314" s="6"/>
    </row>
    <row r="2315" spans="1:26" ht="16.8" x14ac:dyDescent="0.45">
      <c r="A2315" s="6"/>
      <c r="B2315" s="7"/>
      <c r="C2315" s="6"/>
      <c r="D2315" s="6"/>
      <c r="E2315" s="6"/>
      <c r="F2315" s="6"/>
      <c r="G2315" s="6"/>
      <c r="H2315" s="6"/>
      <c r="I2315" s="6"/>
      <c r="J2315" s="6"/>
      <c r="K2315" s="6"/>
      <c r="L2315" s="6"/>
      <c r="M2315" s="6"/>
      <c r="N2315" s="6"/>
      <c r="O2315" s="6"/>
      <c r="P2315" s="6"/>
      <c r="Q2315" s="6"/>
      <c r="R2315" s="6"/>
      <c r="S2315" s="6"/>
      <c r="T2315" s="6"/>
      <c r="U2315" s="6"/>
      <c r="V2315" s="6"/>
      <c r="W2315" s="6"/>
      <c r="X2315" s="6"/>
      <c r="Y2315" s="6"/>
      <c r="Z2315" s="6"/>
    </row>
    <row r="2316" spans="1:26" ht="16.8" x14ac:dyDescent="0.45">
      <c r="A2316" s="6"/>
      <c r="B2316" s="7"/>
      <c r="C2316" s="6"/>
      <c r="D2316" s="6"/>
      <c r="E2316" s="6"/>
      <c r="F2316" s="6"/>
      <c r="G2316" s="6"/>
      <c r="H2316" s="6"/>
      <c r="I2316" s="6"/>
      <c r="J2316" s="6"/>
      <c r="K2316" s="6"/>
      <c r="L2316" s="6"/>
      <c r="M2316" s="6"/>
      <c r="N2316" s="6"/>
      <c r="O2316" s="6"/>
      <c r="P2316" s="6"/>
      <c r="Q2316" s="6"/>
      <c r="R2316" s="6"/>
      <c r="S2316" s="6"/>
      <c r="T2316" s="6"/>
      <c r="U2316" s="6"/>
      <c r="V2316" s="6"/>
      <c r="W2316" s="6"/>
      <c r="X2316" s="6"/>
      <c r="Y2316" s="6"/>
      <c r="Z2316" s="6"/>
    </row>
    <row r="2317" spans="1:26" ht="16.8" x14ac:dyDescent="0.45">
      <c r="A2317" s="6"/>
      <c r="B2317" s="7"/>
      <c r="C2317" s="6"/>
      <c r="D2317" s="6"/>
      <c r="E2317" s="6"/>
      <c r="F2317" s="6"/>
      <c r="G2317" s="6"/>
      <c r="H2317" s="6"/>
      <c r="I2317" s="6"/>
      <c r="J2317" s="6"/>
      <c r="K2317" s="6"/>
      <c r="L2317" s="6"/>
      <c r="M2317" s="6"/>
      <c r="N2317" s="6"/>
      <c r="O2317" s="6"/>
      <c r="P2317" s="6"/>
      <c r="Q2317" s="6"/>
      <c r="R2317" s="6"/>
      <c r="S2317" s="6"/>
      <c r="T2317" s="6"/>
      <c r="U2317" s="6"/>
      <c r="V2317" s="6"/>
      <c r="W2317" s="6"/>
      <c r="X2317" s="6"/>
      <c r="Y2317" s="6"/>
      <c r="Z2317" s="6"/>
    </row>
    <row r="2318" spans="1:26" ht="16.8" x14ac:dyDescent="0.45">
      <c r="A2318" s="6"/>
      <c r="B2318" s="7"/>
      <c r="C2318" s="6"/>
      <c r="D2318" s="6"/>
      <c r="E2318" s="6"/>
      <c r="F2318" s="6"/>
      <c r="G2318" s="6"/>
      <c r="H2318" s="6"/>
      <c r="I2318" s="6"/>
      <c r="J2318" s="6"/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</row>
    <row r="2319" spans="1:26" ht="16.8" x14ac:dyDescent="0.45">
      <c r="A2319" s="6"/>
      <c r="B2319" s="7"/>
      <c r="C2319" s="6"/>
      <c r="D2319" s="6"/>
      <c r="E2319" s="6"/>
      <c r="F2319" s="6"/>
      <c r="G2319" s="6"/>
      <c r="H2319" s="6"/>
      <c r="I2319" s="6"/>
      <c r="J2319" s="6"/>
      <c r="K2319" s="6"/>
      <c r="L2319" s="6"/>
      <c r="M2319" s="6"/>
      <c r="N2319" s="6"/>
      <c r="O2319" s="6"/>
      <c r="P2319" s="6"/>
      <c r="Q2319" s="6"/>
      <c r="R2319" s="6"/>
      <c r="S2319" s="6"/>
      <c r="T2319" s="6"/>
      <c r="U2319" s="6"/>
      <c r="V2319" s="6"/>
      <c r="W2319" s="6"/>
      <c r="X2319" s="6"/>
      <c r="Y2319" s="6"/>
      <c r="Z2319" s="6"/>
    </row>
    <row r="2320" spans="1:26" ht="16.8" x14ac:dyDescent="0.45">
      <c r="A2320" s="6"/>
      <c r="B2320" s="7"/>
      <c r="C2320" s="6"/>
      <c r="D2320" s="6"/>
      <c r="E2320" s="6"/>
      <c r="F2320" s="6"/>
      <c r="G2320" s="6"/>
      <c r="H2320" s="6"/>
      <c r="I2320" s="6"/>
      <c r="J2320" s="6"/>
      <c r="K2320" s="6"/>
      <c r="L2320" s="6"/>
      <c r="M2320" s="6"/>
      <c r="N2320" s="6"/>
      <c r="O2320" s="6"/>
      <c r="P2320" s="6"/>
      <c r="Q2320" s="6"/>
      <c r="R2320" s="6"/>
      <c r="S2320" s="6"/>
      <c r="T2320" s="6"/>
      <c r="U2320" s="6"/>
      <c r="V2320" s="6"/>
      <c r="W2320" s="6"/>
      <c r="X2320" s="6"/>
      <c r="Y2320" s="6"/>
      <c r="Z2320" s="6"/>
    </row>
    <row r="2321" spans="1:26" ht="16.8" x14ac:dyDescent="0.45">
      <c r="A2321" s="6"/>
      <c r="B2321" s="7"/>
      <c r="C2321" s="6"/>
      <c r="D2321" s="6"/>
      <c r="E2321" s="6"/>
      <c r="F2321" s="6"/>
      <c r="G2321" s="6"/>
      <c r="H2321" s="6"/>
      <c r="I2321" s="6"/>
      <c r="J2321" s="6"/>
      <c r="K2321" s="6"/>
      <c r="L2321" s="6"/>
      <c r="M2321" s="6"/>
      <c r="N2321" s="6"/>
      <c r="O2321" s="6"/>
      <c r="P2321" s="6"/>
      <c r="Q2321" s="6"/>
      <c r="R2321" s="6"/>
      <c r="S2321" s="6"/>
      <c r="T2321" s="6"/>
      <c r="U2321" s="6"/>
      <c r="V2321" s="6"/>
      <c r="W2321" s="6"/>
      <c r="X2321" s="6"/>
      <c r="Y2321" s="6"/>
      <c r="Z2321" s="6"/>
    </row>
    <row r="2322" spans="1:26" ht="16.8" x14ac:dyDescent="0.45">
      <c r="A2322" s="6"/>
      <c r="B2322" s="7"/>
      <c r="C2322" s="6"/>
      <c r="D2322" s="6"/>
      <c r="E2322" s="6"/>
      <c r="F2322" s="6"/>
      <c r="G2322" s="6"/>
      <c r="H2322" s="6"/>
      <c r="I2322" s="6"/>
      <c r="J2322" s="6"/>
      <c r="K2322" s="6"/>
      <c r="L2322" s="6"/>
      <c r="M2322" s="6"/>
      <c r="N2322" s="6"/>
      <c r="O2322" s="6"/>
      <c r="P2322" s="6"/>
      <c r="Q2322" s="6"/>
      <c r="R2322" s="6"/>
      <c r="S2322" s="6"/>
      <c r="T2322" s="6"/>
      <c r="U2322" s="6"/>
      <c r="V2322" s="6"/>
      <c r="W2322" s="6"/>
      <c r="X2322" s="6"/>
      <c r="Y2322" s="6"/>
      <c r="Z2322" s="6"/>
    </row>
    <row r="2323" spans="1:26" ht="16.8" x14ac:dyDescent="0.45">
      <c r="A2323" s="6"/>
      <c r="B2323" s="7"/>
      <c r="C2323" s="6"/>
      <c r="D2323" s="6"/>
      <c r="E2323" s="6"/>
      <c r="F2323" s="6"/>
      <c r="G2323" s="6"/>
      <c r="H2323" s="6"/>
      <c r="I2323" s="6"/>
      <c r="J2323" s="6"/>
      <c r="K2323" s="6"/>
      <c r="L2323" s="6"/>
      <c r="M2323" s="6"/>
      <c r="N2323" s="6"/>
      <c r="O2323" s="6"/>
      <c r="P2323" s="6"/>
      <c r="Q2323" s="6"/>
      <c r="R2323" s="6"/>
      <c r="S2323" s="6"/>
      <c r="T2323" s="6"/>
      <c r="U2323" s="6"/>
      <c r="V2323" s="6"/>
      <c r="W2323" s="6"/>
      <c r="X2323" s="6"/>
      <c r="Y2323" s="6"/>
      <c r="Z2323" s="6"/>
    </row>
    <row r="2324" spans="1:26" ht="16.8" x14ac:dyDescent="0.45">
      <c r="A2324" s="6"/>
      <c r="B2324" s="7"/>
      <c r="C2324" s="6"/>
      <c r="D2324" s="6"/>
      <c r="E2324" s="6"/>
      <c r="F2324" s="6"/>
      <c r="G2324" s="6"/>
      <c r="H2324" s="6"/>
      <c r="I2324" s="6"/>
      <c r="J2324" s="6"/>
      <c r="K2324" s="6"/>
      <c r="L2324" s="6"/>
      <c r="M2324" s="6"/>
      <c r="N2324" s="6"/>
      <c r="O2324" s="6"/>
      <c r="P2324" s="6"/>
      <c r="Q2324" s="6"/>
      <c r="R2324" s="6"/>
      <c r="S2324" s="6"/>
      <c r="T2324" s="6"/>
      <c r="U2324" s="6"/>
      <c r="V2324" s="6"/>
      <c r="W2324" s="6"/>
      <c r="X2324" s="6"/>
      <c r="Y2324" s="6"/>
      <c r="Z2324" s="6"/>
    </row>
    <row r="2325" spans="1:26" ht="16.8" x14ac:dyDescent="0.45">
      <c r="A2325" s="6"/>
      <c r="B2325" s="7"/>
      <c r="C2325" s="6"/>
      <c r="D2325" s="6"/>
      <c r="E2325" s="6"/>
      <c r="F2325" s="6"/>
      <c r="G2325" s="6"/>
      <c r="H2325" s="6"/>
      <c r="I2325" s="6"/>
      <c r="J2325" s="6"/>
      <c r="K2325" s="6"/>
      <c r="L2325" s="6"/>
      <c r="M2325" s="6"/>
      <c r="N2325" s="6"/>
      <c r="O2325" s="6"/>
      <c r="P2325" s="6"/>
      <c r="Q2325" s="6"/>
      <c r="R2325" s="6"/>
      <c r="S2325" s="6"/>
      <c r="T2325" s="6"/>
      <c r="U2325" s="6"/>
      <c r="V2325" s="6"/>
      <c r="W2325" s="6"/>
      <c r="X2325" s="6"/>
      <c r="Y2325" s="6"/>
      <c r="Z2325" s="6"/>
    </row>
    <row r="2326" spans="1:26" ht="16.8" x14ac:dyDescent="0.45">
      <c r="A2326" s="6"/>
      <c r="B2326" s="7"/>
      <c r="C2326" s="6"/>
      <c r="D2326" s="6"/>
      <c r="E2326" s="6"/>
      <c r="F2326" s="6"/>
      <c r="G2326" s="6"/>
      <c r="H2326" s="6"/>
      <c r="I2326" s="6"/>
      <c r="J2326" s="6"/>
      <c r="K2326" s="6"/>
      <c r="L2326" s="6"/>
      <c r="M2326" s="6"/>
      <c r="N2326" s="6"/>
      <c r="O2326" s="6"/>
      <c r="P2326" s="6"/>
      <c r="Q2326" s="6"/>
      <c r="R2326" s="6"/>
      <c r="S2326" s="6"/>
      <c r="T2326" s="6"/>
      <c r="U2326" s="6"/>
      <c r="V2326" s="6"/>
      <c r="W2326" s="6"/>
      <c r="X2326" s="6"/>
      <c r="Y2326" s="6"/>
      <c r="Z2326" s="6"/>
    </row>
    <row r="2327" spans="1:26" ht="16.8" x14ac:dyDescent="0.45">
      <c r="A2327" s="6"/>
      <c r="B2327" s="7"/>
      <c r="C2327" s="6"/>
      <c r="D2327" s="6"/>
      <c r="E2327" s="6"/>
      <c r="F2327" s="6"/>
      <c r="G2327" s="6"/>
      <c r="H2327" s="6"/>
      <c r="I2327" s="6"/>
      <c r="J2327" s="6"/>
      <c r="K2327" s="6"/>
      <c r="L2327" s="6"/>
      <c r="M2327" s="6"/>
      <c r="N2327" s="6"/>
      <c r="O2327" s="6"/>
      <c r="P2327" s="6"/>
      <c r="Q2327" s="6"/>
      <c r="R2327" s="6"/>
      <c r="S2327" s="6"/>
      <c r="T2327" s="6"/>
      <c r="U2327" s="6"/>
      <c r="V2327" s="6"/>
      <c r="W2327" s="6"/>
      <c r="X2327" s="6"/>
      <c r="Y2327" s="6"/>
      <c r="Z2327" s="6"/>
    </row>
    <row r="2328" spans="1:26" ht="16.8" x14ac:dyDescent="0.45">
      <c r="A2328" s="6"/>
      <c r="B2328" s="7"/>
      <c r="C2328" s="6"/>
      <c r="D2328" s="6"/>
      <c r="E2328" s="6"/>
      <c r="F2328" s="6"/>
      <c r="G2328" s="6"/>
      <c r="H2328" s="6"/>
      <c r="I2328" s="6"/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</row>
    <row r="2329" spans="1:26" ht="16.8" x14ac:dyDescent="0.45">
      <c r="A2329" s="6"/>
      <c r="B2329" s="7"/>
      <c r="C2329" s="6"/>
      <c r="D2329" s="6"/>
      <c r="E2329" s="6"/>
      <c r="F2329" s="6"/>
      <c r="G2329" s="6"/>
      <c r="H2329" s="6"/>
      <c r="I2329" s="6"/>
      <c r="J2329" s="6"/>
      <c r="K2329" s="6"/>
      <c r="L2329" s="6"/>
      <c r="M2329" s="6"/>
      <c r="N2329" s="6"/>
      <c r="O2329" s="6"/>
      <c r="P2329" s="6"/>
      <c r="Q2329" s="6"/>
      <c r="R2329" s="6"/>
      <c r="S2329" s="6"/>
      <c r="T2329" s="6"/>
      <c r="U2329" s="6"/>
      <c r="V2329" s="6"/>
      <c r="W2329" s="6"/>
      <c r="X2329" s="6"/>
      <c r="Y2329" s="6"/>
      <c r="Z2329" s="6"/>
    </row>
    <row r="2330" spans="1:26" ht="16.8" x14ac:dyDescent="0.45">
      <c r="A2330" s="6"/>
      <c r="B2330" s="7"/>
      <c r="C2330" s="6"/>
      <c r="D2330" s="6"/>
      <c r="E2330" s="6"/>
      <c r="F2330" s="6"/>
      <c r="G2330" s="6"/>
      <c r="H2330" s="6"/>
      <c r="I2330" s="6"/>
      <c r="J2330" s="6"/>
      <c r="K2330" s="6"/>
      <c r="L2330" s="6"/>
      <c r="M2330" s="6"/>
      <c r="N2330" s="6"/>
      <c r="O2330" s="6"/>
      <c r="P2330" s="6"/>
      <c r="Q2330" s="6"/>
      <c r="R2330" s="6"/>
      <c r="S2330" s="6"/>
      <c r="T2330" s="6"/>
      <c r="U2330" s="6"/>
      <c r="V2330" s="6"/>
      <c r="W2330" s="6"/>
      <c r="X2330" s="6"/>
      <c r="Y2330" s="6"/>
      <c r="Z2330" s="6"/>
    </row>
    <row r="2331" spans="1:26" ht="16.8" x14ac:dyDescent="0.45">
      <c r="A2331" s="6"/>
      <c r="B2331" s="7"/>
      <c r="C2331" s="6"/>
      <c r="D2331" s="6"/>
      <c r="E2331" s="6"/>
      <c r="F2331" s="6"/>
      <c r="G2331" s="6"/>
      <c r="H2331" s="6"/>
      <c r="I2331" s="6"/>
      <c r="J2331" s="6"/>
      <c r="K2331" s="6"/>
      <c r="L2331" s="6"/>
      <c r="M2331" s="6"/>
      <c r="N2331" s="6"/>
      <c r="O2331" s="6"/>
      <c r="P2331" s="6"/>
      <c r="Q2331" s="6"/>
      <c r="R2331" s="6"/>
      <c r="S2331" s="6"/>
      <c r="T2331" s="6"/>
      <c r="U2331" s="6"/>
      <c r="V2331" s="6"/>
      <c r="W2331" s="6"/>
      <c r="X2331" s="6"/>
      <c r="Y2331" s="6"/>
      <c r="Z2331" s="6"/>
    </row>
    <row r="2332" spans="1:26" ht="16.8" x14ac:dyDescent="0.45">
      <c r="A2332" s="6"/>
      <c r="B2332" s="7"/>
      <c r="C2332" s="6"/>
      <c r="D2332" s="6"/>
      <c r="E2332" s="6"/>
      <c r="F2332" s="6"/>
      <c r="G2332" s="6"/>
      <c r="H2332" s="6"/>
      <c r="I2332" s="6"/>
      <c r="J2332" s="6"/>
      <c r="K2332" s="6"/>
      <c r="L2332" s="6"/>
      <c r="M2332" s="6"/>
      <c r="N2332" s="6"/>
      <c r="O2332" s="6"/>
      <c r="P2332" s="6"/>
      <c r="Q2332" s="6"/>
      <c r="R2332" s="6"/>
      <c r="S2332" s="6"/>
      <c r="T2332" s="6"/>
      <c r="U2332" s="6"/>
      <c r="V2332" s="6"/>
      <c r="W2332" s="6"/>
      <c r="X2332" s="6"/>
      <c r="Y2332" s="6"/>
      <c r="Z2332" s="6"/>
    </row>
    <row r="2333" spans="1:26" ht="16.8" x14ac:dyDescent="0.45">
      <c r="A2333" s="6"/>
      <c r="B2333" s="7"/>
      <c r="C2333" s="6"/>
      <c r="D2333" s="6"/>
      <c r="E2333" s="6"/>
      <c r="F2333" s="6"/>
      <c r="G2333" s="6"/>
      <c r="H2333" s="6"/>
      <c r="I2333" s="6"/>
      <c r="J2333" s="6"/>
      <c r="K2333" s="6"/>
      <c r="L2333" s="6"/>
      <c r="M2333" s="6"/>
      <c r="N2333" s="6"/>
      <c r="O2333" s="6"/>
      <c r="P2333" s="6"/>
      <c r="Q2333" s="6"/>
      <c r="R2333" s="6"/>
      <c r="S2333" s="6"/>
      <c r="T2333" s="6"/>
      <c r="U2333" s="6"/>
      <c r="V2333" s="6"/>
      <c r="W2333" s="6"/>
      <c r="X2333" s="6"/>
      <c r="Y2333" s="6"/>
      <c r="Z2333" s="6"/>
    </row>
    <row r="2334" spans="1:26" ht="16.8" x14ac:dyDescent="0.45">
      <c r="A2334" s="6"/>
      <c r="B2334" s="7"/>
      <c r="C2334" s="6"/>
      <c r="D2334" s="6"/>
      <c r="E2334" s="6"/>
      <c r="F2334" s="6"/>
      <c r="G2334" s="6"/>
      <c r="H2334" s="6"/>
      <c r="I2334" s="6"/>
      <c r="J2334" s="6"/>
      <c r="K2334" s="6"/>
      <c r="L2334" s="6"/>
      <c r="M2334" s="6"/>
      <c r="N2334" s="6"/>
      <c r="O2334" s="6"/>
      <c r="P2334" s="6"/>
      <c r="Q2334" s="6"/>
      <c r="R2334" s="6"/>
      <c r="S2334" s="6"/>
      <c r="T2334" s="6"/>
      <c r="U2334" s="6"/>
      <c r="V2334" s="6"/>
      <c r="W2334" s="6"/>
      <c r="X2334" s="6"/>
      <c r="Y2334" s="6"/>
      <c r="Z2334" s="6"/>
    </row>
    <row r="2335" spans="1:26" ht="16.8" x14ac:dyDescent="0.45">
      <c r="A2335" s="6"/>
      <c r="B2335" s="7"/>
      <c r="C2335" s="6"/>
      <c r="D2335" s="6"/>
      <c r="E2335" s="6"/>
      <c r="F2335" s="6"/>
      <c r="G2335" s="6"/>
      <c r="H2335" s="6"/>
      <c r="I2335" s="6"/>
      <c r="J2335" s="6"/>
      <c r="K2335" s="6"/>
      <c r="L2335" s="6"/>
      <c r="M2335" s="6"/>
      <c r="N2335" s="6"/>
      <c r="O2335" s="6"/>
      <c r="P2335" s="6"/>
      <c r="Q2335" s="6"/>
      <c r="R2335" s="6"/>
      <c r="S2335" s="6"/>
      <c r="T2335" s="6"/>
      <c r="U2335" s="6"/>
      <c r="V2335" s="6"/>
      <c r="W2335" s="6"/>
      <c r="X2335" s="6"/>
      <c r="Y2335" s="6"/>
      <c r="Z2335" s="6"/>
    </row>
    <row r="2336" spans="1:26" ht="16.8" x14ac:dyDescent="0.45">
      <c r="A2336" s="6"/>
      <c r="B2336" s="7"/>
      <c r="C2336" s="6"/>
      <c r="D2336" s="6"/>
      <c r="E2336" s="6"/>
      <c r="F2336" s="6"/>
      <c r="G2336" s="6"/>
      <c r="H2336" s="6"/>
      <c r="I2336" s="6"/>
      <c r="J2336" s="6"/>
      <c r="K2336" s="6"/>
      <c r="L2336" s="6"/>
      <c r="M2336" s="6"/>
      <c r="N2336" s="6"/>
      <c r="O2336" s="6"/>
      <c r="P2336" s="6"/>
      <c r="Q2336" s="6"/>
      <c r="R2336" s="6"/>
      <c r="S2336" s="6"/>
      <c r="T2336" s="6"/>
      <c r="U2336" s="6"/>
      <c r="V2336" s="6"/>
      <c r="W2336" s="6"/>
      <c r="X2336" s="6"/>
      <c r="Y2336" s="6"/>
      <c r="Z2336" s="6"/>
    </row>
    <row r="2337" spans="1:26" ht="16.8" x14ac:dyDescent="0.45">
      <c r="A2337" s="6"/>
      <c r="B2337" s="7"/>
      <c r="C2337" s="6"/>
      <c r="D2337" s="6"/>
      <c r="E2337" s="6"/>
      <c r="F2337" s="6"/>
      <c r="G2337" s="6"/>
      <c r="H2337" s="6"/>
      <c r="I2337" s="6"/>
      <c r="J2337" s="6"/>
      <c r="K2337" s="6"/>
      <c r="L2337" s="6"/>
      <c r="M2337" s="6"/>
      <c r="N2337" s="6"/>
      <c r="O2337" s="6"/>
      <c r="P2337" s="6"/>
      <c r="Q2337" s="6"/>
      <c r="R2337" s="6"/>
      <c r="S2337" s="6"/>
      <c r="T2337" s="6"/>
      <c r="U2337" s="6"/>
      <c r="V2337" s="6"/>
      <c r="W2337" s="6"/>
      <c r="X2337" s="6"/>
      <c r="Y2337" s="6"/>
      <c r="Z2337" s="6"/>
    </row>
    <row r="2338" spans="1:26" ht="16.8" x14ac:dyDescent="0.45">
      <c r="A2338" s="6"/>
      <c r="B2338" s="7"/>
      <c r="C2338" s="6"/>
      <c r="D2338" s="6"/>
      <c r="E2338" s="6"/>
      <c r="F2338" s="6"/>
      <c r="G2338" s="6"/>
      <c r="H2338" s="6"/>
      <c r="I2338" s="6"/>
      <c r="J2338" s="6"/>
      <c r="K2338" s="6"/>
      <c r="L2338" s="6"/>
      <c r="M2338" s="6"/>
      <c r="N2338" s="6"/>
      <c r="O2338" s="6"/>
      <c r="P2338" s="6"/>
      <c r="Q2338" s="6"/>
      <c r="R2338" s="6"/>
      <c r="S2338" s="6"/>
      <c r="T2338" s="6"/>
      <c r="U2338" s="6"/>
      <c r="V2338" s="6"/>
      <c r="W2338" s="6"/>
      <c r="X2338" s="6"/>
      <c r="Y2338" s="6"/>
      <c r="Z2338" s="6"/>
    </row>
    <row r="2339" spans="1:26" ht="16.8" x14ac:dyDescent="0.45">
      <c r="A2339" s="6"/>
      <c r="B2339" s="7"/>
      <c r="C2339" s="6"/>
      <c r="D2339" s="6"/>
      <c r="E2339" s="6"/>
      <c r="F2339" s="6"/>
      <c r="G2339" s="6"/>
      <c r="H2339" s="6"/>
      <c r="I2339" s="6"/>
      <c r="J2339" s="6"/>
      <c r="K2339" s="6"/>
      <c r="L2339" s="6"/>
      <c r="M2339" s="6"/>
      <c r="N2339" s="6"/>
      <c r="O2339" s="6"/>
      <c r="P2339" s="6"/>
      <c r="Q2339" s="6"/>
      <c r="R2339" s="6"/>
      <c r="S2339" s="6"/>
      <c r="T2339" s="6"/>
      <c r="U2339" s="6"/>
      <c r="V2339" s="6"/>
      <c r="W2339" s="6"/>
      <c r="X2339" s="6"/>
      <c r="Y2339" s="6"/>
      <c r="Z2339" s="6"/>
    </row>
    <row r="2340" spans="1:26" ht="16.8" x14ac:dyDescent="0.45">
      <c r="A2340" s="6"/>
      <c r="B2340" s="7"/>
      <c r="C2340" s="6"/>
      <c r="D2340" s="6"/>
      <c r="E2340" s="6"/>
      <c r="F2340" s="6"/>
      <c r="G2340" s="6"/>
      <c r="H2340" s="6"/>
      <c r="I2340" s="6"/>
      <c r="J2340" s="6"/>
      <c r="K2340" s="6"/>
      <c r="L2340" s="6"/>
      <c r="M2340" s="6"/>
      <c r="N2340" s="6"/>
      <c r="O2340" s="6"/>
      <c r="P2340" s="6"/>
      <c r="Q2340" s="6"/>
      <c r="R2340" s="6"/>
      <c r="S2340" s="6"/>
      <c r="T2340" s="6"/>
      <c r="U2340" s="6"/>
      <c r="V2340" s="6"/>
      <c r="W2340" s="6"/>
      <c r="X2340" s="6"/>
      <c r="Y2340" s="6"/>
      <c r="Z2340" s="6"/>
    </row>
    <row r="2341" spans="1:26" ht="16.8" x14ac:dyDescent="0.45">
      <c r="A2341" s="6"/>
      <c r="B2341" s="7"/>
      <c r="C2341" s="6"/>
      <c r="D2341" s="6"/>
      <c r="E2341" s="6"/>
      <c r="F2341" s="6"/>
      <c r="G2341" s="6"/>
      <c r="H2341" s="6"/>
      <c r="I2341" s="6"/>
      <c r="J2341" s="6"/>
      <c r="K2341" s="6"/>
      <c r="L2341" s="6"/>
      <c r="M2341" s="6"/>
      <c r="N2341" s="6"/>
      <c r="O2341" s="6"/>
      <c r="P2341" s="6"/>
      <c r="Q2341" s="6"/>
      <c r="R2341" s="6"/>
      <c r="S2341" s="6"/>
      <c r="T2341" s="6"/>
      <c r="U2341" s="6"/>
      <c r="V2341" s="6"/>
      <c r="W2341" s="6"/>
      <c r="X2341" s="6"/>
      <c r="Y2341" s="6"/>
      <c r="Z2341" s="6"/>
    </row>
    <row r="2342" spans="1:26" ht="16.8" x14ac:dyDescent="0.45">
      <c r="A2342" s="6"/>
      <c r="B2342" s="7"/>
      <c r="C2342" s="6"/>
      <c r="D2342" s="6"/>
      <c r="E2342" s="6"/>
      <c r="F2342" s="6"/>
      <c r="G2342" s="6"/>
      <c r="H2342" s="6"/>
      <c r="I2342" s="6"/>
      <c r="J2342" s="6"/>
      <c r="K2342" s="6"/>
      <c r="L2342" s="6"/>
      <c r="M2342" s="6"/>
      <c r="N2342" s="6"/>
      <c r="O2342" s="6"/>
      <c r="P2342" s="6"/>
      <c r="Q2342" s="6"/>
      <c r="R2342" s="6"/>
      <c r="S2342" s="6"/>
      <c r="T2342" s="6"/>
      <c r="U2342" s="6"/>
      <c r="V2342" s="6"/>
      <c r="W2342" s="6"/>
      <c r="X2342" s="6"/>
      <c r="Y2342" s="6"/>
      <c r="Z2342" s="6"/>
    </row>
    <row r="2343" spans="1:26" ht="16.8" x14ac:dyDescent="0.45">
      <c r="A2343" s="6"/>
      <c r="B2343" s="7"/>
      <c r="C2343" s="6"/>
      <c r="D2343" s="6"/>
      <c r="E2343" s="6"/>
      <c r="F2343" s="6"/>
      <c r="G2343" s="6"/>
      <c r="H2343" s="6"/>
      <c r="I2343" s="6"/>
      <c r="J2343" s="6"/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</row>
    <row r="2344" spans="1:26" ht="16.8" x14ac:dyDescent="0.45">
      <c r="A2344" s="6"/>
      <c r="B2344" s="7"/>
      <c r="C2344" s="6"/>
      <c r="D2344" s="6"/>
      <c r="E2344" s="6"/>
      <c r="F2344" s="6"/>
      <c r="G2344" s="6"/>
      <c r="H2344" s="6"/>
      <c r="I2344" s="6"/>
      <c r="J2344" s="6"/>
      <c r="K2344" s="6"/>
      <c r="L2344" s="6"/>
      <c r="M2344" s="6"/>
      <c r="N2344" s="6"/>
      <c r="O2344" s="6"/>
      <c r="P2344" s="6"/>
      <c r="Q2344" s="6"/>
      <c r="R2344" s="6"/>
      <c r="S2344" s="6"/>
      <c r="T2344" s="6"/>
      <c r="U2344" s="6"/>
      <c r="V2344" s="6"/>
      <c r="W2344" s="6"/>
      <c r="X2344" s="6"/>
      <c r="Y2344" s="6"/>
      <c r="Z2344" s="6"/>
    </row>
    <row r="2345" spans="1:26" ht="16.8" x14ac:dyDescent="0.45">
      <c r="A2345" s="6"/>
      <c r="B2345" s="7"/>
      <c r="C2345" s="6"/>
      <c r="D2345" s="6"/>
      <c r="E2345" s="6"/>
      <c r="F2345" s="6"/>
      <c r="G2345" s="6"/>
      <c r="H2345" s="6"/>
      <c r="I2345" s="6"/>
      <c r="J2345" s="6"/>
      <c r="K2345" s="6"/>
      <c r="L2345" s="6"/>
      <c r="M2345" s="6"/>
      <c r="N2345" s="6"/>
      <c r="O2345" s="6"/>
      <c r="P2345" s="6"/>
      <c r="Q2345" s="6"/>
      <c r="R2345" s="6"/>
      <c r="S2345" s="6"/>
      <c r="T2345" s="6"/>
      <c r="U2345" s="6"/>
      <c r="V2345" s="6"/>
      <c r="W2345" s="6"/>
      <c r="X2345" s="6"/>
      <c r="Y2345" s="6"/>
      <c r="Z2345" s="6"/>
    </row>
    <row r="2346" spans="1:26" ht="16.8" x14ac:dyDescent="0.45">
      <c r="A2346" s="6"/>
      <c r="B2346" s="7"/>
      <c r="C2346" s="6"/>
      <c r="D2346" s="6"/>
      <c r="E2346" s="6"/>
      <c r="F2346" s="6"/>
      <c r="G2346" s="6"/>
      <c r="H2346" s="6"/>
      <c r="I2346" s="6"/>
      <c r="J2346" s="6"/>
      <c r="K2346" s="6"/>
      <c r="L2346" s="6"/>
      <c r="M2346" s="6"/>
      <c r="N2346" s="6"/>
      <c r="O2346" s="6"/>
      <c r="P2346" s="6"/>
      <c r="Q2346" s="6"/>
      <c r="R2346" s="6"/>
      <c r="S2346" s="6"/>
      <c r="T2346" s="6"/>
      <c r="U2346" s="6"/>
      <c r="V2346" s="6"/>
      <c r="W2346" s="6"/>
      <c r="X2346" s="6"/>
      <c r="Y2346" s="6"/>
      <c r="Z2346" s="6"/>
    </row>
    <row r="2347" spans="1:26" ht="16.8" x14ac:dyDescent="0.45">
      <c r="A2347" s="6"/>
      <c r="B2347" s="7"/>
      <c r="C2347" s="6"/>
      <c r="D2347" s="6"/>
      <c r="E2347" s="6"/>
      <c r="F2347" s="6"/>
      <c r="G2347" s="6"/>
      <c r="H2347" s="6"/>
      <c r="I2347" s="6"/>
      <c r="J2347" s="6"/>
      <c r="K2347" s="6"/>
      <c r="L2347" s="6"/>
      <c r="M2347" s="6"/>
      <c r="N2347" s="6"/>
      <c r="O2347" s="6"/>
      <c r="P2347" s="6"/>
      <c r="Q2347" s="6"/>
      <c r="R2347" s="6"/>
      <c r="S2347" s="6"/>
      <c r="T2347" s="6"/>
      <c r="U2347" s="6"/>
      <c r="V2347" s="6"/>
      <c r="W2347" s="6"/>
      <c r="X2347" s="6"/>
      <c r="Y2347" s="6"/>
      <c r="Z2347" s="6"/>
    </row>
    <row r="2348" spans="1:26" ht="16.8" x14ac:dyDescent="0.45">
      <c r="A2348" s="6"/>
      <c r="B2348" s="7"/>
      <c r="C2348" s="6"/>
      <c r="D2348" s="6"/>
      <c r="E2348" s="6"/>
      <c r="F2348" s="6"/>
      <c r="G2348" s="6"/>
      <c r="H2348" s="6"/>
      <c r="I2348" s="6"/>
      <c r="J2348" s="6"/>
      <c r="K2348" s="6"/>
      <c r="L2348" s="6"/>
      <c r="M2348" s="6"/>
      <c r="N2348" s="6"/>
      <c r="O2348" s="6"/>
      <c r="P2348" s="6"/>
      <c r="Q2348" s="6"/>
      <c r="R2348" s="6"/>
      <c r="S2348" s="6"/>
      <c r="T2348" s="6"/>
      <c r="U2348" s="6"/>
      <c r="V2348" s="6"/>
      <c r="W2348" s="6"/>
      <c r="X2348" s="6"/>
      <c r="Y2348" s="6"/>
      <c r="Z2348" s="6"/>
    </row>
    <row r="2349" spans="1:26" ht="16.8" x14ac:dyDescent="0.45">
      <c r="A2349" s="6"/>
      <c r="B2349" s="7"/>
      <c r="C2349" s="6"/>
      <c r="D2349" s="6"/>
      <c r="E2349" s="6"/>
      <c r="F2349" s="6"/>
      <c r="G2349" s="6"/>
      <c r="H2349" s="6"/>
      <c r="I2349" s="6"/>
      <c r="J2349" s="6"/>
      <c r="K2349" s="6"/>
      <c r="L2349" s="6"/>
      <c r="M2349" s="6"/>
      <c r="N2349" s="6"/>
      <c r="O2349" s="6"/>
      <c r="P2349" s="6"/>
      <c r="Q2349" s="6"/>
      <c r="R2349" s="6"/>
      <c r="S2349" s="6"/>
      <c r="T2349" s="6"/>
      <c r="U2349" s="6"/>
      <c r="V2349" s="6"/>
      <c r="W2349" s="6"/>
      <c r="X2349" s="6"/>
      <c r="Y2349" s="6"/>
      <c r="Z2349" s="6"/>
    </row>
    <row r="2350" spans="1:26" ht="16.8" x14ac:dyDescent="0.45">
      <c r="A2350" s="6"/>
      <c r="B2350" s="7"/>
      <c r="C2350" s="6"/>
      <c r="D2350" s="6"/>
      <c r="E2350" s="6"/>
      <c r="F2350" s="6"/>
      <c r="G2350" s="6"/>
      <c r="H2350" s="6"/>
      <c r="I2350" s="6"/>
      <c r="J2350" s="6"/>
      <c r="K2350" s="6"/>
      <c r="L2350" s="6"/>
      <c r="M2350" s="6"/>
      <c r="N2350" s="6"/>
      <c r="O2350" s="6"/>
      <c r="P2350" s="6"/>
      <c r="Q2350" s="6"/>
      <c r="R2350" s="6"/>
      <c r="S2350" s="6"/>
      <c r="T2350" s="6"/>
      <c r="U2350" s="6"/>
      <c r="V2350" s="6"/>
      <c r="W2350" s="6"/>
      <c r="X2350" s="6"/>
      <c r="Y2350" s="6"/>
      <c r="Z2350" s="6"/>
    </row>
    <row r="2351" spans="1:26" ht="16.8" x14ac:dyDescent="0.45">
      <c r="A2351" s="6"/>
      <c r="B2351" s="7"/>
      <c r="C2351" s="6"/>
      <c r="D2351" s="6"/>
      <c r="E2351" s="6"/>
      <c r="F2351" s="6"/>
      <c r="G2351" s="6"/>
      <c r="H2351" s="6"/>
      <c r="I2351" s="6"/>
      <c r="J2351" s="6"/>
      <c r="K2351" s="6"/>
      <c r="L2351" s="6"/>
      <c r="M2351" s="6"/>
      <c r="N2351" s="6"/>
      <c r="O2351" s="6"/>
      <c r="P2351" s="6"/>
      <c r="Q2351" s="6"/>
      <c r="R2351" s="6"/>
      <c r="S2351" s="6"/>
      <c r="T2351" s="6"/>
      <c r="U2351" s="6"/>
      <c r="V2351" s="6"/>
      <c r="W2351" s="6"/>
      <c r="X2351" s="6"/>
      <c r="Y2351" s="6"/>
      <c r="Z2351" s="6"/>
    </row>
    <row r="2352" spans="1:26" ht="16.8" x14ac:dyDescent="0.45">
      <c r="A2352" s="6"/>
      <c r="B2352" s="7"/>
      <c r="C2352" s="6"/>
      <c r="D2352" s="6"/>
      <c r="E2352" s="6"/>
      <c r="F2352" s="6"/>
      <c r="G2352" s="6"/>
      <c r="H2352" s="6"/>
      <c r="I2352" s="6"/>
      <c r="J2352" s="6"/>
      <c r="K2352" s="6"/>
      <c r="L2352" s="6"/>
      <c r="M2352" s="6"/>
      <c r="N2352" s="6"/>
      <c r="O2352" s="6"/>
      <c r="P2352" s="6"/>
      <c r="Q2352" s="6"/>
      <c r="R2352" s="6"/>
      <c r="S2352" s="6"/>
      <c r="T2352" s="6"/>
      <c r="U2352" s="6"/>
      <c r="V2352" s="6"/>
      <c r="W2352" s="6"/>
      <c r="X2352" s="6"/>
      <c r="Y2352" s="6"/>
      <c r="Z2352" s="6"/>
    </row>
    <row r="2353" spans="1:26" ht="16.8" x14ac:dyDescent="0.45">
      <c r="A2353" s="6"/>
      <c r="B2353" s="7"/>
      <c r="C2353" s="6"/>
      <c r="D2353" s="6"/>
      <c r="E2353" s="6"/>
      <c r="F2353" s="6"/>
      <c r="G2353" s="6"/>
      <c r="H2353" s="6"/>
      <c r="I2353" s="6"/>
      <c r="J2353" s="6"/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</row>
    <row r="2354" spans="1:26" ht="16.8" x14ac:dyDescent="0.45">
      <c r="A2354" s="6"/>
      <c r="B2354" s="7"/>
      <c r="C2354" s="6"/>
      <c r="D2354" s="6"/>
      <c r="E2354" s="6"/>
      <c r="F2354" s="6"/>
      <c r="G2354" s="6"/>
      <c r="H2354" s="6"/>
      <c r="I2354" s="6"/>
      <c r="J2354" s="6"/>
      <c r="K2354" s="6"/>
      <c r="L2354" s="6"/>
      <c r="M2354" s="6"/>
      <c r="N2354" s="6"/>
      <c r="O2354" s="6"/>
      <c r="P2354" s="6"/>
      <c r="Q2354" s="6"/>
      <c r="R2354" s="6"/>
      <c r="S2354" s="6"/>
      <c r="T2354" s="6"/>
      <c r="U2354" s="6"/>
      <c r="V2354" s="6"/>
      <c r="W2354" s="6"/>
      <c r="X2354" s="6"/>
      <c r="Y2354" s="6"/>
      <c r="Z2354" s="6"/>
    </row>
    <row r="2355" spans="1:26" ht="16.8" x14ac:dyDescent="0.45">
      <c r="A2355" s="6"/>
      <c r="B2355" s="7"/>
      <c r="C2355" s="6"/>
      <c r="D2355" s="6"/>
      <c r="E2355" s="6"/>
      <c r="F2355" s="6"/>
      <c r="G2355" s="6"/>
      <c r="H2355" s="6"/>
      <c r="I2355" s="6"/>
      <c r="J2355" s="6"/>
      <c r="K2355" s="6"/>
      <c r="L2355" s="6"/>
      <c r="M2355" s="6"/>
      <c r="N2355" s="6"/>
      <c r="O2355" s="6"/>
      <c r="P2355" s="6"/>
      <c r="Q2355" s="6"/>
      <c r="R2355" s="6"/>
      <c r="S2355" s="6"/>
      <c r="T2355" s="6"/>
      <c r="U2355" s="6"/>
      <c r="V2355" s="6"/>
      <c r="W2355" s="6"/>
      <c r="X2355" s="6"/>
      <c r="Y2355" s="6"/>
      <c r="Z2355" s="6"/>
    </row>
    <row r="2356" spans="1:26" ht="16.8" x14ac:dyDescent="0.45">
      <c r="A2356" s="6"/>
      <c r="B2356" s="7"/>
      <c r="C2356" s="6"/>
      <c r="D2356" s="6"/>
      <c r="E2356" s="6"/>
      <c r="F2356" s="6"/>
      <c r="G2356" s="6"/>
      <c r="H2356" s="6"/>
      <c r="I2356" s="6"/>
      <c r="J2356" s="6"/>
      <c r="K2356" s="6"/>
      <c r="L2356" s="6"/>
      <c r="M2356" s="6"/>
      <c r="N2356" s="6"/>
      <c r="O2356" s="6"/>
      <c r="P2356" s="6"/>
      <c r="Q2356" s="6"/>
      <c r="R2356" s="6"/>
      <c r="S2356" s="6"/>
      <c r="T2356" s="6"/>
      <c r="U2356" s="6"/>
      <c r="V2356" s="6"/>
      <c r="W2356" s="6"/>
      <c r="X2356" s="6"/>
      <c r="Y2356" s="6"/>
      <c r="Z2356" s="6"/>
    </row>
    <row r="2357" spans="1:26" ht="16.8" x14ac:dyDescent="0.45">
      <c r="A2357" s="6"/>
      <c r="B2357" s="7"/>
      <c r="C2357" s="6"/>
      <c r="D2357" s="6"/>
      <c r="E2357" s="6"/>
      <c r="F2357" s="6"/>
      <c r="G2357" s="6"/>
      <c r="H2357" s="6"/>
      <c r="I2357" s="6"/>
      <c r="J2357" s="6"/>
      <c r="K2357" s="6"/>
      <c r="L2357" s="6"/>
      <c r="M2357" s="6"/>
      <c r="N2357" s="6"/>
      <c r="O2357" s="6"/>
      <c r="P2357" s="6"/>
      <c r="Q2357" s="6"/>
      <c r="R2357" s="6"/>
      <c r="S2357" s="6"/>
      <c r="T2357" s="6"/>
      <c r="U2357" s="6"/>
      <c r="V2357" s="6"/>
      <c r="W2357" s="6"/>
      <c r="X2357" s="6"/>
      <c r="Y2357" s="6"/>
      <c r="Z2357" s="6"/>
    </row>
    <row r="2358" spans="1:26" ht="16.8" x14ac:dyDescent="0.45">
      <c r="A2358" s="6"/>
      <c r="B2358" s="7"/>
      <c r="C2358" s="6"/>
      <c r="D2358" s="6"/>
      <c r="E2358" s="6"/>
      <c r="F2358" s="6"/>
      <c r="G2358" s="6"/>
      <c r="H2358" s="6"/>
      <c r="I2358" s="6"/>
      <c r="J2358" s="6"/>
      <c r="K2358" s="6"/>
      <c r="L2358" s="6"/>
      <c r="M2358" s="6"/>
      <c r="N2358" s="6"/>
      <c r="O2358" s="6"/>
      <c r="P2358" s="6"/>
      <c r="Q2358" s="6"/>
      <c r="R2358" s="6"/>
      <c r="S2358" s="6"/>
      <c r="T2358" s="6"/>
      <c r="U2358" s="6"/>
      <c r="V2358" s="6"/>
      <c r="W2358" s="6"/>
      <c r="X2358" s="6"/>
      <c r="Y2358" s="6"/>
      <c r="Z2358" s="6"/>
    </row>
    <row r="2359" spans="1:26" ht="16.8" x14ac:dyDescent="0.45">
      <c r="A2359" s="6"/>
      <c r="B2359" s="7"/>
      <c r="C2359" s="6"/>
      <c r="D2359" s="6"/>
      <c r="E2359" s="6"/>
      <c r="F2359" s="6"/>
      <c r="G2359" s="6"/>
      <c r="H2359" s="6"/>
      <c r="I2359" s="6"/>
      <c r="J2359" s="6"/>
      <c r="K2359" s="6"/>
      <c r="L2359" s="6"/>
      <c r="M2359" s="6"/>
      <c r="N2359" s="6"/>
      <c r="O2359" s="6"/>
      <c r="P2359" s="6"/>
      <c r="Q2359" s="6"/>
      <c r="R2359" s="6"/>
      <c r="S2359" s="6"/>
      <c r="T2359" s="6"/>
      <c r="U2359" s="6"/>
      <c r="V2359" s="6"/>
      <c r="W2359" s="6"/>
      <c r="X2359" s="6"/>
      <c r="Y2359" s="6"/>
      <c r="Z2359" s="6"/>
    </row>
    <row r="2360" spans="1:26" ht="16.8" x14ac:dyDescent="0.45">
      <c r="A2360" s="6"/>
      <c r="B2360" s="7"/>
      <c r="C2360" s="6"/>
      <c r="D2360" s="6"/>
      <c r="E2360" s="6"/>
      <c r="F2360" s="6"/>
      <c r="G2360" s="6"/>
      <c r="H2360" s="6"/>
      <c r="I2360" s="6"/>
      <c r="J2360" s="6"/>
      <c r="K2360" s="6"/>
      <c r="L2360" s="6"/>
      <c r="M2360" s="6"/>
      <c r="N2360" s="6"/>
      <c r="O2360" s="6"/>
      <c r="P2360" s="6"/>
      <c r="Q2360" s="6"/>
      <c r="R2360" s="6"/>
      <c r="S2360" s="6"/>
      <c r="T2360" s="6"/>
      <c r="U2360" s="6"/>
      <c r="V2360" s="6"/>
      <c r="W2360" s="6"/>
      <c r="X2360" s="6"/>
      <c r="Y2360" s="6"/>
      <c r="Z2360" s="6"/>
    </row>
    <row r="2361" spans="1:26" ht="16.8" x14ac:dyDescent="0.45">
      <c r="A2361" s="6"/>
      <c r="B2361" s="7"/>
      <c r="C2361" s="6"/>
      <c r="D2361" s="6"/>
      <c r="E2361" s="6"/>
      <c r="F2361" s="6"/>
      <c r="G2361" s="6"/>
      <c r="H2361" s="6"/>
      <c r="I2361" s="6"/>
      <c r="J2361" s="6"/>
      <c r="K2361" s="6"/>
      <c r="L2361" s="6"/>
      <c r="M2361" s="6"/>
      <c r="N2361" s="6"/>
      <c r="O2361" s="6"/>
      <c r="P2361" s="6"/>
      <c r="Q2361" s="6"/>
      <c r="R2361" s="6"/>
      <c r="S2361" s="6"/>
      <c r="T2361" s="6"/>
      <c r="U2361" s="6"/>
      <c r="V2361" s="6"/>
      <c r="W2361" s="6"/>
      <c r="X2361" s="6"/>
      <c r="Y2361" s="6"/>
      <c r="Z2361" s="6"/>
    </row>
    <row r="2362" spans="1:26" ht="16.8" x14ac:dyDescent="0.45">
      <c r="A2362" s="6"/>
      <c r="B2362" s="7"/>
      <c r="C2362" s="6"/>
      <c r="D2362" s="6"/>
      <c r="E2362" s="6"/>
      <c r="F2362" s="6"/>
      <c r="G2362" s="6"/>
      <c r="H2362" s="6"/>
      <c r="I2362" s="6"/>
      <c r="J2362" s="6"/>
      <c r="K2362" s="6"/>
      <c r="L2362" s="6"/>
      <c r="M2362" s="6"/>
      <c r="N2362" s="6"/>
      <c r="O2362" s="6"/>
      <c r="P2362" s="6"/>
      <c r="Q2362" s="6"/>
      <c r="R2362" s="6"/>
      <c r="S2362" s="6"/>
      <c r="T2362" s="6"/>
      <c r="U2362" s="6"/>
      <c r="V2362" s="6"/>
      <c r="W2362" s="6"/>
      <c r="X2362" s="6"/>
      <c r="Y2362" s="6"/>
      <c r="Z2362" s="6"/>
    </row>
    <row r="2363" spans="1:26" ht="16.8" x14ac:dyDescent="0.45">
      <c r="A2363" s="6"/>
      <c r="B2363" s="7"/>
      <c r="C2363" s="6"/>
      <c r="D2363" s="6"/>
      <c r="E2363" s="6"/>
      <c r="F2363" s="6"/>
      <c r="G2363" s="6"/>
      <c r="H2363" s="6"/>
      <c r="I2363" s="6"/>
      <c r="J2363" s="6"/>
      <c r="K2363" s="6"/>
      <c r="L2363" s="6"/>
      <c r="M2363" s="6"/>
      <c r="N2363" s="6"/>
      <c r="O2363" s="6"/>
      <c r="P2363" s="6"/>
      <c r="Q2363" s="6"/>
      <c r="R2363" s="6"/>
      <c r="S2363" s="6"/>
      <c r="T2363" s="6"/>
      <c r="U2363" s="6"/>
      <c r="V2363" s="6"/>
      <c r="W2363" s="6"/>
      <c r="X2363" s="6"/>
      <c r="Y2363" s="6"/>
      <c r="Z2363" s="6"/>
    </row>
    <row r="2364" spans="1:26" ht="16.8" x14ac:dyDescent="0.45">
      <c r="A2364" s="6"/>
      <c r="B2364" s="7"/>
      <c r="C2364" s="6"/>
      <c r="D2364" s="6"/>
      <c r="E2364" s="6"/>
      <c r="F2364" s="6"/>
      <c r="G2364" s="6"/>
      <c r="H2364" s="6"/>
      <c r="I2364" s="6"/>
      <c r="J2364" s="6"/>
      <c r="K2364" s="6"/>
      <c r="L2364" s="6"/>
      <c r="M2364" s="6"/>
      <c r="N2364" s="6"/>
      <c r="O2364" s="6"/>
      <c r="P2364" s="6"/>
      <c r="Q2364" s="6"/>
      <c r="R2364" s="6"/>
      <c r="S2364" s="6"/>
      <c r="T2364" s="6"/>
      <c r="U2364" s="6"/>
      <c r="V2364" s="6"/>
      <c r="W2364" s="6"/>
      <c r="X2364" s="6"/>
      <c r="Y2364" s="6"/>
      <c r="Z2364" s="6"/>
    </row>
    <row r="2365" spans="1:26" ht="16.8" x14ac:dyDescent="0.45">
      <c r="A2365" s="6"/>
      <c r="B2365" s="7"/>
      <c r="C2365" s="6"/>
      <c r="D2365" s="6"/>
      <c r="E2365" s="6"/>
      <c r="F2365" s="6"/>
      <c r="G2365" s="6"/>
      <c r="H2365" s="6"/>
      <c r="I2365" s="6"/>
      <c r="J2365" s="6"/>
      <c r="K2365" s="6"/>
      <c r="L2365" s="6"/>
      <c r="M2365" s="6"/>
      <c r="N2365" s="6"/>
      <c r="O2365" s="6"/>
      <c r="P2365" s="6"/>
      <c r="Q2365" s="6"/>
      <c r="R2365" s="6"/>
      <c r="S2365" s="6"/>
      <c r="T2365" s="6"/>
      <c r="U2365" s="6"/>
      <c r="V2365" s="6"/>
      <c r="W2365" s="6"/>
      <c r="X2365" s="6"/>
      <c r="Y2365" s="6"/>
      <c r="Z2365" s="6"/>
    </row>
    <row r="2366" spans="1:26" ht="16.8" x14ac:dyDescent="0.45">
      <c r="A2366" s="6"/>
      <c r="B2366" s="7"/>
      <c r="C2366" s="6"/>
      <c r="D2366" s="6"/>
      <c r="E2366" s="6"/>
      <c r="F2366" s="6"/>
      <c r="G2366" s="6"/>
      <c r="H2366" s="6"/>
      <c r="I2366" s="6"/>
      <c r="J2366" s="6"/>
      <c r="K2366" s="6"/>
      <c r="L2366" s="6"/>
      <c r="M2366" s="6"/>
      <c r="N2366" s="6"/>
      <c r="O2366" s="6"/>
      <c r="P2366" s="6"/>
      <c r="Q2366" s="6"/>
      <c r="R2366" s="6"/>
      <c r="S2366" s="6"/>
      <c r="T2366" s="6"/>
      <c r="U2366" s="6"/>
      <c r="V2366" s="6"/>
      <c r="W2366" s="6"/>
      <c r="X2366" s="6"/>
      <c r="Y2366" s="6"/>
      <c r="Z2366" s="6"/>
    </row>
    <row r="2367" spans="1:26" ht="16.8" x14ac:dyDescent="0.45">
      <c r="A2367" s="6"/>
      <c r="B2367" s="7"/>
      <c r="C2367" s="6"/>
      <c r="D2367" s="6"/>
      <c r="E2367" s="6"/>
      <c r="F2367" s="6"/>
      <c r="G2367" s="6"/>
      <c r="H2367" s="6"/>
      <c r="I2367" s="6"/>
      <c r="J2367" s="6"/>
      <c r="K2367" s="6"/>
      <c r="L2367" s="6"/>
      <c r="M2367" s="6"/>
      <c r="N2367" s="6"/>
      <c r="O2367" s="6"/>
      <c r="P2367" s="6"/>
      <c r="Q2367" s="6"/>
      <c r="R2367" s="6"/>
      <c r="S2367" s="6"/>
      <c r="T2367" s="6"/>
      <c r="U2367" s="6"/>
      <c r="V2367" s="6"/>
      <c r="W2367" s="6"/>
      <c r="X2367" s="6"/>
      <c r="Y2367" s="6"/>
      <c r="Z2367" s="6"/>
    </row>
    <row r="2368" spans="1:26" ht="16.8" x14ac:dyDescent="0.45">
      <c r="A2368" s="6"/>
      <c r="B2368" s="7"/>
      <c r="C2368" s="6"/>
      <c r="D2368" s="6"/>
      <c r="E2368" s="6"/>
      <c r="F2368" s="6"/>
      <c r="G2368" s="6"/>
      <c r="H2368" s="6"/>
      <c r="I2368" s="6"/>
      <c r="J2368" s="6"/>
      <c r="K2368" s="6"/>
      <c r="L2368" s="6"/>
      <c r="M2368" s="6"/>
      <c r="N2368" s="6"/>
      <c r="O2368" s="6"/>
      <c r="P2368" s="6"/>
      <c r="Q2368" s="6"/>
      <c r="R2368" s="6"/>
      <c r="S2368" s="6"/>
      <c r="T2368" s="6"/>
      <c r="U2368" s="6"/>
      <c r="V2368" s="6"/>
      <c r="W2368" s="6"/>
      <c r="X2368" s="6"/>
      <c r="Y2368" s="6"/>
      <c r="Z2368" s="6"/>
    </row>
    <row r="2369" spans="1:26" ht="16.8" x14ac:dyDescent="0.45">
      <c r="A2369" s="6"/>
      <c r="B2369" s="7"/>
      <c r="C2369" s="6"/>
      <c r="D2369" s="6"/>
      <c r="E2369" s="6"/>
      <c r="F2369" s="6"/>
      <c r="G2369" s="6"/>
      <c r="H2369" s="6"/>
      <c r="I2369" s="6"/>
      <c r="J2369" s="6"/>
      <c r="K2369" s="6"/>
      <c r="L2369" s="6"/>
      <c r="M2369" s="6"/>
      <c r="N2369" s="6"/>
      <c r="O2369" s="6"/>
      <c r="P2369" s="6"/>
      <c r="Q2369" s="6"/>
      <c r="R2369" s="6"/>
      <c r="S2369" s="6"/>
      <c r="T2369" s="6"/>
      <c r="U2369" s="6"/>
      <c r="V2369" s="6"/>
      <c r="W2369" s="6"/>
      <c r="X2369" s="6"/>
      <c r="Y2369" s="6"/>
      <c r="Z2369" s="6"/>
    </row>
    <row r="2370" spans="1:26" ht="16.8" x14ac:dyDescent="0.45">
      <c r="A2370" s="6"/>
      <c r="B2370" s="7"/>
      <c r="C2370" s="6"/>
      <c r="D2370" s="6"/>
      <c r="E2370" s="6"/>
      <c r="F2370" s="6"/>
      <c r="G2370" s="6"/>
      <c r="H2370" s="6"/>
      <c r="I2370" s="6"/>
      <c r="J2370" s="6"/>
      <c r="K2370" s="6"/>
      <c r="L2370" s="6"/>
      <c r="M2370" s="6"/>
      <c r="N2370" s="6"/>
      <c r="O2370" s="6"/>
      <c r="P2370" s="6"/>
      <c r="Q2370" s="6"/>
      <c r="R2370" s="6"/>
      <c r="S2370" s="6"/>
      <c r="T2370" s="6"/>
      <c r="U2370" s="6"/>
      <c r="V2370" s="6"/>
      <c r="W2370" s="6"/>
      <c r="X2370" s="6"/>
      <c r="Y2370" s="6"/>
      <c r="Z2370" s="6"/>
    </row>
    <row r="2371" spans="1:26" ht="16.8" x14ac:dyDescent="0.45">
      <c r="A2371" s="6"/>
      <c r="B2371" s="7"/>
      <c r="C2371" s="6"/>
      <c r="D2371" s="6"/>
      <c r="E2371" s="6"/>
      <c r="F2371" s="6"/>
      <c r="G2371" s="6"/>
      <c r="H2371" s="6"/>
      <c r="I2371" s="6"/>
      <c r="J2371" s="6"/>
      <c r="K2371" s="6"/>
      <c r="L2371" s="6"/>
      <c r="M2371" s="6"/>
      <c r="N2371" s="6"/>
      <c r="O2371" s="6"/>
      <c r="P2371" s="6"/>
      <c r="Q2371" s="6"/>
      <c r="R2371" s="6"/>
      <c r="S2371" s="6"/>
      <c r="T2371" s="6"/>
      <c r="U2371" s="6"/>
      <c r="V2371" s="6"/>
      <c r="W2371" s="6"/>
      <c r="X2371" s="6"/>
      <c r="Y2371" s="6"/>
      <c r="Z2371" s="6"/>
    </row>
    <row r="2372" spans="1:26" ht="16.8" x14ac:dyDescent="0.45">
      <c r="A2372" s="6"/>
      <c r="B2372" s="7"/>
      <c r="C2372" s="6"/>
      <c r="D2372" s="6"/>
      <c r="E2372" s="6"/>
      <c r="F2372" s="6"/>
      <c r="G2372" s="6"/>
      <c r="H2372" s="6"/>
      <c r="I2372" s="6"/>
      <c r="J2372" s="6"/>
      <c r="K2372" s="6"/>
      <c r="L2372" s="6"/>
      <c r="M2372" s="6"/>
      <c r="N2372" s="6"/>
      <c r="O2372" s="6"/>
      <c r="P2372" s="6"/>
      <c r="Q2372" s="6"/>
      <c r="R2372" s="6"/>
      <c r="S2372" s="6"/>
      <c r="T2372" s="6"/>
      <c r="U2372" s="6"/>
      <c r="V2372" s="6"/>
      <c r="W2372" s="6"/>
      <c r="X2372" s="6"/>
      <c r="Y2372" s="6"/>
      <c r="Z2372" s="6"/>
    </row>
    <row r="2373" spans="1:26" ht="16.8" x14ac:dyDescent="0.45">
      <c r="A2373" s="6"/>
      <c r="B2373" s="7"/>
      <c r="C2373" s="6"/>
      <c r="D2373" s="6"/>
      <c r="E2373" s="6"/>
      <c r="F2373" s="6"/>
      <c r="G2373" s="6"/>
      <c r="H2373" s="6"/>
      <c r="I2373" s="6"/>
      <c r="J2373" s="6"/>
      <c r="K2373" s="6"/>
      <c r="L2373" s="6"/>
      <c r="M2373" s="6"/>
      <c r="N2373" s="6"/>
      <c r="O2373" s="6"/>
      <c r="P2373" s="6"/>
      <c r="Q2373" s="6"/>
      <c r="R2373" s="6"/>
      <c r="S2373" s="6"/>
      <c r="T2373" s="6"/>
      <c r="U2373" s="6"/>
      <c r="V2373" s="6"/>
      <c r="W2373" s="6"/>
      <c r="X2373" s="6"/>
      <c r="Y2373" s="6"/>
      <c r="Z2373" s="6"/>
    </row>
    <row r="2374" spans="1:26" ht="16.8" x14ac:dyDescent="0.45">
      <c r="A2374" s="6"/>
      <c r="B2374" s="7"/>
      <c r="C2374" s="6"/>
      <c r="D2374" s="6"/>
      <c r="E2374" s="6"/>
      <c r="F2374" s="6"/>
      <c r="G2374" s="6"/>
      <c r="H2374" s="6"/>
      <c r="I2374" s="6"/>
      <c r="J2374" s="6"/>
      <c r="K2374" s="6"/>
      <c r="L2374" s="6"/>
      <c r="M2374" s="6"/>
      <c r="N2374" s="6"/>
      <c r="O2374" s="6"/>
      <c r="P2374" s="6"/>
      <c r="Q2374" s="6"/>
      <c r="R2374" s="6"/>
      <c r="S2374" s="6"/>
      <c r="T2374" s="6"/>
      <c r="U2374" s="6"/>
      <c r="V2374" s="6"/>
      <c r="W2374" s="6"/>
      <c r="X2374" s="6"/>
      <c r="Y2374" s="6"/>
      <c r="Z2374" s="6"/>
    </row>
    <row r="2375" spans="1:26" ht="16.8" x14ac:dyDescent="0.45">
      <c r="A2375" s="6"/>
      <c r="B2375" s="7"/>
      <c r="C2375" s="6"/>
      <c r="D2375" s="6"/>
      <c r="E2375" s="6"/>
      <c r="F2375" s="6"/>
      <c r="G2375" s="6"/>
      <c r="H2375" s="6"/>
      <c r="I2375" s="6"/>
      <c r="J2375" s="6"/>
      <c r="K2375" s="6"/>
      <c r="L2375" s="6"/>
      <c r="M2375" s="6"/>
      <c r="N2375" s="6"/>
      <c r="O2375" s="6"/>
      <c r="P2375" s="6"/>
      <c r="Q2375" s="6"/>
      <c r="R2375" s="6"/>
      <c r="S2375" s="6"/>
      <c r="T2375" s="6"/>
      <c r="U2375" s="6"/>
      <c r="V2375" s="6"/>
      <c r="W2375" s="6"/>
      <c r="X2375" s="6"/>
      <c r="Y2375" s="6"/>
      <c r="Z2375" s="6"/>
    </row>
    <row r="2376" spans="1:26" ht="16.8" x14ac:dyDescent="0.45">
      <c r="A2376" s="6"/>
      <c r="B2376" s="7"/>
      <c r="C2376" s="6"/>
      <c r="D2376" s="6"/>
      <c r="E2376" s="6"/>
      <c r="F2376" s="6"/>
      <c r="G2376" s="6"/>
      <c r="H2376" s="6"/>
      <c r="I2376" s="6"/>
      <c r="J2376" s="6"/>
      <c r="K2376" s="6"/>
      <c r="L2376" s="6"/>
      <c r="M2376" s="6"/>
      <c r="N2376" s="6"/>
      <c r="O2376" s="6"/>
      <c r="P2376" s="6"/>
      <c r="Q2376" s="6"/>
      <c r="R2376" s="6"/>
      <c r="S2376" s="6"/>
      <c r="T2376" s="6"/>
      <c r="U2376" s="6"/>
      <c r="V2376" s="6"/>
      <c r="W2376" s="6"/>
      <c r="X2376" s="6"/>
      <c r="Y2376" s="6"/>
      <c r="Z2376" s="6"/>
    </row>
    <row r="2377" spans="1:26" ht="16.8" x14ac:dyDescent="0.45">
      <c r="A2377" s="6"/>
      <c r="B2377" s="7"/>
      <c r="C2377" s="6"/>
      <c r="D2377" s="6"/>
      <c r="E2377" s="6"/>
      <c r="F2377" s="6"/>
      <c r="G2377" s="6"/>
      <c r="H2377" s="6"/>
      <c r="I2377" s="6"/>
      <c r="J2377" s="6"/>
      <c r="K2377" s="6"/>
      <c r="L2377" s="6"/>
      <c r="M2377" s="6"/>
      <c r="N2377" s="6"/>
      <c r="O2377" s="6"/>
      <c r="P2377" s="6"/>
      <c r="Q2377" s="6"/>
      <c r="R2377" s="6"/>
      <c r="S2377" s="6"/>
      <c r="T2377" s="6"/>
      <c r="U2377" s="6"/>
      <c r="V2377" s="6"/>
      <c r="W2377" s="6"/>
      <c r="X2377" s="6"/>
      <c r="Y2377" s="6"/>
      <c r="Z2377" s="6"/>
    </row>
    <row r="2378" spans="1:26" ht="16.8" x14ac:dyDescent="0.45">
      <c r="A2378" s="6"/>
      <c r="B2378" s="7"/>
      <c r="C2378" s="6"/>
      <c r="D2378" s="6"/>
      <c r="E2378" s="6"/>
      <c r="F2378" s="6"/>
      <c r="G2378" s="6"/>
      <c r="H2378" s="6"/>
      <c r="I2378" s="6"/>
      <c r="J2378" s="6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</row>
    <row r="2379" spans="1:26" ht="16.8" x14ac:dyDescent="0.45">
      <c r="A2379" s="6"/>
      <c r="B2379" s="7"/>
      <c r="C2379" s="6"/>
      <c r="D2379" s="6"/>
      <c r="E2379" s="6"/>
      <c r="F2379" s="6"/>
      <c r="G2379" s="6"/>
      <c r="H2379" s="6"/>
      <c r="I2379" s="6"/>
      <c r="J2379" s="6"/>
      <c r="K2379" s="6"/>
      <c r="L2379" s="6"/>
      <c r="M2379" s="6"/>
      <c r="N2379" s="6"/>
      <c r="O2379" s="6"/>
      <c r="P2379" s="6"/>
      <c r="Q2379" s="6"/>
      <c r="R2379" s="6"/>
      <c r="S2379" s="6"/>
      <c r="T2379" s="6"/>
      <c r="U2379" s="6"/>
      <c r="V2379" s="6"/>
      <c r="W2379" s="6"/>
      <c r="X2379" s="6"/>
      <c r="Y2379" s="6"/>
      <c r="Z2379" s="6"/>
    </row>
    <row r="2380" spans="1:26" ht="16.8" x14ac:dyDescent="0.45">
      <c r="A2380" s="6"/>
      <c r="B2380" s="7"/>
      <c r="C2380" s="6"/>
      <c r="D2380" s="6"/>
      <c r="E2380" s="6"/>
      <c r="F2380" s="6"/>
      <c r="G2380" s="6"/>
      <c r="H2380" s="6"/>
      <c r="I2380" s="6"/>
      <c r="J2380" s="6"/>
      <c r="K2380" s="6"/>
      <c r="L2380" s="6"/>
      <c r="M2380" s="6"/>
      <c r="N2380" s="6"/>
      <c r="O2380" s="6"/>
      <c r="P2380" s="6"/>
      <c r="Q2380" s="6"/>
      <c r="R2380" s="6"/>
      <c r="S2380" s="6"/>
      <c r="T2380" s="6"/>
      <c r="U2380" s="6"/>
      <c r="V2380" s="6"/>
      <c r="W2380" s="6"/>
      <c r="X2380" s="6"/>
      <c r="Y2380" s="6"/>
      <c r="Z2380" s="6"/>
    </row>
    <row r="2381" spans="1:26" ht="16.8" x14ac:dyDescent="0.45">
      <c r="A2381" s="6"/>
      <c r="B2381" s="7"/>
      <c r="C2381" s="6"/>
      <c r="D2381" s="6"/>
      <c r="E2381" s="6"/>
      <c r="F2381" s="6"/>
      <c r="G2381" s="6"/>
      <c r="H2381" s="6"/>
      <c r="I2381" s="6"/>
      <c r="J2381" s="6"/>
      <c r="K2381" s="6"/>
      <c r="L2381" s="6"/>
      <c r="M2381" s="6"/>
      <c r="N2381" s="6"/>
      <c r="O2381" s="6"/>
      <c r="P2381" s="6"/>
      <c r="Q2381" s="6"/>
      <c r="R2381" s="6"/>
      <c r="S2381" s="6"/>
      <c r="T2381" s="6"/>
      <c r="U2381" s="6"/>
      <c r="V2381" s="6"/>
      <c r="W2381" s="6"/>
      <c r="X2381" s="6"/>
      <c r="Y2381" s="6"/>
      <c r="Z2381" s="6"/>
    </row>
    <row r="2382" spans="1:26" ht="16.8" x14ac:dyDescent="0.45">
      <c r="A2382" s="6"/>
      <c r="B2382" s="7"/>
      <c r="C2382" s="6"/>
      <c r="D2382" s="6"/>
      <c r="E2382" s="6"/>
      <c r="F2382" s="6"/>
      <c r="G2382" s="6"/>
      <c r="H2382" s="6"/>
      <c r="I2382" s="6"/>
      <c r="J2382" s="6"/>
      <c r="K2382" s="6"/>
      <c r="L2382" s="6"/>
      <c r="M2382" s="6"/>
      <c r="N2382" s="6"/>
      <c r="O2382" s="6"/>
      <c r="P2382" s="6"/>
      <c r="Q2382" s="6"/>
      <c r="R2382" s="6"/>
      <c r="S2382" s="6"/>
      <c r="T2382" s="6"/>
      <c r="U2382" s="6"/>
      <c r="V2382" s="6"/>
      <c r="W2382" s="6"/>
      <c r="X2382" s="6"/>
      <c r="Y2382" s="6"/>
      <c r="Z2382" s="6"/>
    </row>
    <row r="2383" spans="1:26" ht="16.8" x14ac:dyDescent="0.45">
      <c r="A2383" s="6"/>
      <c r="B2383" s="7"/>
      <c r="C2383" s="6"/>
      <c r="D2383" s="6"/>
      <c r="E2383" s="6"/>
      <c r="F2383" s="6"/>
      <c r="G2383" s="6"/>
      <c r="H2383" s="6"/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</row>
    <row r="2384" spans="1:26" ht="16.8" x14ac:dyDescent="0.45">
      <c r="A2384" s="6"/>
      <c r="B2384" s="7"/>
      <c r="C2384" s="6"/>
      <c r="D2384" s="6"/>
      <c r="E2384" s="6"/>
      <c r="F2384" s="6"/>
      <c r="G2384" s="6"/>
      <c r="H2384" s="6"/>
      <c r="I2384" s="6"/>
      <c r="J2384" s="6"/>
      <c r="K2384" s="6"/>
      <c r="L2384" s="6"/>
      <c r="M2384" s="6"/>
      <c r="N2384" s="6"/>
      <c r="O2384" s="6"/>
      <c r="P2384" s="6"/>
      <c r="Q2384" s="6"/>
      <c r="R2384" s="6"/>
      <c r="S2384" s="6"/>
      <c r="T2384" s="6"/>
      <c r="U2384" s="6"/>
      <c r="V2384" s="6"/>
      <c r="W2384" s="6"/>
      <c r="X2384" s="6"/>
      <c r="Y2384" s="6"/>
      <c r="Z2384" s="6"/>
    </row>
    <row r="2385" spans="1:26" ht="16.8" x14ac:dyDescent="0.45">
      <c r="A2385" s="6"/>
      <c r="B2385" s="7"/>
      <c r="C2385" s="6"/>
      <c r="D2385" s="6"/>
      <c r="E2385" s="6"/>
      <c r="F2385" s="6"/>
      <c r="G2385" s="6"/>
      <c r="H2385" s="6"/>
      <c r="I2385" s="6"/>
      <c r="J2385" s="6"/>
      <c r="K2385" s="6"/>
      <c r="L2385" s="6"/>
      <c r="M2385" s="6"/>
      <c r="N2385" s="6"/>
      <c r="O2385" s="6"/>
      <c r="P2385" s="6"/>
      <c r="Q2385" s="6"/>
      <c r="R2385" s="6"/>
      <c r="S2385" s="6"/>
      <c r="T2385" s="6"/>
      <c r="U2385" s="6"/>
      <c r="V2385" s="6"/>
      <c r="W2385" s="6"/>
      <c r="X2385" s="6"/>
      <c r="Y2385" s="6"/>
      <c r="Z2385" s="6"/>
    </row>
    <row r="2386" spans="1:26" ht="16.8" x14ac:dyDescent="0.45">
      <c r="A2386" s="6"/>
      <c r="B2386" s="7"/>
      <c r="C2386" s="6"/>
      <c r="D2386" s="6"/>
      <c r="E2386" s="6"/>
      <c r="F2386" s="6"/>
      <c r="G2386" s="6"/>
      <c r="H2386" s="6"/>
      <c r="I2386" s="6"/>
      <c r="J2386" s="6"/>
      <c r="K2386" s="6"/>
      <c r="L2386" s="6"/>
      <c r="M2386" s="6"/>
      <c r="N2386" s="6"/>
      <c r="O2386" s="6"/>
      <c r="P2386" s="6"/>
      <c r="Q2386" s="6"/>
      <c r="R2386" s="6"/>
      <c r="S2386" s="6"/>
      <c r="T2386" s="6"/>
      <c r="U2386" s="6"/>
      <c r="V2386" s="6"/>
      <c r="W2386" s="6"/>
      <c r="X2386" s="6"/>
      <c r="Y2386" s="6"/>
      <c r="Z2386" s="6"/>
    </row>
    <row r="2387" spans="1:26" ht="16.8" x14ac:dyDescent="0.45">
      <c r="A2387" s="6"/>
      <c r="B2387" s="7"/>
      <c r="C2387" s="6"/>
      <c r="D2387" s="6"/>
      <c r="E2387" s="6"/>
      <c r="F2387" s="6"/>
      <c r="G2387" s="6"/>
      <c r="H2387" s="6"/>
      <c r="I2387" s="6"/>
      <c r="J2387" s="6"/>
      <c r="K2387" s="6"/>
      <c r="L2387" s="6"/>
      <c r="M2387" s="6"/>
      <c r="N2387" s="6"/>
      <c r="O2387" s="6"/>
      <c r="P2387" s="6"/>
      <c r="Q2387" s="6"/>
      <c r="R2387" s="6"/>
      <c r="S2387" s="6"/>
      <c r="T2387" s="6"/>
      <c r="U2387" s="6"/>
      <c r="V2387" s="6"/>
      <c r="W2387" s="6"/>
      <c r="X2387" s="6"/>
      <c r="Y2387" s="6"/>
      <c r="Z2387" s="6"/>
    </row>
    <row r="2388" spans="1:26" ht="16.8" x14ac:dyDescent="0.45">
      <c r="A2388" s="6"/>
      <c r="B2388" s="7"/>
      <c r="C2388" s="6"/>
      <c r="D2388" s="6"/>
      <c r="E2388" s="6"/>
      <c r="F2388" s="6"/>
      <c r="G2388" s="6"/>
      <c r="H2388" s="6"/>
      <c r="I2388" s="6"/>
      <c r="J2388" s="6"/>
      <c r="K2388" s="6"/>
      <c r="L2388" s="6"/>
      <c r="M2388" s="6"/>
      <c r="N2388" s="6"/>
      <c r="O2388" s="6"/>
      <c r="P2388" s="6"/>
      <c r="Q2388" s="6"/>
      <c r="R2388" s="6"/>
      <c r="S2388" s="6"/>
      <c r="T2388" s="6"/>
      <c r="U2388" s="6"/>
      <c r="V2388" s="6"/>
      <c r="W2388" s="6"/>
      <c r="X2388" s="6"/>
      <c r="Y2388" s="6"/>
      <c r="Z2388" s="6"/>
    </row>
    <row r="2389" spans="1:26" ht="16.8" x14ac:dyDescent="0.45">
      <c r="A2389" s="6"/>
      <c r="B2389" s="7"/>
      <c r="C2389" s="6"/>
      <c r="D2389" s="6"/>
      <c r="E2389" s="6"/>
      <c r="F2389" s="6"/>
      <c r="G2389" s="6"/>
      <c r="H2389" s="6"/>
      <c r="I2389" s="6"/>
      <c r="J2389" s="6"/>
      <c r="K2389" s="6"/>
      <c r="L2389" s="6"/>
      <c r="M2389" s="6"/>
      <c r="N2389" s="6"/>
      <c r="O2389" s="6"/>
      <c r="P2389" s="6"/>
      <c r="Q2389" s="6"/>
      <c r="R2389" s="6"/>
      <c r="S2389" s="6"/>
      <c r="T2389" s="6"/>
      <c r="U2389" s="6"/>
      <c r="V2389" s="6"/>
      <c r="W2389" s="6"/>
      <c r="X2389" s="6"/>
      <c r="Y2389" s="6"/>
      <c r="Z2389" s="6"/>
    </row>
    <row r="2390" spans="1:26" ht="16.8" x14ac:dyDescent="0.45">
      <c r="A2390" s="6"/>
      <c r="B2390" s="7"/>
      <c r="C2390" s="6"/>
      <c r="D2390" s="6"/>
      <c r="E2390" s="6"/>
      <c r="F2390" s="6"/>
      <c r="G2390" s="6"/>
      <c r="H2390" s="6"/>
      <c r="I2390" s="6"/>
      <c r="J2390" s="6"/>
      <c r="K2390" s="6"/>
      <c r="L2390" s="6"/>
      <c r="M2390" s="6"/>
      <c r="N2390" s="6"/>
      <c r="O2390" s="6"/>
      <c r="P2390" s="6"/>
      <c r="Q2390" s="6"/>
      <c r="R2390" s="6"/>
      <c r="S2390" s="6"/>
      <c r="T2390" s="6"/>
      <c r="U2390" s="6"/>
      <c r="V2390" s="6"/>
      <c r="W2390" s="6"/>
      <c r="X2390" s="6"/>
      <c r="Y2390" s="6"/>
      <c r="Z2390" s="6"/>
    </row>
    <row r="2391" spans="1:26" ht="16.8" x14ac:dyDescent="0.45">
      <c r="A2391" s="6"/>
      <c r="B2391" s="7"/>
      <c r="C2391" s="6"/>
      <c r="D2391" s="6"/>
      <c r="E2391" s="6"/>
      <c r="F2391" s="6"/>
      <c r="G2391" s="6"/>
      <c r="H2391" s="6"/>
      <c r="I2391" s="6"/>
      <c r="J2391" s="6"/>
      <c r="K2391" s="6"/>
      <c r="L2391" s="6"/>
      <c r="M2391" s="6"/>
      <c r="N2391" s="6"/>
      <c r="O2391" s="6"/>
      <c r="P2391" s="6"/>
      <c r="Q2391" s="6"/>
      <c r="R2391" s="6"/>
      <c r="S2391" s="6"/>
      <c r="T2391" s="6"/>
      <c r="U2391" s="6"/>
      <c r="V2391" s="6"/>
      <c r="W2391" s="6"/>
      <c r="X2391" s="6"/>
      <c r="Y2391" s="6"/>
      <c r="Z2391" s="6"/>
    </row>
    <row r="2392" spans="1:26" ht="16.8" x14ac:dyDescent="0.45">
      <c r="A2392" s="6"/>
      <c r="B2392" s="7"/>
      <c r="C2392" s="6"/>
      <c r="D2392" s="6"/>
      <c r="E2392" s="6"/>
      <c r="F2392" s="6"/>
      <c r="G2392" s="6"/>
      <c r="H2392" s="6"/>
      <c r="I2392" s="6"/>
      <c r="J2392" s="6"/>
      <c r="K2392" s="6"/>
      <c r="L2392" s="6"/>
      <c r="M2392" s="6"/>
      <c r="N2392" s="6"/>
      <c r="O2392" s="6"/>
      <c r="P2392" s="6"/>
      <c r="Q2392" s="6"/>
      <c r="R2392" s="6"/>
      <c r="S2392" s="6"/>
      <c r="T2392" s="6"/>
      <c r="U2392" s="6"/>
      <c r="V2392" s="6"/>
      <c r="W2392" s="6"/>
      <c r="X2392" s="6"/>
      <c r="Y2392" s="6"/>
      <c r="Z2392" s="6"/>
    </row>
    <row r="2393" spans="1:26" ht="16.8" x14ac:dyDescent="0.45">
      <c r="A2393" s="6"/>
      <c r="B2393" s="7"/>
      <c r="C2393" s="6"/>
      <c r="D2393" s="6"/>
      <c r="E2393" s="6"/>
      <c r="F2393" s="6"/>
      <c r="G2393" s="6"/>
      <c r="H2393" s="6"/>
      <c r="I2393" s="6"/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</row>
    <row r="2394" spans="1:26" ht="16.8" x14ac:dyDescent="0.45">
      <c r="A2394" s="6"/>
      <c r="B2394" s="7"/>
      <c r="C2394" s="6"/>
      <c r="D2394" s="6"/>
      <c r="E2394" s="6"/>
      <c r="F2394" s="6"/>
      <c r="G2394" s="6"/>
      <c r="H2394" s="6"/>
      <c r="I2394" s="6"/>
      <c r="J2394" s="6"/>
      <c r="K2394" s="6"/>
      <c r="L2394" s="6"/>
      <c r="M2394" s="6"/>
      <c r="N2394" s="6"/>
      <c r="O2394" s="6"/>
      <c r="P2394" s="6"/>
      <c r="Q2394" s="6"/>
      <c r="R2394" s="6"/>
      <c r="S2394" s="6"/>
      <c r="T2394" s="6"/>
      <c r="U2394" s="6"/>
      <c r="V2394" s="6"/>
      <c r="W2394" s="6"/>
      <c r="X2394" s="6"/>
      <c r="Y2394" s="6"/>
      <c r="Z2394" s="6"/>
    </row>
    <row r="2395" spans="1:26" ht="16.8" x14ac:dyDescent="0.45">
      <c r="A2395" s="6"/>
      <c r="B2395" s="7"/>
      <c r="C2395" s="6"/>
      <c r="D2395" s="6"/>
      <c r="E2395" s="6"/>
      <c r="F2395" s="6"/>
      <c r="G2395" s="6"/>
      <c r="H2395" s="6"/>
      <c r="I2395" s="6"/>
      <c r="J2395" s="6"/>
      <c r="K2395" s="6"/>
      <c r="L2395" s="6"/>
      <c r="M2395" s="6"/>
      <c r="N2395" s="6"/>
      <c r="O2395" s="6"/>
      <c r="P2395" s="6"/>
      <c r="Q2395" s="6"/>
      <c r="R2395" s="6"/>
      <c r="S2395" s="6"/>
      <c r="T2395" s="6"/>
      <c r="U2395" s="6"/>
      <c r="V2395" s="6"/>
      <c r="W2395" s="6"/>
      <c r="X2395" s="6"/>
      <c r="Y2395" s="6"/>
      <c r="Z2395" s="6"/>
    </row>
    <row r="2396" spans="1:26" ht="16.8" x14ac:dyDescent="0.45">
      <c r="A2396" s="6"/>
      <c r="B2396" s="7"/>
      <c r="C2396" s="6"/>
      <c r="D2396" s="6"/>
      <c r="E2396" s="6"/>
      <c r="F2396" s="6"/>
      <c r="G2396" s="6"/>
      <c r="H2396" s="6"/>
      <c r="I2396" s="6"/>
      <c r="J2396" s="6"/>
      <c r="K2396" s="6"/>
      <c r="L2396" s="6"/>
      <c r="M2396" s="6"/>
      <c r="N2396" s="6"/>
      <c r="O2396" s="6"/>
      <c r="P2396" s="6"/>
      <c r="Q2396" s="6"/>
      <c r="R2396" s="6"/>
      <c r="S2396" s="6"/>
      <c r="T2396" s="6"/>
      <c r="U2396" s="6"/>
      <c r="V2396" s="6"/>
      <c r="W2396" s="6"/>
      <c r="X2396" s="6"/>
      <c r="Y2396" s="6"/>
      <c r="Z2396" s="6"/>
    </row>
    <row r="2397" spans="1:26" ht="16.8" x14ac:dyDescent="0.45">
      <c r="A2397" s="6"/>
      <c r="B2397" s="7"/>
      <c r="C2397" s="6"/>
      <c r="D2397" s="6"/>
      <c r="E2397" s="6"/>
      <c r="F2397" s="6"/>
      <c r="G2397" s="6"/>
      <c r="H2397" s="6"/>
      <c r="I2397" s="6"/>
      <c r="J2397" s="6"/>
      <c r="K2397" s="6"/>
      <c r="L2397" s="6"/>
      <c r="M2397" s="6"/>
      <c r="N2397" s="6"/>
      <c r="O2397" s="6"/>
      <c r="P2397" s="6"/>
      <c r="Q2397" s="6"/>
      <c r="R2397" s="6"/>
      <c r="S2397" s="6"/>
      <c r="T2397" s="6"/>
      <c r="U2397" s="6"/>
      <c r="V2397" s="6"/>
      <c r="W2397" s="6"/>
      <c r="X2397" s="6"/>
      <c r="Y2397" s="6"/>
      <c r="Z2397" s="6"/>
    </row>
    <row r="2398" spans="1:26" ht="16.8" x14ac:dyDescent="0.45">
      <c r="A2398" s="6"/>
      <c r="B2398" s="7"/>
      <c r="C2398" s="6"/>
      <c r="D2398" s="6"/>
      <c r="E2398" s="6"/>
      <c r="F2398" s="6"/>
      <c r="G2398" s="6"/>
      <c r="H2398" s="6"/>
      <c r="I2398" s="6"/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</row>
    <row r="2399" spans="1:26" ht="16.8" x14ac:dyDescent="0.45">
      <c r="A2399" s="6"/>
      <c r="B2399" s="7"/>
      <c r="C2399" s="6"/>
      <c r="D2399" s="6"/>
      <c r="E2399" s="6"/>
      <c r="F2399" s="6"/>
      <c r="G2399" s="6"/>
      <c r="H2399" s="6"/>
      <c r="I2399" s="6"/>
      <c r="J2399" s="6"/>
      <c r="K2399" s="6"/>
      <c r="L2399" s="6"/>
      <c r="M2399" s="6"/>
      <c r="N2399" s="6"/>
      <c r="O2399" s="6"/>
      <c r="P2399" s="6"/>
      <c r="Q2399" s="6"/>
      <c r="R2399" s="6"/>
      <c r="S2399" s="6"/>
      <c r="T2399" s="6"/>
      <c r="U2399" s="6"/>
      <c r="V2399" s="6"/>
      <c r="W2399" s="6"/>
      <c r="X2399" s="6"/>
      <c r="Y2399" s="6"/>
      <c r="Z2399" s="6"/>
    </row>
    <row r="2400" spans="1:26" ht="16.8" x14ac:dyDescent="0.45">
      <c r="A2400" s="6"/>
      <c r="B2400" s="7"/>
      <c r="C2400" s="6"/>
      <c r="D2400" s="6"/>
      <c r="E2400" s="6"/>
      <c r="F2400" s="6"/>
      <c r="G2400" s="6"/>
      <c r="H2400" s="6"/>
      <c r="I2400" s="6"/>
      <c r="J2400" s="6"/>
      <c r="K2400" s="6"/>
      <c r="L2400" s="6"/>
      <c r="M2400" s="6"/>
      <c r="N2400" s="6"/>
      <c r="O2400" s="6"/>
      <c r="P2400" s="6"/>
      <c r="Q2400" s="6"/>
      <c r="R2400" s="6"/>
      <c r="S2400" s="6"/>
      <c r="T2400" s="6"/>
      <c r="U2400" s="6"/>
      <c r="V2400" s="6"/>
      <c r="W2400" s="6"/>
      <c r="X2400" s="6"/>
      <c r="Y2400" s="6"/>
      <c r="Z2400" s="6"/>
    </row>
    <row r="2401" spans="1:26" ht="16.8" x14ac:dyDescent="0.45">
      <c r="A2401" s="6"/>
      <c r="B2401" s="7"/>
      <c r="C2401" s="6"/>
      <c r="D2401" s="6"/>
      <c r="E2401" s="6"/>
      <c r="F2401" s="6"/>
      <c r="G2401" s="6"/>
      <c r="H2401" s="6"/>
      <c r="I2401" s="6"/>
      <c r="J2401" s="6"/>
      <c r="K2401" s="6"/>
      <c r="L2401" s="6"/>
      <c r="M2401" s="6"/>
      <c r="N2401" s="6"/>
      <c r="O2401" s="6"/>
      <c r="P2401" s="6"/>
      <c r="Q2401" s="6"/>
      <c r="R2401" s="6"/>
      <c r="S2401" s="6"/>
      <c r="T2401" s="6"/>
      <c r="U2401" s="6"/>
      <c r="V2401" s="6"/>
      <c r="W2401" s="6"/>
      <c r="X2401" s="6"/>
      <c r="Y2401" s="6"/>
      <c r="Z2401" s="6"/>
    </row>
    <row r="2402" spans="1:26" ht="16.8" x14ac:dyDescent="0.45">
      <c r="A2402" s="6"/>
      <c r="B2402" s="7"/>
      <c r="C2402" s="6"/>
      <c r="D2402" s="6"/>
      <c r="E2402" s="6"/>
      <c r="F2402" s="6"/>
      <c r="G2402" s="6"/>
      <c r="H2402" s="6"/>
      <c r="I2402" s="6"/>
      <c r="J2402" s="6"/>
      <c r="K2402" s="6"/>
      <c r="L2402" s="6"/>
      <c r="M2402" s="6"/>
      <c r="N2402" s="6"/>
      <c r="O2402" s="6"/>
      <c r="P2402" s="6"/>
      <c r="Q2402" s="6"/>
      <c r="R2402" s="6"/>
      <c r="S2402" s="6"/>
      <c r="T2402" s="6"/>
      <c r="U2402" s="6"/>
      <c r="V2402" s="6"/>
      <c r="W2402" s="6"/>
      <c r="X2402" s="6"/>
      <c r="Y2402" s="6"/>
      <c r="Z2402" s="6"/>
    </row>
    <row r="2403" spans="1:26" ht="16.8" x14ac:dyDescent="0.45">
      <c r="A2403" s="6"/>
      <c r="B2403" s="7"/>
      <c r="C2403" s="6"/>
      <c r="D2403" s="6"/>
      <c r="E2403" s="6"/>
      <c r="F2403" s="6"/>
      <c r="G2403" s="6"/>
      <c r="H2403" s="6"/>
      <c r="I2403" s="6"/>
      <c r="J2403" s="6"/>
      <c r="K2403" s="6"/>
      <c r="L2403" s="6"/>
      <c r="M2403" s="6"/>
      <c r="N2403" s="6"/>
      <c r="O2403" s="6"/>
      <c r="P2403" s="6"/>
      <c r="Q2403" s="6"/>
      <c r="R2403" s="6"/>
      <c r="S2403" s="6"/>
      <c r="T2403" s="6"/>
      <c r="U2403" s="6"/>
      <c r="V2403" s="6"/>
      <c r="W2403" s="6"/>
      <c r="X2403" s="6"/>
      <c r="Y2403" s="6"/>
      <c r="Z2403" s="6"/>
    </row>
    <row r="2404" spans="1:26" ht="16.8" x14ac:dyDescent="0.45">
      <c r="A2404" s="6"/>
      <c r="B2404" s="7"/>
      <c r="C2404" s="6"/>
      <c r="D2404" s="6"/>
      <c r="E2404" s="6"/>
      <c r="F2404" s="6"/>
      <c r="G2404" s="6"/>
      <c r="H2404" s="6"/>
      <c r="I2404" s="6"/>
      <c r="J2404" s="6"/>
      <c r="K2404" s="6"/>
      <c r="L2404" s="6"/>
      <c r="M2404" s="6"/>
      <c r="N2404" s="6"/>
      <c r="O2404" s="6"/>
      <c r="P2404" s="6"/>
      <c r="Q2404" s="6"/>
      <c r="R2404" s="6"/>
      <c r="S2404" s="6"/>
      <c r="T2404" s="6"/>
      <c r="U2404" s="6"/>
      <c r="V2404" s="6"/>
      <c r="W2404" s="6"/>
      <c r="X2404" s="6"/>
      <c r="Y2404" s="6"/>
      <c r="Z2404" s="6"/>
    </row>
    <row r="2405" spans="1:26" ht="16.8" x14ac:dyDescent="0.45">
      <c r="A2405" s="6"/>
      <c r="B2405" s="7"/>
      <c r="C2405" s="6"/>
      <c r="D2405" s="6"/>
      <c r="E2405" s="6"/>
      <c r="F2405" s="6"/>
      <c r="G2405" s="6"/>
      <c r="H2405" s="6"/>
      <c r="I2405" s="6"/>
      <c r="J2405" s="6"/>
      <c r="K2405" s="6"/>
      <c r="L2405" s="6"/>
      <c r="M2405" s="6"/>
      <c r="N2405" s="6"/>
      <c r="O2405" s="6"/>
      <c r="P2405" s="6"/>
      <c r="Q2405" s="6"/>
      <c r="R2405" s="6"/>
      <c r="S2405" s="6"/>
      <c r="T2405" s="6"/>
      <c r="U2405" s="6"/>
      <c r="V2405" s="6"/>
      <c r="W2405" s="6"/>
      <c r="X2405" s="6"/>
      <c r="Y2405" s="6"/>
      <c r="Z2405" s="6"/>
    </row>
    <row r="2406" spans="1:26" ht="16.8" x14ac:dyDescent="0.45">
      <c r="A2406" s="6"/>
      <c r="B2406" s="7"/>
      <c r="C2406" s="6"/>
      <c r="D2406" s="6"/>
      <c r="E2406" s="6"/>
      <c r="F2406" s="6"/>
      <c r="G2406" s="6"/>
      <c r="H2406" s="6"/>
      <c r="I2406" s="6"/>
      <c r="J2406" s="6"/>
      <c r="K2406" s="6"/>
      <c r="L2406" s="6"/>
      <c r="M2406" s="6"/>
      <c r="N2406" s="6"/>
      <c r="O2406" s="6"/>
      <c r="P2406" s="6"/>
      <c r="Q2406" s="6"/>
      <c r="R2406" s="6"/>
      <c r="S2406" s="6"/>
      <c r="T2406" s="6"/>
      <c r="U2406" s="6"/>
      <c r="V2406" s="6"/>
      <c r="W2406" s="6"/>
      <c r="X2406" s="6"/>
      <c r="Y2406" s="6"/>
      <c r="Z2406" s="6"/>
    </row>
    <row r="2407" spans="1:26" ht="16.8" x14ac:dyDescent="0.45">
      <c r="A2407" s="6"/>
      <c r="B2407" s="7"/>
      <c r="C2407" s="6"/>
      <c r="D2407" s="6"/>
      <c r="E2407" s="6"/>
      <c r="F2407" s="6"/>
      <c r="G2407" s="6"/>
      <c r="H2407" s="6"/>
      <c r="I2407" s="6"/>
      <c r="J2407" s="6"/>
      <c r="K2407" s="6"/>
      <c r="L2407" s="6"/>
      <c r="M2407" s="6"/>
      <c r="N2407" s="6"/>
      <c r="O2407" s="6"/>
      <c r="P2407" s="6"/>
      <c r="Q2407" s="6"/>
      <c r="R2407" s="6"/>
      <c r="S2407" s="6"/>
      <c r="T2407" s="6"/>
      <c r="U2407" s="6"/>
      <c r="V2407" s="6"/>
      <c r="W2407" s="6"/>
      <c r="X2407" s="6"/>
      <c r="Y2407" s="6"/>
      <c r="Z2407" s="6"/>
    </row>
    <row r="2408" spans="1:26" ht="16.8" x14ac:dyDescent="0.45">
      <c r="A2408" s="6"/>
      <c r="B2408" s="7"/>
      <c r="C2408" s="6"/>
      <c r="D2408" s="6"/>
      <c r="E2408" s="6"/>
      <c r="F2408" s="6"/>
      <c r="G2408" s="6"/>
      <c r="H2408" s="6"/>
      <c r="I2408" s="6"/>
      <c r="J2408" s="6"/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</row>
    <row r="2409" spans="1:26" ht="16.8" x14ac:dyDescent="0.45">
      <c r="A2409" s="6"/>
      <c r="B2409" s="7"/>
      <c r="C2409" s="6"/>
      <c r="D2409" s="6"/>
      <c r="E2409" s="6"/>
      <c r="F2409" s="6"/>
      <c r="G2409" s="6"/>
      <c r="H2409" s="6"/>
      <c r="I2409" s="6"/>
      <c r="J2409" s="6"/>
      <c r="K2409" s="6"/>
      <c r="L2409" s="6"/>
      <c r="M2409" s="6"/>
      <c r="N2409" s="6"/>
      <c r="O2409" s="6"/>
      <c r="P2409" s="6"/>
      <c r="Q2409" s="6"/>
      <c r="R2409" s="6"/>
      <c r="S2409" s="6"/>
      <c r="T2409" s="6"/>
      <c r="U2409" s="6"/>
      <c r="V2409" s="6"/>
      <c r="W2409" s="6"/>
      <c r="X2409" s="6"/>
      <c r="Y2409" s="6"/>
      <c r="Z2409" s="6"/>
    </row>
    <row r="2410" spans="1:26" ht="16.8" x14ac:dyDescent="0.45">
      <c r="A2410" s="6"/>
      <c r="B2410" s="7"/>
      <c r="C2410" s="6"/>
      <c r="D2410" s="6"/>
      <c r="E2410" s="6"/>
      <c r="F2410" s="6"/>
      <c r="G2410" s="6"/>
      <c r="H2410" s="6"/>
      <c r="I2410" s="6"/>
      <c r="J2410" s="6"/>
      <c r="K2410" s="6"/>
      <c r="L2410" s="6"/>
      <c r="M2410" s="6"/>
      <c r="N2410" s="6"/>
      <c r="O2410" s="6"/>
      <c r="P2410" s="6"/>
      <c r="Q2410" s="6"/>
      <c r="R2410" s="6"/>
      <c r="S2410" s="6"/>
      <c r="T2410" s="6"/>
      <c r="U2410" s="6"/>
      <c r="V2410" s="6"/>
      <c r="W2410" s="6"/>
      <c r="X2410" s="6"/>
      <c r="Y2410" s="6"/>
      <c r="Z2410" s="6"/>
    </row>
    <row r="2411" spans="1:26" ht="16.8" x14ac:dyDescent="0.45">
      <c r="A2411" s="6"/>
      <c r="B2411" s="7"/>
      <c r="C2411" s="6"/>
      <c r="D2411" s="6"/>
      <c r="E2411" s="6"/>
      <c r="F2411" s="6"/>
      <c r="G2411" s="6"/>
      <c r="H2411" s="6"/>
      <c r="I2411" s="6"/>
      <c r="J2411" s="6"/>
      <c r="K2411" s="6"/>
      <c r="L2411" s="6"/>
      <c r="M2411" s="6"/>
      <c r="N2411" s="6"/>
      <c r="O2411" s="6"/>
      <c r="P2411" s="6"/>
      <c r="Q2411" s="6"/>
      <c r="R2411" s="6"/>
      <c r="S2411" s="6"/>
      <c r="T2411" s="6"/>
      <c r="U2411" s="6"/>
      <c r="V2411" s="6"/>
      <c r="W2411" s="6"/>
      <c r="X2411" s="6"/>
      <c r="Y2411" s="6"/>
      <c r="Z2411" s="6"/>
    </row>
  </sheetData>
  <hyperlinks>
    <hyperlink ref="A1" r:id="rId1" xr:uid="{00000000-0004-0000-0C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Contents</vt:lpstr>
      <vt:lpstr>Dataset</vt:lpstr>
      <vt:lpstr>Select</vt:lpstr>
      <vt:lpstr>Where</vt:lpstr>
      <vt:lpstr>Null</vt:lpstr>
      <vt:lpstr>Agg</vt:lpstr>
      <vt:lpstr>Agg - Group</vt:lpstr>
      <vt:lpstr>Label</vt:lpstr>
      <vt:lpstr>Pivot</vt:lpstr>
      <vt:lpstr>Order By</vt:lpstr>
      <vt:lpstr>Dynamic Query</vt:lpstr>
      <vt:lpstr>Sheet3</vt:lpstr>
      <vt:lpstr>IMDB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wissara wongrattanapipat</cp:lastModifiedBy>
  <dcterms:modified xsi:type="dcterms:W3CDTF">2026-01-14T10:15:54Z</dcterms:modified>
</cp:coreProperties>
</file>