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fileSharing readOnlyRecommended="1"/>
  <workbookPr defaultThemeVersion="166925"/>
  <mc:AlternateContent xmlns:mc="http://schemas.openxmlformats.org/markup-compatibility/2006">
    <mc:Choice Requires="x15">
      <x15ac:absPath xmlns:x15ac="http://schemas.microsoft.com/office/spreadsheetml/2010/11/ac" url="C:\Users\yawar\Downloads\"/>
    </mc:Choice>
  </mc:AlternateContent>
  <xr:revisionPtr revIDLastSave="0" documentId="13_ncr:1_{7AF12A78-3E98-4569-8CFE-51623F8790ED}" xr6:coauthVersionLast="47" xr6:coauthVersionMax="47" xr10:uidLastSave="{00000000-0000-0000-0000-000000000000}"/>
  <bookViews>
    <workbookView xWindow="-108" yWindow="-108" windowWidth="23256" windowHeight="12456" xr2:uid="{9DF102DB-9ACE-488F-B90D-3060CD23093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1" i="1" l="1"/>
  <c r="E113" i="1"/>
  <c r="E97" i="1"/>
  <c r="F97" i="1" s="1"/>
  <c r="G97" i="1" s="1"/>
  <c r="M85" i="1"/>
  <c r="F15" i="1"/>
  <c r="H87" i="1"/>
  <c r="H84" i="1"/>
  <c r="F67" i="1"/>
  <c r="C64" i="1"/>
  <c r="G70" i="1" s="1"/>
  <c r="C60" i="1"/>
  <c r="G69" i="1" s="1"/>
  <c r="C72" i="1" s="1"/>
  <c r="C73" i="1"/>
  <c r="C70" i="1"/>
  <c r="D70" i="1" s="1"/>
  <c r="F16" i="1"/>
  <c r="J21" i="1"/>
  <c r="L21" i="1"/>
  <c r="K21" i="1"/>
  <c r="K23" i="1"/>
  <c r="J23" i="1"/>
  <c r="L22" i="1"/>
  <c r="J22" i="1"/>
  <c r="R7" i="1"/>
  <c r="R31" i="1" s="1"/>
  <c r="L8" i="1"/>
  <c r="N7" i="1"/>
  <c r="C10" i="1"/>
  <c r="C11" i="1" s="1"/>
  <c r="C8" i="1"/>
  <c r="C9" i="1" s="1"/>
  <c r="F7" i="1"/>
  <c r="C39" i="1" s="1"/>
  <c r="F6" i="1"/>
  <c r="C19" i="1" s="1"/>
  <c r="C25" i="1" s="1"/>
  <c r="F5" i="1"/>
  <c r="C17" i="1" s="1"/>
  <c r="N34" i="1" s="1"/>
  <c r="E99" i="1" l="1"/>
  <c r="E102" i="1" s="1"/>
  <c r="E117" i="1"/>
  <c r="T7" i="1"/>
  <c r="G73" i="1"/>
  <c r="E88" i="1"/>
  <c r="F88" i="1" s="1"/>
  <c r="G88" i="1" s="1"/>
  <c r="L84" i="1"/>
  <c r="E100" i="1"/>
  <c r="F100" i="1" s="1"/>
  <c r="C42" i="1"/>
  <c r="L82" i="1" s="1"/>
  <c r="E85" i="1"/>
  <c r="F85" i="1" s="1"/>
  <c r="G85" i="1" s="1"/>
  <c r="M82" i="1"/>
  <c r="K82" i="1"/>
  <c r="C71" i="1"/>
  <c r="E60" i="1"/>
  <c r="I21" i="1"/>
  <c r="I20" i="1"/>
  <c r="I22" i="1"/>
  <c r="R30" i="1"/>
  <c r="R29" i="1"/>
  <c r="R28" i="1"/>
  <c r="R34" i="1"/>
  <c r="R33" i="1"/>
  <c r="R32" i="1"/>
  <c r="Q31" i="1"/>
  <c r="AA7" i="1"/>
  <c r="W28" i="1"/>
  <c r="W33" i="1"/>
  <c r="W34" i="1"/>
  <c r="W32" i="1"/>
  <c r="W31" i="1"/>
  <c r="R16" i="1"/>
  <c r="W29" i="1"/>
  <c r="C24" i="1"/>
  <c r="E24" i="1" s="1"/>
  <c r="W30" i="1"/>
  <c r="N12" i="1"/>
  <c r="R15" i="1"/>
  <c r="R20" i="1"/>
  <c r="R13" i="1"/>
  <c r="R23" i="1"/>
  <c r="R12" i="1"/>
  <c r="R22" i="1"/>
  <c r="R11" i="1"/>
  <c r="R21" i="1"/>
  <c r="R10" i="1"/>
  <c r="R9" i="1"/>
  <c r="R27" i="1"/>
  <c r="R19" i="1"/>
  <c r="R26" i="1"/>
  <c r="R18" i="1"/>
  <c r="R8" i="1"/>
  <c r="R25" i="1"/>
  <c r="R17" i="1"/>
  <c r="R14" i="1"/>
  <c r="R24" i="1"/>
  <c r="N31" i="1"/>
  <c r="O31" i="1" s="1"/>
  <c r="N28" i="1"/>
  <c r="K11" i="1"/>
  <c r="M34" i="1"/>
  <c r="L13" i="1" s="1"/>
  <c r="N25" i="1"/>
  <c r="N18" i="1"/>
  <c r="N24" i="1"/>
  <c r="N17" i="1"/>
  <c r="N16" i="1"/>
  <c r="N27" i="1"/>
  <c r="N11" i="1"/>
  <c r="N19" i="1"/>
  <c r="N26" i="1"/>
  <c r="N10" i="1"/>
  <c r="N33" i="1"/>
  <c r="N23" i="1"/>
  <c r="N22" i="1"/>
  <c r="N14" i="1"/>
  <c r="N30" i="1"/>
  <c r="O30" i="1" s="1"/>
  <c r="N32" i="1"/>
  <c r="O32" i="1" s="1"/>
  <c r="N15" i="1"/>
  <c r="N9" i="1"/>
  <c r="N21" i="1"/>
  <c r="N13" i="1"/>
  <c r="N29" i="1"/>
  <c r="O29" i="1" s="1"/>
  <c r="N8" i="1"/>
  <c r="N20" i="1"/>
  <c r="C21" i="1"/>
  <c r="C22" i="1" s="1"/>
  <c r="C40" i="1"/>
  <c r="C32" i="1"/>
  <c r="C33" i="1"/>
  <c r="C35" i="1"/>
  <c r="C20" i="1"/>
  <c r="C36" i="1"/>
  <c r="C34" i="1"/>
  <c r="C29" i="1"/>
  <c r="C37" i="1"/>
  <c r="C30" i="1"/>
  <c r="C38" i="1"/>
  <c r="C31" i="1"/>
  <c r="T9" i="1" l="1"/>
  <c r="T26" i="1"/>
  <c r="T12" i="1"/>
  <c r="E101" i="1"/>
  <c r="E108" i="1" s="1"/>
  <c r="H106" i="1" s="1"/>
  <c r="T18" i="1"/>
  <c r="T23" i="1"/>
  <c r="T17" i="1"/>
  <c r="T11" i="1"/>
  <c r="T22" i="1"/>
  <c r="T15" i="1"/>
  <c r="T14" i="1"/>
  <c r="T19" i="1"/>
  <c r="T16" i="1"/>
  <c r="Q32" i="1"/>
  <c r="T32" i="1"/>
  <c r="T24" i="1"/>
  <c r="T27" i="1"/>
  <c r="T13" i="1"/>
  <c r="Q33" i="1"/>
  <c r="T33" i="1"/>
  <c r="L14" i="1"/>
  <c r="T8" i="1"/>
  <c r="T20" i="1"/>
  <c r="Q34" i="1"/>
  <c r="T34" i="1"/>
  <c r="T10" i="1"/>
  <c r="Q28" i="1"/>
  <c r="T28" i="1"/>
  <c r="Q30" i="1"/>
  <c r="T30" i="1"/>
  <c r="AA27" i="1"/>
  <c r="T25" i="1"/>
  <c r="T21" i="1"/>
  <c r="Q29" i="1"/>
  <c r="T29" i="1"/>
  <c r="T31" i="1"/>
  <c r="E103" i="1"/>
  <c r="F103" i="1" s="1"/>
  <c r="H90" i="1"/>
  <c r="C74" i="1"/>
  <c r="C75" i="1" s="1"/>
  <c r="G77" i="1"/>
  <c r="B77" i="1"/>
  <c r="F102" i="1"/>
  <c r="F99" i="1"/>
  <c r="W7" i="1"/>
  <c r="V28" i="1" s="1"/>
  <c r="L2" i="1"/>
  <c r="O28" i="1"/>
  <c r="M28" i="1"/>
  <c r="G90" i="1"/>
  <c r="AA12" i="1"/>
  <c r="AA26" i="1"/>
  <c r="AA17" i="1"/>
  <c r="M31" i="1"/>
  <c r="L31" i="1" s="1"/>
  <c r="AA13" i="1"/>
  <c r="AA33" i="1"/>
  <c r="AD33" i="1" s="1"/>
  <c r="AA30" i="1"/>
  <c r="AD30" i="1" s="1"/>
  <c r="AA29" i="1"/>
  <c r="AD29" i="1" s="1"/>
  <c r="AA28" i="1"/>
  <c r="AD28" i="1" s="1"/>
  <c r="AA32" i="1"/>
  <c r="AD32" i="1" s="1"/>
  <c r="AA31" i="1"/>
  <c r="AD31" i="1" s="1"/>
  <c r="AA34" i="1"/>
  <c r="AD34" i="1" s="1"/>
  <c r="AA24" i="1"/>
  <c r="AA10" i="1"/>
  <c r="AA20" i="1"/>
  <c r="AA21" i="1"/>
  <c r="AA9" i="1"/>
  <c r="AA18" i="1"/>
  <c r="AA25" i="1"/>
  <c r="AA19" i="1"/>
  <c r="AA11" i="1"/>
  <c r="AA8" i="1"/>
  <c r="AA16" i="1"/>
  <c r="AA14" i="1"/>
  <c r="AA15" i="1"/>
  <c r="AA22" i="1"/>
  <c r="AA23" i="1"/>
  <c r="X34" i="1"/>
  <c r="L34" i="1"/>
  <c r="M30" i="1"/>
  <c r="M33" i="1"/>
  <c r="O33" i="1"/>
  <c r="M32" i="1"/>
  <c r="M29" i="1"/>
  <c r="V34" i="1" l="1"/>
  <c r="AD7" i="1"/>
  <c r="W25" i="1"/>
  <c r="AD25" i="1" s="1"/>
  <c r="X33" i="1"/>
  <c r="V29" i="1"/>
  <c r="W11" i="1"/>
  <c r="AD11" i="1" s="1"/>
  <c r="W18" i="1"/>
  <c r="AD18" i="1" s="1"/>
  <c r="W10" i="1"/>
  <c r="AD10" i="1" s="1"/>
  <c r="W14" i="1"/>
  <c r="AD14" i="1" s="1"/>
  <c r="W21" i="1"/>
  <c r="AD21" i="1" s="1"/>
  <c r="W23" i="1"/>
  <c r="AD23" i="1" s="1"/>
  <c r="W12" i="1"/>
  <c r="AD12" i="1" s="1"/>
  <c r="V31" i="1"/>
  <c r="X31" i="1"/>
  <c r="W8" i="1"/>
  <c r="AD8" i="1" s="1"/>
  <c r="V32" i="1"/>
  <c r="V33" i="1"/>
  <c r="W27" i="1"/>
  <c r="AD27" i="1" s="1"/>
  <c r="W15" i="1"/>
  <c r="AD15" i="1" s="1"/>
  <c r="V30" i="1"/>
  <c r="W9" i="1"/>
  <c r="AD9" i="1" s="1"/>
  <c r="W17" i="1"/>
  <c r="AD17" i="1" s="1"/>
  <c r="X30" i="1"/>
  <c r="W16" i="1"/>
  <c r="AD16" i="1" s="1"/>
  <c r="X29" i="1"/>
  <c r="W19" i="1"/>
  <c r="AD19" i="1" s="1"/>
  <c r="W13" i="1"/>
  <c r="AD13" i="1" s="1"/>
  <c r="W26" i="1"/>
  <c r="AD26" i="1" s="1"/>
  <c r="X32" i="1"/>
  <c r="W20" i="1"/>
  <c r="AD20" i="1" s="1"/>
  <c r="W24" i="1"/>
  <c r="AD24" i="1" s="1"/>
  <c r="W22" i="1"/>
  <c r="AD22" i="1" s="1"/>
  <c r="AB29" i="1"/>
  <c r="Z29" i="1"/>
  <c r="AC29" i="1" s="1"/>
  <c r="AB33" i="1"/>
  <c r="Z33" i="1"/>
  <c r="AC33" i="1" s="1"/>
  <c r="AB34" i="1"/>
  <c r="Z34" i="1"/>
  <c r="AC34" i="1" s="1"/>
  <c r="AB31" i="1"/>
  <c r="Z31" i="1"/>
  <c r="AC31" i="1" s="1"/>
  <c r="AB28" i="1"/>
  <c r="Z28" i="1"/>
  <c r="AC28" i="1" s="1"/>
  <c r="AB30" i="1"/>
  <c r="Z30" i="1"/>
  <c r="AC30" i="1" s="1"/>
  <c r="AB32" i="1"/>
  <c r="Z32" i="1"/>
  <c r="AC32" i="1" s="1"/>
  <c r="L28" i="1"/>
  <c r="L33" i="1"/>
  <c r="L32" i="1"/>
  <c r="L30" i="1"/>
  <c r="L29" i="1"/>
  <c r="X28" i="1"/>
  <c r="E91" i="1"/>
  <c r="E92" i="1" s="1"/>
  <c r="F91" i="1" l="1"/>
  <c r="G91" i="1" s="1"/>
  <c r="E93" i="1"/>
</calcChain>
</file>

<file path=xl/sharedStrings.xml><?xml version="1.0" encoding="utf-8"?>
<sst xmlns="http://schemas.openxmlformats.org/spreadsheetml/2006/main" count="186" uniqueCount="138">
  <si>
    <t>C</t>
  </si>
  <si>
    <t>C value</t>
  </si>
  <si>
    <t>V unit</t>
  </si>
  <si>
    <t>ESR</t>
  </si>
  <si>
    <t>Ns</t>
  </si>
  <si>
    <t>Np</t>
  </si>
  <si>
    <t>Bank Voltage</t>
  </si>
  <si>
    <t>Bank ESR</t>
  </si>
  <si>
    <t>Bank C</t>
  </si>
  <si>
    <t>V</t>
  </si>
  <si>
    <t>V string</t>
  </si>
  <si>
    <t>C string</t>
  </si>
  <si>
    <t>F</t>
  </si>
  <si>
    <t>Ohm</t>
  </si>
  <si>
    <t>(Number of strings)</t>
  </si>
  <si>
    <t>(Number of units in a string)</t>
  </si>
  <si>
    <t>ESR string</t>
  </si>
  <si>
    <t>Energy</t>
  </si>
  <si>
    <t>Joules (Ws)</t>
  </si>
  <si>
    <t>Watt-hour</t>
  </si>
  <si>
    <t>Energy Bank</t>
  </si>
  <si>
    <t>Internal Loss in ESR</t>
  </si>
  <si>
    <t>Self Time Constant</t>
  </si>
  <si>
    <t>5T_s</t>
  </si>
  <si>
    <t>s</t>
  </si>
  <si>
    <t>Self Time constant</t>
  </si>
  <si>
    <t xml:space="preserve"> Zl or Rl</t>
  </si>
  <si>
    <t>5*Time Constant</t>
  </si>
  <si>
    <t>min</t>
  </si>
  <si>
    <t>hours</t>
  </si>
  <si>
    <t>Internal</t>
  </si>
  <si>
    <t>T</t>
  </si>
  <si>
    <t>I</t>
  </si>
  <si>
    <t>Charge</t>
  </si>
  <si>
    <t>Discharge</t>
  </si>
  <si>
    <t>exp</t>
  </si>
  <si>
    <t>Charging V</t>
  </si>
  <si>
    <t>Vmax</t>
  </si>
  <si>
    <t>minutes to charge</t>
  </si>
  <si>
    <t>I (A)</t>
  </si>
  <si>
    <r>
      <t xml:space="preserve">Max V </t>
    </r>
    <r>
      <rPr>
        <i/>
        <sz val="11"/>
        <color theme="1"/>
        <rFont val="Calibri"/>
        <family val="2"/>
        <scheme val="minor"/>
      </rPr>
      <t>(Ref)</t>
    </r>
  </si>
  <si>
    <t>charge level</t>
  </si>
  <si>
    <t>Current Level</t>
  </si>
  <si>
    <t>charging time -reverse calculation</t>
  </si>
  <si>
    <t>minutes</t>
  </si>
  <si>
    <t>T (Seconds)</t>
  </si>
  <si>
    <t>5*T_s</t>
  </si>
  <si>
    <t>CHARGING</t>
  </si>
  <si>
    <t>DISCHARGING</t>
  </si>
  <si>
    <t>Time Converter</t>
  </si>
  <si>
    <t>Second</t>
  </si>
  <si>
    <t>Hour</t>
  </si>
  <si>
    <t>Minute</t>
  </si>
  <si>
    <t>-</t>
  </si>
  <si>
    <t>Cost Calculator</t>
  </si>
  <si>
    <t>Unit price</t>
  </si>
  <si>
    <t>E required</t>
  </si>
  <si>
    <t>V required</t>
  </si>
  <si>
    <t>Configuration calculator</t>
  </si>
  <si>
    <t>Unit V</t>
  </si>
  <si>
    <t>Volts</t>
  </si>
  <si>
    <t>Joules</t>
  </si>
  <si>
    <t>Units</t>
  </si>
  <si>
    <t>Unit C</t>
  </si>
  <si>
    <t>Farads</t>
  </si>
  <si>
    <t>Unit cost</t>
  </si>
  <si>
    <t>Total Cost</t>
  </si>
  <si>
    <t>Total number</t>
  </si>
  <si>
    <t>Np (strings)</t>
  </si>
  <si>
    <t>C bank</t>
  </si>
  <si>
    <t>C required</t>
  </si>
  <si>
    <t>kJoules</t>
  </si>
  <si>
    <t>E single capacitor unit</t>
  </si>
  <si>
    <t>Total number of capacitors</t>
  </si>
  <si>
    <t>Cost</t>
  </si>
  <si>
    <t>Cost/unit</t>
  </si>
  <si>
    <t>Input</t>
  </si>
  <si>
    <t>Output</t>
  </si>
  <si>
    <t>E</t>
  </si>
  <si>
    <t>Calculate for input         'E' or 'C'</t>
  </si>
  <si>
    <t>Time to Voltage Calculator</t>
  </si>
  <si>
    <t>Time to Energy</t>
  </si>
  <si>
    <t>Time to Current</t>
  </si>
  <si>
    <t>t</t>
  </si>
  <si>
    <t>V,s</t>
  </si>
  <si>
    <t>Initial V</t>
  </si>
  <si>
    <t>Initial A</t>
  </si>
  <si>
    <t>Current @ te ,amps</t>
  </si>
  <si>
    <t>Voltage @ te ,volts</t>
  </si>
  <si>
    <t>Reference values copied</t>
  </si>
  <si>
    <t>Imax</t>
  </si>
  <si>
    <t>amperes</t>
  </si>
  <si>
    <t>Cbank (F)</t>
  </si>
  <si>
    <t>Ibank (Amp)</t>
  </si>
  <si>
    <t>Vbank (Volt)</t>
  </si>
  <si>
    <t>Capacitor bank calculator</t>
  </si>
  <si>
    <t>OUTPUT</t>
  </si>
  <si>
    <t>L11</t>
  </si>
  <si>
    <t>Time search</t>
  </si>
  <si>
    <t>V(t)</t>
  </si>
  <si>
    <t>I(t)</t>
  </si>
  <si>
    <t>E(t)</t>
  </si>
  <si>
    <t>seconds</t>
  </si>
  <si>
    <t>t [ts+tm+th]</t>
  </si>
  <si>
    <t>Energy bank =</t>
  </si>
  <si>
    <t>time to Max V in sec</t>
  </si>
  <si>
    <t>DO NOT CHANGE</t>
  </si>
  <si>
    <t>V, I, ESR bank Capacity Calculation</t>
  </si>
  <si>
    <t>Current (single point)</t>
  </si>
  <si>
    <t>C_Bank total Price</t>
  </si>
  <si>
    <t>total cap units</t>
  </si>
  <si>
    <t>Emax actual</t>
  </si>
  <si>
    <t xml:space="preserve">Calculate time for specific values of V, I and E from main table | DISCHARGE ONLY </t>
  </si>
  <si>
    <t>Config</t>
  </si>
  <si>
    <t>Wchar</t>
  </si>
  <si>
    <t>Wdisch</t>
  </si>
  <si>
    <t>5*T</t>
  </si>
  <si>
    <t>P(t)</t>
  </si>
  <si>
    <t>If using a converter to regulate output</t>
  </si>
  <si>
    <t>conv. Efficiency</t>
  </si>
  <si>
    <t>Pout</t>
  </si>
  <si>
    <t>Threshold indicator</t>
  </si>
  <si>
    <t>watts</t>
  </si>
  <si>
    <t>Power reverse time search</t>
  </si>
  <si>
    <t>Pin</t>
  </si>
  <si>
    <t>for Pout</t>
  </si>
  <si>
    <t>I out</t>
  </si>
  <si>
    <t>V out</t>
  </si>
  <si>
    <t>volts</t>
  </si>
  <si>
    <t>use V and I values in above reverse time search</t>
  </si>
  <si>
    <t>Does not Work Properly</t>
  </si>
  <si>
    <t>Ohm (Load)</t>
  </si>
  <si>
    <t>failure condition Pout &lt; Pthreshold</t>
  </si>
  <si>
    <t>Charge-Discharge Curves (DO NOT EDIT)</t>
  </si>
  <si>
    <t>DO NOT EDIT</t>
  </si>
  <si>
    <t xml:space="preserve">ESR Loss in Watts </t>
  </si>
  <si>
    <t>THESE VALUES ARE EXPONENTIAL ONLY, IF USING A REGULATOR , THIS DOES NOT HOLD</t>
  </si>
  <si>
    <t>inr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</si>
</sst>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00"/>
  </numFmts>
  <fonts count="38" x14ac:knownFonts="1">
    <font>
      <sz val="11"/>
      <color theme="1"/>
      <name val="Calibri"/>
      <family val="2"/>
      <scheme val="minor"/>
    </font>
    <font>
      <sz val="11"/>
      <color theme="1"/>
      <name val="Calibri"/>
      <family val="2"/>
      <scheme val="minor"/>
    </font>
    <font>
      <b/>
      <sz val="15"/>
      <color theme="3"/>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b/>
      <sz val="11"/>
      <color theme="1"/>
      <name val="Calibri"/>
      <family val="2"/>
      <scheme val="minor"/>
    </font>
    <font>
      <sz val="14"/>
      <color theme="1"/>
      <name val="Calibri"/>
      <family val="2"/>
      <scheme val="minor"/>
    </font>
    <font>
      <sz val="20"/>
      <color theme="1"/>
      <name val="Calibri"/>
      <family val="2"/>
      <scheme val="minor"/>
    </font>
    <font>
      <sz val="11"/>
      <color theme="9" tint="-0.499984740745262"/>
      <name val="Calibri"/>
      <family val="2"/>
      <scheme val="minor"/>
    </font>
    <font>
      <sz val="11"/>
      <color theme="3" tint="-0.249977111117893"/>
      <name val="Calibri"/>
      <family val="2"/>
      <scheme val="minor"/>
    </font>
    <font>
      <b/>
      <sz val="14"/>
      <color theme="1"/>
      <name val="Calibri"/>
      <family val="2"/>
      <scheme val="minor"/>
    </font>
    <font>
      <b/>
      <i/>
      <sz val="11"/>
      <color theme="9" tint="-0.499984740745262"/>
      <name val="Calibri"/>
      <family val="2"/>
      <scheme val="minor"/>
    </font>
    <font>
      <i/>
      <sz val="11"/>
      <color theme="1"/>
      <name val="Calibri"/>
      <family val="2"/>
      <scheme val="minor"/>
    </font>
    <font>
      <i/>
      <u/>
      <sz val="11"/>
      <color theme="1"/>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8"/>
      <color theme="1"/>
      <name val="Calibri"/>
      <family val="2"/>
      <scheme val="minor"/>
    </font>
    <font>
      <sz val="24"/>
      <color theme="1"/>
      <name val="Calibri"/>
      <family val="2"/>
      <scheme val="minor"/>
    </font>
    <font>
      <i/>
      <sz val="11"/>
      <color theme="1"/>
      <name val="Adobe Heiti Std R"/>
      <family val="2"/>
      <charset val="128"/>
    </font>
    <font>
      <b/>
      <sz val="20"/>
      <color rgb="FFFA7D00"/>
      <name val="Calibri"/>
      <family val="2"/>
      <scheme val="minor"/>
    </font>
    <font>
      <b/>
      <sz val="28"/>
      <color theme="3"/>
      <name val="Calibri"/>
      <family val="2"/>
      <scheme val="minor"/>
    </font>
    <font>
      <i/>
      <sz val="9"/>
      <color theme="1"/>
      <name val="Calibri"/>
      <family val="2"/>
      <scheme val="minor"/>
    </font>
    <font>
      <u/>
      <sz val="11"/>
      <color theme="1"/>
      <name val="Calibri"/>
      <family val="2"/>
      <scheme val="minor"/>
    </font>
    <font>
      <i/>
      <sz val="14"/>
      <color theme="1"/>
      <name val="Adobe Ming Std L"/>
      <family val="1"/>
      <charset val="128"/>
    </font>
    <font>
      <sz val="72"/>
      <color theme="1"/>
      <name val="Calibri"/>
      <family val="2"/>
      <scheme val="minor"/>
    </font>
    <font>
      <b/>
      <sz val="26"/>
      <color theme="1"/>
      <name val="Calibri"/>
      <family val="2"/>
      <scheme val="minor"/>
    </font>
    <font>
      <b/>
      <i/>
      <sz val="12"/>
      <color theme="1"/>
      <name val="Calibri"/>
      <family val="2"/>
      <scheme val="minor"/>
    </font>
    <font>
      <b/>
      <i/>
      <sz val="22"/>
      <color theme="1"/>
      <name val="Calibri"/>
      <family val="2"/>
      <scheme val="minor"/>
    </font>
    <font>
      <b/>
      <sz val="12"/>
      <color theme="1"/>
      <name val="Artifakt Element Medium"/>
      <family val="2"/>
    </font>
    <font>
      <sz val="11"/>
      <color rgb="FFFF0000"/>
      <name val="Calibri"/>
      <family val="2"/>
      <scheme val="minor"/>
    </font>
    <font>
      <i/>
      <sz val="14"/>
      <color theme="1"/>
      <name val="Times New Roman"/>
      <family val="1"/>
    </font>
    <font>
      <sz val="16"/>
      <color theme="1"/>
      <name val="Calibri"/>
      <family val="2"/>
      <scheme val="minor"/>
    </font>
    <font>
      <sz val="22"/>
      <color theme="1"/>
      <name val="Calibri"/>
      <family val="2"/>
      <scheme val="minor"/>
    </font>
    <font>
      <sz val="48"/>
      <color theme="1"/>
      <name val="Calibri"/>
      <family val="2"/>
      <scheme val="minor"/>
    </font>
    <font>
      <b/>
      <i/>
      <sz val="16"/>
      <color theme="1"/>
      <name val="Calibri"/>
      <family val="2"/>
      <scheme val="minor"/>
    </font>
  </fonts>
  <fills count="20">
    <fill>
      <patternFill patternType="none"/>
    </fill>
    <fill>
      <patternFill patternType="gray125"/>
    </fill>
    <fill>
      <patternFill patternType="solid">
        <fgColor rgb="FFF2F2F2"/>
      </patternFill>
    </fill>
    <fill>
      <patternFill patternType="solid">
        <fgColor theme="8" tint="0.79998168889431442"/>
        <bgColor indexed="65"/>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0070C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2"/>
        <bgColor indexed="64"/>
      </patternFill>
    </fill>
    <fill>
      <patternFill patternType="solid">
        <fgColor theme="8" tint="0.79998168889431442"/>
        <bgColor indexed="64"/>
      </patternFill>
    </fill>
    <fill>
      <patternFill patternType="solid">
        <fgColor rgb="FF92D050"/>
        <bgColor indexed="64"/>
      </patternFill>
    </fill>
    <fill>
      <patternFill patternType="solid">
        <fgColor rgb="FF66FFFF"/>
        <bgColor indexed="64"/>
      </patternFill>
    </fill>
  </fills>
  <borders count="7">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top/>
      <bottom/>
      <diagonal/>
    </border>
    <border>
      <left/>
      <right style="thin">
        <color rgb="FF7F7F7F"/>
      </right>
      <top/>
      <bottom/>
      <diagonal/>
    </border>
  </borders>
  <cellStyleXfs count="9">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3" applyNumberFormat="0" applyAlignment="0" applyProtection="0"/>
    <xf numFmtId="0" fontId="4" fillId="2" borderId="2" applyNumberFormat="0" applyAlignment="0" applyProtection="0"/>
    <xf numFmtId="0" fontId="5" fillId="0" borderId="4" applyNumberFormat="0" applyFill="0" applyAlignment="0" applyProtection="0"/>
    <xf numFmtId="0" fontId="6" fillId="0" borderId="0" applyNumberFormat="0" applyFill="0" applyBorder="0" applyAlignment="0" applyProtection="0"/>
    <xf numFmtId="0" fontId="1" fillId="3" borderId="0" applyNumberFormat="0" applyBorder="0" applyAlignment="0" applyProtection="0"/>
    <xf numFmtId="44" fontId="1" fillId="0" borderId="0" applyFont="0" applyFill="0" applyBorder="0" applyAlignment="0" applyProtection="0"/>
  </cellStyleXfs>
  <cellXfs count="103">
    <xf numFmtId="0" fontId="0" fillId="0" borderId="0" xfId="0"/>
    <xf numFmtId="0" fontId="0" fillId="0" borderId="0" xfId="0" applyAlignment="1">
      <alignment horizontal="center"/>
    </xf>
    <xf numFmtId="11" fontId="0" fillId="0" borderId="0" xfId="0" applyNumberFormat="1"/>
    <xf numFmtId="0" fontId="0" fillId="0" borderId="0" xfId="0" applyAlignment="1">
      <alignment wrapText="1"/>
    </xf>
    <xf numFmtId="0" fontId="0" fillId="0" borderId="0" xfId="0" applyAlignment="1">
      <alignment horizontal="center" vertical="center"/>
    </xf>
    <xf numFmtId="0" fontId="10" fillId="4" borderId="0" xfId="0" applyFont="1" applyFill="1" applyAlignment="1">
      <alignment horizontal="center" vertical="center"/>
    </xf>
    <xf numFmtId="0" fontId="11" fillId="0" borderId="0" xfId="0" applyFont="1"/>
    <xf numFmtId="0" fontId="11" fillId="0" borderId="0" xfId="0" applyFont="1" applyAlignment="1">
      <alignment wrapText="1"/>
    </xf>
    <xf numFmtId="0" fontId="10" fillId="6" borderId="0" xfId="0" applyFont="1" applyFill="1" applyAlignment="1">
      <alignment horizontal="center" vertical="center"/>
    </xf>
    <xf numFmtId="0" fontId="0" fillId="6" borderId="0" xfId="0" applyFill="1"/>
    <xf numFmtId="0" fontId="12" fillId="6" borderId="0" xfId="0" applyFont="1" applyFill="1"/>
    <xf numFmtId="11" fontId="12" fillId="6" borderId="0" xfId="0" applyNumberFormat="1" applyFont="1" applyFill="1"/>
    <xf numFmtId="0" fontId="13" fillId="6" borderId="0" xfId="0" applyFont="1" applyFill="1" applyAlignment="1">
      <alignment horizontal="center" vertical="center"/>
    </xf>
    <xf numFmtId="2" fontId="12" fillId="6" borderId="0" xfId="0" applyNumberFormat="1" applyFont="1" applyFill="1"/>
    <xf numFmtId="2" fontId="0" fillId="0" borderId="0" xfId="0" applyNumberFormat="1"/>
    <xf numFmtId="11" fontId="0" fillId="6" borderId="0" xfId="0" applyNumberFormat="1" applyFill="1"/>
    <xf numFmtId="0" fontId="15" fillId="0" borderId="0" xfId="0" applyFont="1"/>
    <xf numFmtId="11" fontId="15" fillId="0" borderId="0" xfId="0" applyNumberFormat="1" applyFont="1"/>
    <xf numFmtId="0" fontId="0" fillId="0" borderId="0" xfId="0" applyAlignment="1">
      <alignment horizontal="center" vertical="top"/>
    </xf>
    <xf numFmtId="0" fontId="7" fillId="0" borderId="0" xfId="0" applyFont="1"/>
    <xf numFmtId="0" fontId="7" fillId="8" borderId="0" xfId="0" applyFont="1" applyFill="1"/>
    <xf numFmtId="9" fontId="0" fillId="0" borderId="0" xfId="1" applyFont="1"/>
    <xf numFmtId="0" fontId="0" fillId="11" borderId="0" xfId="0" applyFill="1"/>
    <xf numFmtId="9" fontId="0" fillId="11" borderId="0" xfId="1" applyFont="1" applyFill="1"/>
    <xf numFmtId="0" fontId="0" fillId="5" borderId="0" xfId="0" applyFill="1" applyAlignment="1">
      <alignment wrapText="1"/>
    </xf>
    <xf numFmtId="2" fontId="0" fillId="5" borderId="0" xfId="0" applyNumberFormat="1" applyFill="1"/>
    <xf numFmtId="0" fontId="16" fillId="12" borderId="0" xfId="0" applyFont="1" applyFill="1"/>
    <xf numFmtId="9" fontId="16" fillId="12" borderId="0" xfId="1" applyFont="1" applyFill="1"/>
    <xf numFmtId="0" fontId="0" fillId="13" borderId="0" xfId="0" applyFill="1" applyAlignment="1">
      <alignment horizontal="center" vertical="top"/>
    </xf>
    <xf numFmtId="0" fontId="0" fillId="13" borderId="0" xfId="0" applyFill="1" applyAlignment="1">
      <alignment horizontal="center"/>
    </xf>
    <xf numFmtId="0" fontId="9" fillId="0" borderId="0" xfId="0" applyFont="1" applyAlignment="1">
      <alignment horizontal="center" wrapText="1"/>
    </xf>
    <xf numFmtId="0" fontId="2" fillId="0" borderId="1" xfId="2" applyAlignment="1">
      <alignment horizontal="center" vertical="center"/>
    </xf>
    <xf numFmtId="0" fontId="2" fillId="0" borderId="1" xfId="2" applyAlignment="1">
      <alignment horizontal="center"/>
    </xf>
    <xf numFmtId="0" fontId="1" fillId="3" borderId="0" xfId="7"/>
    <xf numFmtId="0" fontId="1" fillId="3" borderId="1" xfId="7" applyBorder="1" applyAlignment="1">
      <alignment horizontal="center"/>
    </xf>
    <xf numFmtId="0" fontId="3" fillId="2" borderId="3" xfId="3"/>
    <xf numFmtId="0" fontId="3" fillId="2" borderId="3" xfId="3" applyNumberFormat="1" applyAlignment="1">
      <alignment horizontal="center" vertical="center"/>
    </xf>
    <xf numFmtId="0" fontId="6" fillId="16" borderId="0" xfId="6" applyFill="1"/>
    <xf numFmtId="164" fontId="0" fillId="0" borderId="0" xfId="0" applyNumberFormat="1"/>
    <xf numFmtId="0" fontId="4" fillId="2" borderId="2" xfId="4"/>
    <xf numFmtId="0" fontId="2" fillId="0" borderId="1" xfId="2"/>
    <xf numFmtId="0" fontId="2" fillId="0" borderId="0" xfId="2" applyFill="1" applyBorder="1"/>
    <xf numFmtId="0" fontId="5" fillId="0" borderId="4" xfId="5"/>
    <xf numFmtId="0" fontId="19" fillId="0" borderId="0" xfId="0" applyFont="1"/>
    <xf numFmtId="0" fontId="18" fillId="0" borderId="0" xfId="0" applyFont="1" applyAlignment="1">
      <alignment horizontal="center"/>
    </xf>
    <xf numFmtId="0" fontId="22" fillId="2" borderId="2" xfId="4" applyFont="1" applyAlignment="1">
      <alignment horizontal="center" vertical="center"/>
    </xf>
    <xf numFmtId="0" fontId="0" fillId="0" borderId="0" xfId="0" applyAlignment="1">
      <alignment horizontal="left"/>
    </xf>
    <xf numFmtId="0" fontId="15" fillId="0" borderId="0" xfId="0" applyFont="1" applyAlignment="1">
      <alignment horizontal="right"/>
    </xf>
    <xf numFmtId="0" fontId="15" fillId="0" borderId="0" xfId="0" applyFont="1" applyAlignment="1">
      <alignment horizontal="center"/>
    </xf>
    <xf numFmtId="0" fontId="23" fillId="17" borderId="1" xfId="2" applyFont="1" applyFill="1" applyAlignment="1">
      <alignment horizontal="center" vertical="center"/>
    </xf>
    <xf numFmtId="0" fontId="12" fillId="18" borderId="0" xfId="0" applyFont="1" applyFill="1" applyAlignment="1">
      <alignment horizontal="center" vertical="center"/>
    </xf>
    <xf numFmtId="0" fontId="12" fillId="12" borderId="0" xfId="0" applyFont="1" applyFill="1" applyAlignment="1">
      <alignment horizontal="center" vertical="center"/>
    </xf>
    <xf numFmtId="0" fontId="17" fillId="0" borderId="0" xfId="0" applyFont="1" applyAlignment="1">
      <alignment horizontal="center" vertical="center"/>
    </xf>
    <xf numFmtId="0" fontId="24" fillId="0" borderId="0" xfId="0" applyFont="1" applyAlignment="1">
      <alignment horizontal="center"/>
    </xf>
    <xf numFmtId="2" fontId="24" fillId="0" borderId="0" xfId="0" applyNumberFormat="1" applyFont="1" applyAlignment="1">
      <alignment horizontal="center"/>
    </xf>
    <xf numFmtId="0" fontId="7" fillId="12" borderId="0" xfId="0" applyFont="1" applyFill="1" applyAlignment="1">
      <alignment horizontal="center"/>
    </xf>
    <xf numFmtId="2" fontId="8" fillId="6" borderId="0" xfId="0" applyNumberFormat="1" applyFont="1" applyFill="1"/>
    <xf numFmtId="2" fontId="12" fillId="6" borderId="0" xfId="0" applyNumberFormat="1" applyFont="1" applyFill="1" applyAlignment="1">
      <alignment horizontal="center" vertical="center"/>
    </xf>
    <xf numFmtId="0" fontId="25" fillId="0" borderId="0" xfId="0" applyFont="1" applyAlignment="1">
      <alignment horizontal="center" vertical="center"/>
    </xf>
    <xf numFmtId="2" fontId="26" fillId="0" borderId="0" xfId="0" applyNumberFormat="1" applyFont="1"/>
    <xf numFmtId="0" fontId="27" fillId="0" borderId="0" xfId="0" applyFont="1" applyAlignment="1">
      <alignment horizontal="center" wrapText="1"/>
    </xf>
    <xf numFmtId="0" fontId="0" fillId="19" borderId="0" xfId="0" applyFill="1"/>
    <xf numFmtId="0" fontId="20" fillId="0" borderId="0" xfId="0" applyFont="1" applyAlignment="1">
      <alignment horizontal="center" vertical="center"/>
    </xf>
    <xf numFmtId="0" fontId="0" fillId="14" borderId="0" xfId="0" applyFill="1"/>
    <xf numFmtId="0" fontId="14" fillId="0" borderId="0" xfId="0" applyFont="1" applyAlignment="1">
      <alignment wrapText="1"/>
    </xf>
    <xf numFmtId="0" fontId="31" fillId="0" borderId="0" xfId="0" applyFont="1" applyAlignment="1">
      <alignment horizontal="center" vertical="center"/>
    </xf>
    <xf numFmtId="0" fontId="14" fillId="0" borderId="0" xfId="0" applyFont="1"/>
    <xf numFmtId="0" fontId="7" fillId="0" borderId="0" xfId="0" applyFont="1" applyAlignment="1">
      <alignment horizontal="center" vertical="center" textRotation="255"/>
    </xf>
    <xf numFmtId="0" fontId="34" fillId="0" borderId="0" xfId="0" applyFont="1" applyAlignment="1">
      <alignment horizontal="center" vertical="center"/>
    </xf>
    <xf numFmtId="0" fontId="36" fillId="0" borderId="0" xfId="0" applyFont="1" applyAlignment="1">
      <alignment horizontal="center" vertical="center"/>
    </xf>
    <xf numFmtId="0" fontId="8" fillId="0" borderId="0" xfId="0" applyFont="1"/>
    <xf numFmtId="0" fontId="37" fillId="0" borderId="0" xfId="0" applyFont="1" applyAlignment="1">
      <alignment horizontal="center" vertical="center"/>
    </xf>
    <xf numFmtId="0" fontId="37" fillId="0" borderId="0" xfId="0" applyFont="1"/>
    <xf numFmtId="164" fontId="0" fillId="0" borderId="0" xfId="0" applyNumberFormat="1" applyAlignment="1">
      <alignment horizontal="center" vertical="center"/>
    </xf>
    <xf numFmtId="0" fontId="33" fillId="0" borderId="0" xfId="0" applyFont="1" applyAlignment="1">
      <alignment horizontal="center" vertical="center" wrapText="1"/>
    </xf>
    <xf numFmtId="0" fontId="0" fillId="0" borderId="0" xfId="0" applyAlignment="1">
      <alignment horizontal="right"/>
    </xf>
    <xf numFmtId="0" fontId="32" fillId="0" borderId="0" xfId="0" applyFont="1"/>
    <xf numFmtId="0" fontId="30" fillId="9" borderId="0" xfId="0" applyFont="1" applyFill="1" applyAlignment="1">
      <alignment horizontal="center"/>
    </xf>
    <xf numFmtId="0" fontId="21" fillId="0" borderId="0" xfId="0" applyFont="1" applyAlignment="1">
      <alignment horizontal="center"/>
    </xf>
    <xf numFmtId="0" fontId="0" fillId="0" borderId="0" xfId="0" applyAlignment="1">
      <alignment horizontal="center" wrapText="1"/>
    </xf>
    <xf numFmtId="0" fontId="12" fillId="18" borderId="0" xfId="0" applyFont="1" applyFill="1" applyAlignment="1">
      <alignment horizontal="center" vertical="center"/>
    </xf>
    <xf numFmtId="0" fontId="18" fillId="0" borderId="0" xfId="0" applyFont="1" applyAlignment="1">
      <alignment horizontal="center"/>
    </xf>
    <xf numFmtId="0" fontId="19" fillId="19" borderId="0" xfId="0" applyFont="1" applyFill="1" applyAlignment="1">
      <alignment horizontal="center"/>
    </xf>
    <xf numFmtId="0" fontId="13" fillId="6" borderId="0" xfId="0" applyFont="1" applyFill="1" applyAlignment="1">
      <alignment horizontal="center" vertical="center"/>
    </xf>
    <xf numFmtId="0" fontId="33" fillId="0" borderId="0" xfId="0" applyFont="1" applyAlignment="1">
      <alignment horizontal="center" vertical="center" wrapText="1"/>
    </xf>
    <xf numFmtId="0" fontId="6" fillId="16" borderId="0" xfId="6" applyFill="1" applyAlignment="1">
      <alignment horizontal="center"/>
    </xf>
    <xf numFmtId="0" fontId="0" fillId="0" borderId="0" xfId="0" applyAlignment="1">
      <alignment horizontal="center"/>
    </xf>
    <xf numFmtId="0" fontId="27" fillId="0" borderId="0" xfId="0" applyFont="1" applyAlignment="1">
      <alignment horizontal="center" wrapText="1"/>
    </xf>
    <xf numFmtId="0" fontId="19" fillId="18" borderId="0" xfId="0" applyFont="1" applyFill="1" applyAlignment="1">
      <alignment horizontal="center"/>
    </xf>
    <xf numFmtId="0" fontId="17" fillId="12" borderId="0" xfId="0" applyFont="1" applyFill="1" applyAlignment="1">
      <alignment horizontal="center"/>
    </xf>
    <xf numFmtId="0" fontId="7" fillId="0" borderId="6" xfId="0" applyFont="1" applyBorder="1" applyAlignment="1">
      <alignment horizontal="center" vertical="center" textRotation="255"/>
    </xf>
    <xf numFmtId="0" fontId="28" fillId="0" borderId="0" xfId="0" applyFont="1" applyAlignment="1">
      <alignment horizontal="center" vertical="center" wrapText="1"/>
    </xf>
    <xf numFmtId="0" fontId="0" fillId="10" borderId="0" xfId="0" applyFill="1" applyAlignment="1">
      <alignment horizontal="center"/>
    </xf>
    <xf numFmtId="0" fontId="0" fillId="0" borderId="5" xfId="0" applyBorder="1" applyAlignment="1">
      <alignment horizontal="center" vertical="center"/>
    </xf>
    <xf numFmtId="0" fontId="7" fillId="15" borderId="0" xfId="0" applyFont="1" applyFill="1" applyAlignment="1">
      <alignment horizontal="center"/>
    </xf>
    <xf numFmtId="0" fontId="0" fillId="12" borderId="0" xfId="0" applyFill="1" applyAlignment="1">
      <alignment horizontal="center"/>
    </xf>
    <xf numFmtId="0" fontId="0" fillId="8" borderId="0" xfId="0" applyFill="1" applyAlignment="1">
      <alignment horizontal="center"/>
    </xf>
    <xf numFmtId="0" fontId="29" fillId="0" borderId="0" xfId="0" applyFont="1" applyAlignment="1">
      <alignment horizontal="center" vertical="center"/>
    </xf>
    <xf numFmtId="0" fontId="10" fillId="7" borderId="0" xfId="0" applyFont="1" applyFill="1" applyAlignment="1">
      <alignment horizontal="center" vertical="center"/>
    </xf>
    <xf numFmtId="0" fontId="18" fillId="0" borderId="0" xfId="0" applyFont="1" applyAlignment="1">
      <alignment horizontal="center" vertical="center" wrapText="1"/>
    </xf>
    <xf numFmtId="0" fontId="0" fillId="0" borderId="0" xfId="0" applyAlignment="1">
      <alignment horizontal="center" vertical="center"/>
    </xf>
    <xf numFmtId="0" fontId="35" fillId="0" borderId="0" xfId="0" applyFont="1" applyAlignment="1">
      <alignment horizontal="center" vertical="center" wrapText="1"/>
    </xf>
    <xf numFmtId="0" fontId="2" fillId="0" borderId="1" xfId="8" applyNumberFormat="1" applyFont="1" applyBorder="1" applyAlignment="1">
      <alignment horizontal="center" vertical="center"/>
    </xf>
  </cellXfs>
  <cellStyles count="9">
    <cellStyle name="20% - Accent5" xfId="7" builtinId="46"/>
    <cellStyle name="Calculation" xfId="4" builtinId="22"/>
    <cellStyle name="Currency" xfId="8" builtinId="4"/>
    <cellStyle name="Explanatory Text" xfId="6" builtinId="53"/>
    <cellStyle name="Heading 1" xfId="2" builtinId="16"/>
    <cellStyle name="Linked Cell" xfId="5" builtinId="24"/>
    <cellStyle name="Normal" xfId="0" builtinId="0"/>
    <cellStyle name="Output" xfId="3" builtinId="21"/>
    <cellStyle name="Percent" xfId="1" builtinId="5"/>
  </cellStyles>
  <dxfs count="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Sheet1!$N$6</c:f>
              <c:strCache>
                <c:ptCount val="1"/>
                <c:pt idx="0">
                  <c:v>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Sheet1!$M$7:$M$34</c:f>
              <c:numCache>
                <c:formatCode>General</c:formatCode>
                <c:ptCount val="2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formatCode="0.00">
                  <c:v>0</c:v>
                </c:pt>
                <c:pt idx="22" formatCode="0.00">
                  <c:v>0</c:v>
                </c:pt>
                <c:pt idx="23" formatCode="0.00">
                  <c:v>0</c:v>
                </c:pt>
                <c:pt idx="24" formatCode="0.00">
                  <c:v>0</c:v>
                </c:pt>
                <c:pt idx="25" formatCode="0.00">
                  <c:v>0</c:v>
                </c:pt>
                <c:pt idx="26" formatCode="0.00">
                  <c:v>0</c:v>
                </c:pt>
                <c:pt idx="27" formatCode="0.00">
                  <c:v>0</c:v>
                </c:pt>
              </c:numCache>
            </c:numRef>
          </c:xVal>
          <c:yVal>
            <c:numRef>
              <c:f>Sheet1!$N$7:$N$34</c:f>
              <c:numCache>
                <c:formatCode>General</c:formatCode>
                <c:ptCount val="28"/>
                <c:pt idx="0">
                  <c:v>1E-3</c:v>
                </c:pt>
                <c:pt idx="1">
                  <c:v>7.5434491671521608E-5</c:v>
                </c:pt>
                <c:pt idx="2">
                  <c:v>1.4517862080930244E-4</c:v>
                </c:pt>
                <c:pt idx="3">
                  <c:v>2.0966163701850181E-4</c:v>
                </c:pt>
                <c:pt idx="4">
                  <c:v>2.6928040967851366E-4</c:v>
                </c:pt>
                <c:pt idx="5">
                  <c:v>3.2440187052883753E-4</c:v>
                </c:pt>
                <c:pt idx="6">
                  <c:v>3.7536527199972559E-4</c:v>
                </c:pt>
                <c:pt idx="7">
                  <c:v>4.2248427518680557E-4</c:v>
                </c:pt>
                <c:pt idx="8">
                  <c:v>4.6604888032039914E-4</c:v>
                </c:pt>
                <c:pt idx="9">
                  <c:v>5.0632721161086966E-4</c:v>
                </c:pt>
                <c:pt idx="10">
                  <c:v>5.4356716745506642E-4</c:v>
                </c:pt>
                <c:pt idx="11">
                  <c:v>5.779979461602862E-4</c:v>
                </c:pt>
                <c:pt idx="12">
                  <c:v>6.0983145657602321E-4</c:v>
                </c:pt>
                <c:pt idx="13">
                  <c:v>6.3926362231542895E-4</c:v>
                </c:pt>
                <c:pt idx="14">
                  <c:v>6.6647558759349061E-4</c:v>
                </c:pt>
                <c:pt idx="15">
                  <c:v>6.9163483210341861E-4</c:v>
                </c:pt>
                <c:pt idx="16">
                  <c:v>7.1489620179290055E-4</c:v>
                </c:pt>
                <c:pt idx="17">
                  <c:v>7.364028618842733E-4</c:v>
                </c:pt>
                <c:pt idx="18">
                  <c:v>7.5628717800410095E-4</c:v>
                </c:pt>
                <c:pt idx="19">
                  <c:v>7.7467153084519375E-4</c:v>
                </c:pt>
                <c:pt idx="20">
                  <c:v>7.9166906937500861E-4</c:v>
                </c:pt>
                <c:pt idx="21" formatCode="0.00">
                  <c:v>560</c:v>
                </c:pt>
                <c:pt idx="22" formatCode="0.00">
                  <c:v>714.56000000000006</c:v>
                </c:pt>
                <c:pt idx="23" formatCode="0.00">
                  <c:v>784</c:v>
                </c:pt>
                <c:pt idx="24" formatCode="0.00">
                  <c:v>896</c:v>
                </c:pt>
                <c:pt idx="25" formatCode="0.00">
                  <c:v>1008</c:v>
                </c:pt>
                <c:pt idx="26" formatCode="0.00">
                  <c:v>1097.5999999999999</c:v>
                </c:pt>
                <c:pt idx="27" formatCode="0.00">
                  <c:v>1120</c:v>
                </c:pt>
              </c:numCache>
            </c:numRef>
          </c:yVal>
          <c:smooth val="1"/>
          <c:extLst>
            <c:ext xmlns:c16="http://schemas.microsoft.com/office/drawing/2014/chart" uri="{C3380CC4-5D6E-409C-BE32-E72D297353CC}">
              <c16:uniqueId val="{00000000-A79D-4FC7-A9E5-1A01251435D6}"/>
            </c:ext>
          </c:extLst>
        </c:ser>
        <c:dLbls>
          <c:showLegendKey val="0"/>
          <c:showVal val="0"/>
          <c:showCatName val="0"/>
          <c:showSerName val="0"/>
          <c:showPercent val="0"/>
          <c:showBubbleSize val="0"/>
        </c:dLbls>
        <c:axId val="1037942111"/>
        <c:axId val="1037944607"/>
      </c:scatterChart>
      <c:valAx>
        <c:axId val="10379421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 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944607"/>
        <c:crosses val="autoZero"/>
        <c:crossBetween val="midCat"/>
      </c:valAx>
      <c:valAx>
        <c:axId val="1037944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Voltage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942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Sheet1!$R$6</c:f>
              <c:strCache>
                <c:ptCount val="1"/>
                <c:pt idx="0">
                  <c:v>I (A)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Sheet1!$Q$7:$Q$34</c:f>
              <c:numCache>
                <c:formatCode>General</c:formatCode>
                <c:ptCount val="2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formatCode="0.00">
                  <c:v>6.5130267041162586</c:v>
                </c:pt>
                <c:pt idx="22" formatCode="0.00">
                  <c:v>8.8376265536317433</c:v>
                </c:pt>
                <c:pt idx="23" formatCode="0.00">
                  <c:v>11.682706833368375</c:v>
                </c:pt>
                <c:pt idx="24" formatCode="0.00">
                  <c:v>15.350653257748002</c:v>
                </c:pt>
                <c:pt idx="25" formatCode="0.00">
                  <c:v>15.350653257748002</c:v>
                </c:pt>
                <c:pt idx="26" formatCode="0.00">
                  <c:v>24.188279811379743</c:v>
                </c:pt>
                <c:pt idx="27" formatCode="0.00">
                  <c:v>29.357959940631858</c:v>
                </c:pt>
              </c:numCache>
            </c:numRef>
          </c:xVal>
          <c:yVal>
            <c:numRef>
              <c:f>Sheet1!$R$7:$R$34</c:f>
              <c:numCache>
                <c:formatCode>General</c:formatCode>
                <c:ptCount val="28"/>
                <c:pt idx="0" formatCode="0.00">
                  <c:v>4.4000000000000004</c:v>
                </c:pt>
                <c:pt idx="1">
                  <c:v>4.0680882366453055</c:v>
                </c:pt>
                <c:pt idx="2">
                  <c:v>3.7612140684390694</c:v>
                </c:pt>
                <c:pt idx="3">
                  <c:v>3.4774887971185922</c:v>
                </c:pt>
                <c:pt idx="4">
                  <c:v>3.2151661974145402</c:v>
                </c:pt>
                <c:pt idx="5">
                  <c:v>2.9726317696731153</c:v>
                </c:pt>
                <c:pt idx="6">
                  <c:v>2.7483928032012077</c:v>
                </c:pt>
                <c:pt idx="7">
                  <c:v>2.5410691891780557</c:v>
                </c:pt>
                <c:pt idx="8">
                  <c:v>2.3493849265902438</c:v>
                </c:pt>
                <c:pt idx="9">
                  <c:v>2.1721602689121737</c:v>
                </c:pt>
                <c:pt idx="10">
                  <c:v>2.0083044631977081</c:v>
                </c:pt>
                <c:pt idx="11">
                  <c:v>1.8568090368947405</c:v>
                </c:pt>
                <c:pt idx="12">
                  <c:v>1.7167415910654982</c:v>
                </c:pt>
                <c:pt idx="13">
                  <c:v>1.587240061812113</c:v>
                </c:pt>
                <c:pt idx="14">
                  <c:v>1.4675074145886415</c:v>
                </c:pt>
                <c:pt idx="15">
                  <c:v>1.3568067387449583</c:v>
                </c:pt>
                <c:pt idx="16">
                  <c:v>1.2544567121112375</c:v>
                </c:pt>
                <c:pt idx="17">
                  <c:v>1.1598274077091979</c:v>
                </c:pt>
                <c:pt idx="18">
                  <c:v>1.0723364167819558</c:v>
                </c:pt>
                <c:pt idx="19">
                  <c:v>0.99144526428114799</c:v>
                </c:pt>
                <c:pt idx="20">
                  <c:v>0.91665609474996224</c:v>
                </c:pt>
                <c:pt idx="21">
                  <c:v>2.64</c:v>
                </c:pt>
                <c:pt idx="22">
                  <c:v>2.2000000000000002</c:v>
                </c:pt>
                <c:pt idx="23">
                  <c:v>1.7600000000000002</c:v>
                </c:pt>
                <c:pt idx="24">
                  <c:v>1.32</c:v>
                </c:pt>
                <c:pt idx="25">
                  <c:v>1.32</c:v>
                </c:pt>
                <c:pt idx="26">
                  <c:v>0.66</c:v>
                </c:pt>
                <c:pt idx="27">
                  <c:v>0.44000000000000006</c:v>
                </c:pt>
              </c:numCache>
            </c:numRef>
          </c:yVal>
          <c:smooth val="1"/>
          <c:extLst>
            <c:ext xmlns:c16="http://schemas.microsoft.com/office/drawing/2014/chart" uri="{C3380CC4-5D6E-409C-BE32-E72D297353CC}">
              <c16:uniqueId val="{00000000-3DF8-4A65-83AC-4C18765AD7F6}"/>
            </c:ext>
          </c:extLst>
        </c:ser>
        <c:dLbls>
          <c:showLegendKey val="0"/>
          <c:showVal val="0"/>
          <c:showCatName val="0"/>
          <c:showSerName val="0"/>
          <c:showPercent val="0"/>
          <c:showBubbleSize val="0"/>
        </c:dLbls>
        <c:axId val="1035946095"/>
        <c:axId val="1035957327"/>
      </c:scatterChart>
      <c:valAx>
        <c:axId val="10359460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 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57327"/>
        <c:crosses val="autoZero"/>
        <c:crossBetween val="midCat"/>
      </c:valAx>
      <c:valAx>
        <c:axId val="1035957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Current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46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Sheet1!$W$6</c:f>
              <c:strCache>
                <c:ptCount val="1"/>
                <c:pt idx="0">
                  <c:v>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Sheet1!$V$7:$V$34</c:f>
              <c:numCache>
                <c:formatCode>General</c:formatCode>
                <c:ptCount val="2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formatCode="0.00">
                  <c:v>6.5130267041162586</c:v>
                </c:pt>
                <c:pt idx="22" formatCode="0.00">
                  <c:v>8.8376265536317433</c:v>
                </c:pt>
                <c:pt idx="23" formatCode="0.00">
                  <c:v>12.471618230907216</c:v>
                </c:pt>
                <c:pt idx="24" formatCode="0.00">
                  <c:v>15.350653257748002</c:v>
                </c:pt>
                <c:pt idx="25" formatCode="0.00">
                  <c:v>20.520333387000118</c:v>
                </c:pt>
                <c:pt idx="26" formatCode="0.00">
                  <c:v>24.188279811379743</c:v>
                </c:pt>
                <c:pt idx="27" formatCode="0.00">
                  <c:v>29.357959940631858</c:v>
                </c:pt>
              </c:numCache>
            </c:numRef>
          </c:xVal>
          <c:yVal>
            <c:numRef>
              <c:f>Sheet1!$W$7:$W$34</c:f>
              <c:numCache>
                <c:formatCode>General</c:formatCode>
                <c:ptCount val="28"/>
                <c:pt idx="0">
                  <c:v>1120</c:v>
                </c:pt>
                <c:pt idx="1">
                  <c:v>1035.5133693278958</c:v>
                </c:pt>
                <c:pt idx="2">
                  <c:v>957.39994469358123</c:v>
                </c:pt>
                <c:pt idx="3">
                  <c:v>885.17896653927801</c:v>
                </c:pt>
                <c:pt idx="4">
                  <c:v>818.40594116006469</c:v>
                </c:pt>
                <c:pt idx="5">
                  <c:v>756.66990500770203</c:v>
                </c:pt>
                <c:pt idx="6">
                  <c:v>699.5908953603074</c:v>
                </c:pt>
                <c:pt idx="7">
                  <c:v>646.81761179077785</c:v>
                </c:pt>
                <c:pt idx="8">
                  <c:v>598.02525404115295</c:v>
                </c:pt>
                <c:pt idx="9">
                  <c:v>552.91352299582593</c:v>
                </c:pt>
                <c:pt idx="10">
                  <c:v>511.20477245032566</c:v>
                </c:pt>
                <c:pt idx="11">
                  <c:v>472.64230030047941</c:v>
                </c:pt>
                <c:pt idx="12">
                  <c:v>436.98876863485407</c:v>
                </c:pt>
                <c:pt idx="13">
                  <c:v>404.02474300671963</c:v>
                </c:pt>
                <c:pt idx="14">
                  <c:v>373.54734189529057</c:v>
                </c:pt>
                <c:pt idx="15">
                  <c:v>345.3689880441712</c:v>
                </c:pt>
                <c:pt idx="16">
                  <c:v>319.31625399195133</c:v>
                </c:pt>
                <c:pt idx="17">
                  <c:v>295.22879468961401</c:v>
                </c:pt>
                <c:pt idx="18">
                  <c:v>272.9583606354069</c:v>
                </c:pt>
                <c:pt idx="19">
                  <c:v>252.36788545338311</c:v>
                </c:pt>
                <c:pt idx="20">
                  <c:v>233.33064229999036</c:v>
                </c:pt>
                <c:pt idx="21">
                  <c:v>672</c:v>
                </c:pt>
                <c:pt idx="22">
                  <c:v>560</c:v>
                </c:pt>
                <c:pt idx="23">
                  <c:v>421.12</c:v>
                </c:pt>
                <c:pt idx="24">
                  <c:v>336</c:v>
                </c:pt>
                <c:pt idx="25">
                  <c:v>224</c:v>
                </c:pt>
                <c:pt idx="26">
                  <c:v>168</c:v>
                </c:pt>
                <c:pt idx="27">
                  <c:v>112</c:v>
                </c:pt>
              </c:numCache>
            </c:numRef>
          </c:yVal>
          <c:smooth val="1"/>
          <c:extLst>
            <c:ext xmlns:c16="http://schemas.microsoft.com/office/drawing/2014/chart" uri="{C3380CC4-5D6E-409C-BE32-E72D297353CC}">
              <c16:uniqueId val="{00000000-56A4-4814-BDBE-7D2A8843F342}"/>
            </c:ext>
          </c:extLst>
        </c:ser>
        <c:dLbls>
          <c:showLegendKey val="0"/>
          <c:showVal val="0"/>
          <c:showCatName val="0"/>
          <c:showSerName val="0"/>
          <c:showPercent val="0"/>
          <c:showBubbleSize val="0"/>
        </c:dLbls>
        <c:axId val="1140650879"/>
        <c:axId val="1140651711"/>
      </c:scatterChart>
      <c:valAx>
        <c:axId val="1140650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a:t>
                </a:r>
                <a:r>
                  <a:rPr lang="en-GB" baseline="0"/>
                  <a:t> seconds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651711"/>
        <c:crosses val="autoZero"/>
        <c:crossBetween val="midCat"/>
      </c:valAx>
      <c:valAx>
        <c:axId val="114065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Voltage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650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Sheet1!$AA$6</c:f>
              <c:strCache>
                <c:ptCount val="1"/>
                <c:pt idx="0">
                  <c:v>I (A)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Sheet1!$Z$7:$Z$34</c:f>
              <c:numCache>
                <c:formatCode>General</c:formatCode>
                <c:ptCount val="2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formatCode="0.00">
                  <c:v>6.5130267041162586</c:v>
                </c:pt>
                <c:pt idx="22" formatCode="0.00">
                  <c:v>8.8376265536317433</c:v>
                </c:pt>
                <c:pt idx="23" formatCode="0.00">
                  <c:v>11.682706833368375</c:v>
                </c:pt>
                <c:pt idx="24" formatCode="0.00">
                  <c:v>15.350653257748002</c:v>
                </c:pt>
                <c:pt idx="25" formatCode="0.00">
                  <c:v>15.350653257748002</c:v>
                </c:pt>
                <c:pt idx="26" formatCode="0.00">
                  <c:v>24.188279811379743</c:v>
                </c:pt>
                <c:pt idx="27" formatCode="0.00">
                  <c:v>29.357959940631858</c:v>
                </c:pt>
              </c:numCache>
            </c:numRef>
          </c:xVal>
          <c:yVal>
            <c:numRef>
              <c:f>Sheet1!$AA$7:$AA$34</c:f>
              <c:numCache>
                <c:formatCode>General</c:formatCode>
                <c:ptCount val="28"/>
                <c:pt idx="0">
                  <c:v>224</c:v>
                </c:pt>
                <c:pt idx="1">
                  <c:v>207.10267386557916</c:v>
                </c:pt>
                <c:pt idx="2">
                  <c:v>191.47998893871625</c:v>
                </c:pt>
                <c:pt idx="3">
                  <c:v>177.03579330785558</c:v>
                </c:pt>
                <c:pt idx="4">
                  <c:v>163.68118823201294</c:v>
                </c:pt>
                <c:pt idx="5">
                  <c:v>151.33398100154039</c:v>
                </c:pt>
                <c:pt idx="6">
                  <c:v>139.91817907206146</c:v>
                </c:pt>
                <c:pt idx="7">
                  <c:v>129.36352235815556</c:v>
                </c:pt>
                <c:pt idx="8">
                  <c:v>119.60505080823059</c:v>
                </c:pt>
                <c:pt idx="9">
                  <c:v>110.5827045991652</c:v>
                </c:pt>
                <c:pt idx="10">
                  <c:v>102.24095449006512</c:v>
                </c:pt>
                <c:pt idx="11">
                  <c:v>94.528460060095881</c:v>
                </c:pt>
                <c:pt idx="12">
                  <c:v>87.397753726970805</c:v>
                </c:pt>
                <c:pt idx="13">
                  <c:v>80.804948601343938</c:v>
                </c:pt>
                <c:pt idx="14">
                  <c:v>74.709468379058109</c:v>
                </c:pt>
                <c:pt idx="15">
                  <c:v>69.073797608834241</c:v>
                </c:pt>
                <c:pt idx="16">
                  <c:v>63.863250798390268</c:v>
                </c:pt>
                <c:pt idx="17">
                  <c:v>59.045758937922798</c:v>
                </c:pt>
                <c:pt idx="18">
                  <c:v>54.591672127081381</c:v>
                </c:pt>
                <c:pt idx="19">
                  <c:v>50.473577090676621</c:v>
                </c:pt>
                <c:pt idx="20">
                  <c:v>46.66612845999807</c:v>
                </c:pt>
                <c:pt idx="21">
                  <c:v>134.4</c:v>
                </c:pt>
                <c:pt idx="22">
                  <c:v>112</c:v>
                </c:pt>
                <c:pt idx="23">
                  <c:v>89.600000000000009</c:v>
                </c:pt>
                <c:pt idx="24">
                  <c:v>67.2</c:v>
                </c:pt>
                <c:pt idx="25">
                  <c:v>67.2</c:v>
                </c:pt>
                <c:pt idx="26">
                  <c:v>33.6</c:v>
                </c:pt>
                <c:pt idx="27">
                  <c:v>22.400000000000002</c:v>
                </c:pt>
              </c:numCache>
            </c:numRef>
          </c:yVal>
          <c:smooth val="1"/>
          <c:extLst>
            <c:ext xmlns:c16="http://schemas.microsoft.com/office/drawing/2014/chart" uri="{C3380CC4-5D6E-409C-BE32-E72D297353CC}">
              <c16:uniqueId val="{00000000-AB71-4992-B81F-5AD7F50E7E14}"/>
            </c:ext>
          </c:extLst>
        </c:ser>
        <c:dLbls>
          <c:showLegendKey val="0"/>
          <c:showVal val="0"/>
          <c:showCatName val="0"/>
          <c:showSerName val="0"/>
          <c:showPercent val="0"/>
          <c:showBubbleSize val="0"/>
        </c:dLbls>
        <c:axId val="1030539103"/>
        <c:axId val="1030538687"/>
      </c:scatterChart>
      <c:valAx>
        <c:axId val="10305391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 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38687"/>
        <c:crosses val="autoZero"/>
        <c:crossBetween val="midCat"/>
      </c:valAx>
      <c:valAx>
        <c:axId val="1030538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Current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39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Power Loss internal due to ESR for</a:t>
            </a:r>
            <a:r>
              <a:rPr lang="en-GB" baseline="0"/>
              <a:t> input currents 0.1A to 100A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Sheet1!$B$29:$B$40</c:f>
              <c:numCache>
                <c:formatCode>General</c:formatCode>
                <c:ptCount val="12"/>
                <c:pt idx="0">
                  <c:v>0.1</c:v>
                </c:pt>
                <c:pt idx="1">
                  <c:v>0.5</c:v>
                </c:pt>
                <c:pt idx="2">
                  <c:v>1</c:v>
                </c:pt>
                <c:pt idx="3">
                  <c:v>1.2</c:v>
                </c:pt>
                <c:pt idx="4">
                  <c:v>1.5</c:v>
                </c:pt>
                <c:pt idx="5">
                  <c:v>2</c:v>
                </c:pt>
                <c:pt idx="6">
                  <c:v>5</c:v>
                </c:pt>
                <c:pt idx="7">
                  <c:v>10</c:v>
                </c:pt>
                <c:pt idx="8">
                  <c:v>20</c:v>
                </c:pt>
                <c:pt idx="9">
                  <c:v>30</c:v>
                </c:pt>
                <c:pt idx="10">
                  <c:v>50</c:v>
                </c:pt>
                <c:pt idx="11">
                  <c:v>100</c:v>
                </c:pt>
              </c:numCache>
            </c:numRef>
          </c:xVal>
          <c:yVal>
            <c:numRef>
              <c:f>Sheet1!$C$29:$C$40</c:f>
              <c:numCache>
                <c:formatCode>General</c:formatCode>
                <c:ptCount val="12"/>
                <c:pt idx="0">
                  <c:v>2.0000000000000004E-4</c:v>
                </c:pt>
                <c:pt idx="1">
                  <c:v>5.0000000000000001E-3</c:v>
                </c:pt>
                <c:pt idx="2">
                  <c:v>0.02</c:v>
                </c:pt>
                <c:pt idx="3">
                  <c:v>2.8799999999999999E-2</c:v>
                </c:pt>
                <c:pt idx="4">
                  <c:v>4.4999999999999998E-2</c:v>
                </c:pt>
                <c:pt idx="5">
                  <c:v>0.08</c:v>
                </c:pt>
                <c:pt idx="6">
                  <c:v>0.5</c:v>
                </c:pt>
                <c:pt idx="7">
                  <c:v>2</c:v>
                </c:pt>
                <c:pt idx="8">
                  <c:v>8</c:v>
                </c:pt>
                <c:pt idx="9">
                  <c:v>18</c:v>
                </c:pt>
                <c:pt idx="10">
                  <c:v>50</c:v>
                </c:pt>
                <c:pt idx="11">
                  <c:v>200</c:v>
                </c:pt>
              </c:numCache>
            </c:numRef>
          </c:yVal>
          <c:smooth val="1"/>
          <c:extLst>
            <c:ext xmlns:c16="http://schemas.microsoft.com/office/drawing/2014/chart" uri="{C3380CC4-5D6E-409C-BE32-E72D297353CC}">
              <c16:uniqueId val="{00000000-C847-4128-811E-A77661AC5C1E}"/>
            </c:ext>
          </c:extLst>
        </c:ser>
        <c:dLbls>
          <c:showLegendKey val="0"/>
          <c:showVal val="0"/>
          <c:showCatName val="0"/>
          <c:showSerName val="0"/>
          <c:showPercent val="0"/>
          <c:showBubbleSize val="0"/>
        </c:dLbls>
        <c:axId val="1223016927"/>
        <c:axId val="1223012351"/>
      </c:scatterChart>
      <c:valAx>
        <c:axId val="1223016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012351"/>
        <c:crosses val="autoZero"/>
        <c:crossBetween val="midCat"/>
      </c:valAx>
      <c:valAx>
        <c:axId val="122301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016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200025</xdr:colOff>
      <xdr:row>36</xdr:row>
      <xdr:rowOff>171450</xdr:rowOff>
    </xdr:from>
    <xdr:to>
      <xdr:col>14</xdr:col>
      <xdr:colOff>428625</xdr:colOff>
      <xdr:row>51</xdr:row>
      <xdr:rowOff>57150</xdr:rowOff>
    </xdr:to>
    <xdr:graphicFrame macro="">
      <xdr:nvGraphicFramePr>
        <xdr:cNvPr id="3" name="Chart 2">
          <a:extLst>
            <a:ext uri="{FF2B5EF4-FFF2-40B4-BE49-F238E27FC236}">
              <a16:creationId xmlns:a16="http://schemas.microsoft.com/office/drawing/2014/main" id="{4220FA78-1B80-4646-BE71-FF1FEB855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49306</xdr:colOff>
      <xdr:row>36</xdr:row>
      <xdr:rowOff>134471</xdr:rowOff>
    </xdr:from>
    <xdr:to>
      <xdr:col>21</xdr:col>
      <xdr:colOff>488576</xdr:colOff>
      <xdr:row>52</xdr:row>
      <xdr:rowOff>8965</xdr:rowOff>
    </xdr:to>
    <xdr:graphicFrame macro="">
      <xdr:nvGraphicFramePr>
        <xdr:cNvPr id="5" name="Chart 4">
          <a:extLst>
            <a:ext uri="{FF2B5EF4-FFF2-40B4-BE49-F238E27FC236}">
              <a16:creationId xmlns:a16="http://schemas.microsoft.com/office/drawing/2014/main" id="{B13538BC-4A59-465D-9C1A-ACD80DA89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112058</xdr:colOff>
      <xdr:row>36</xdr:row>
      <xdr:rowOff>134471</xdr:rowOff>
    </xdr:from>
    <xdr:to>
      <xdr:col>27</xdr:col>
      <xdr:colOff>649941</xdr:colOff>
      <xdr:row>52</xdr:row>
      <xdr:rowOff>8965</xdr:rowOff>
    </xdr:to>
    <xdr:graphicFrame macro="">
      <xdr:nvGraphicFramePr>
        <xdr:cNvPr id="6" name="Chart 5">
          <a:extLst>
            <a:ext uri="{FF2B5EF4-FFF2-40B4-BE49-F238E27FC236}">
              <a16:creationId xmlns:a16="http://schemas.microsoft.com/office/drawing/2014/main" id="{D9187F8C-7ABE-4E82-B1E0-C190DA005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721659</xdr:colOff>
      <xdr:row>36</xdr:row>
      <xdr:rowOff>116541</xdr:rowOff>
    </xdr:from>
    <xdr:to>
      <xdr:col>35</xdr:col>
      <xdr:colOff>147917</xdr:colOff>
      <xdr:row>51</xdr:row>
      <xdr:rowOff>170329</xdr:rowOff>
    </xdr:to>
    <xdr:graphicFrame macro="">
      <xdr:nvGraphicFramePr>
        <xdr:cNvPr id="7" name="Chart 6">
          <a:extLst>
            <a:ext uri="{FF2B5EF4-FFF2-40B4-BE49-F238E27FC236}">
              <a16:creationId xmlns:a16="http://schemas.microsoft.com/office/drawing/2014/main" id="{AC904636-7355-4DE6-854F-89E17145E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79513</xdr:colOff>
      <xdr:row>1</xdr:row>
      <xdr:rowOff>59636</xdr:rowOff>
    </xdr:from>
    <xdr:to>
      <xdr:col>6</xdr:col>
      <xdr:colOff>1415143</xdr:colOff>
      <xdr:row>2</xdr:row>
      <xdr:rowOff>1055914</xdr:rowOff>
    </xdr:to>
    <xdr:sp macro="" textlink="">
      <xdr:nvSpPr>
        <xdr:cNvPr id="8" name="TextBox 7">
          <a:extLst>
            <a:ext uri="{FF2B5EF4-FFF2-40B4-BE49-F238E27FC236}">
              <a16:creationId xmlns:a16="http://schemas.microsoft.com/office/drawing/2014/main" id="{29BADFE4-7173-4104-96A1-667A0412B01B}"/>
            </a:ext>
          </a:extLst>
        </xdr:cNvPr>
        <xdr:cNvSpPr txBox="1"/>
      </xdr:nvSpPr>
      <xdr:spPr>
        <a:xfrm>
          <a:off x="689113" y="1224407"/>
          <a:ext cx="8487544" cy="26073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excel script contains a pre-fed</a:t>
          </a:r>
          <a:r>
            <a:rPr lang="en-GB" sz="1100" baseline="0"/>
            <a:t> formula based capacitor bank calculator. This calculator provides charging and discharging curves with plots, for both voltage and current. It also includes capacity calculation in joules and voltage and ESR calculation.</a:t>
          </a:r>
        </a:p>
        <a:p>
          <a:endParaRPr lang="en-GB" sz="1100" baseline="0"/>
        </a:p>
        <a:p>
          <a:r>
            <a:rPr lang="en-GB" sz="1100" baseline="0"/>
            <a:t>Configuration calculator allows user to input the required voltage and (either one of -) Capacitance or Energy (Selected by the option in Blue in F64) and the rest of the calculation, results in Ns and Np values and also the energy or capacitance depending upon which was calculated.</a:t>
          </a:r>
        </a:p>
        <a:p>
          <a:r>
            <a:rPr lang="en-GB" sz="1100" baseline="0"/>
            <a:t>There is also a reverse value search for time given input for voltage, current or energy.</a:t>
          </a:r>
        </a:p>
        <a:p>
          <a:endParaRPr lang="en-GB" sz="1100" baseline="0"/>
        </a:p>
        <a:p>
          <a:r>
            <a:rPr lang="en-GB" sz="1100" baseline="0"/>
            <a:t>User inputs are indicated by blue underlined boxes</a:t>
          </a:r>
        </a:p>
        <a:p>
          <a:endParaRPr lang="en-GB" sz="1100" baseline="0"/>
        </a:p>
        <a:p>
          <a:r>
            <a:rPr lang="en-GB" sz="1100" baseline="0"/>
            <a:t>This calculator is designed and written by Wayri(c) 2022. Author does not guratee or warantee any accuracy, usecase or application for this file and its content. This file is provided as is. It is shared under GNU-CC-SA.</a:t>
          </a:r>
        </a:p>
        <a:p>
          <a:endParaRPr lang="en-GB" sz="1100" baseline="0"/>
        </a:p>
        <a:p>
          <a:r>
            <a:rPr lang="en-GB" sz="1100" baseline="0"/>
            <a:t>! - This has not been tested with lithium ultracapacitors or battery-capacitor hybrids. Thus it will most likely not work with such devices. There are workarounds for that, like considering only the data range you are interested in, but no gurantess.</a:t>
          </a:r>
        </a:p>
        <a:p>
          <a:endParaRPr lang="en-GB" sz="1100" baseline="0"/>
        </a:p>
        <a:p>
          <a:endParaRPr lang="en-GB" sz="1100"/>
        </a:p>
      </xdr:txBody>
    </xdr:sp>
    <xdr:clientData/>
  </xdr:twoCellAnchor>
  <xdr:twoCellAnchor>
    <xdr:from>
      <xdr:col>7</xdr:col>
      <xdr:colOff>94536</xdr:colOff>
      <xdr:row>64</xdr:row>
      <xdr:rowOff>240091</xdr:rowOff>
    </xdr:from>
    <xdr:to>
      <xdr:col>12</xdr:col>
      <xdr:colOff>14832</xdr:colOff>
      <xdr:row>72</xdr:row>
      <xdr:rowOff>69762</xdr:rowOff>
    </xdr:to>
    <xdr:sp macro="" textlink="">
      <xdr:nvSpPr>
        <xdr:cNvPr id="9" name="TextBox 8">
          <a:extLst>
            <a:ext uri="{FF2B5EF4-FFF2-40B4-BE49-F238E27FC236}">
              <a16:creationId xmlns:a16="http://schemas.microsoft.com/office/drawing/2014/main" id="{2A3EA6D3-BE41-4016-94C1-DBAEFD0BE140}"/>
            </a:ext>
          </a:extLst>
        </xdr:cNvPr>
        <xdr:cNvSpPr txBox="1"/>
      </xdr:nvSpPr>
      <xdr:spPr>
        <a:xfrm>
          <a:off x="9328183" y="18277079"/>
          <a:ext cx="3999237" cy="2178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WHICH ONE TO USE</a:t>
          </a:r>
        </a:p>
        <a:p>
          <a:endParaRPr lang="en-GB" sz="1100"/>
        </a:p>
        <a:p>
          <a:r>
            <a:rPr lang="en-GB" sz="1100"/>
            <a:t>WHAT</a:t>
          </a:r>
          <a:r>
            <a:rPr lang="en-GB" sz="1100" baseline="0"/>
            <a:t> IS YOUR ENERGY REQUIREMENT</a:t>
          </a:r>
          <a:endParaRPr lang="en-GB" sz="1100"/>
        </a:p>
        <a:p>
          <a:r>
            <a:rPr lang="en-GB" sz="1100"/>
            <a:t>E;</a:t>
          </a:r>
        </a:p>
        <a:p>
          <a:r>
            <a:rPr lang="en-GB" sz="1100"/>
            <a:t>User</a:t>
          </a:r>
          <a:r>
            <a:rPr lang="en-GB" sz="1100" baseline="0"/>
            <a:t> input is energy in C63,and the script calculates corresponding bank capacitance value, given the voltage contraints of bank.</a:t>
          </a:r>
        </a:p>
        <a:p>
          <a:endParaRPr lang="en-GB" sz="1100" baseline="0"/>
        </a:p>
        <a:p>
          <a:r>
            <a:rPr lang="en-GB" sz="1100" baseline="0"/>
            <a:t>WHAT IS YOUR CAPACITANCE REQUIREMENT</a:t>
          </a:r>
        </a:p>
        <a:p>
          <a:r>
            <a:rPr lang="en-GB" sz="1100" baseline="0"/>
            <a:t>C;</a:t>
          </a:r>
        </a:p>
        <a:p>
          <a:r>
            <a:rPr lang="en-GB" sz="1100" baseline="0"/>
            <a:t>User input is CAPACITANCE in C59, and the script calculates corresponding energy of the capaitor bank, given the voltage contraints of bank.</a:t>
          </a:r>
        </a:p>
        <a:p>
          <a:endParaRPr lang="en-GB" sz="1100" baseline="0"/>
        </a:p>
        <a:p>
          <a:endParaRPr lang="en-GB" sz="1100"/>
        </a:p>
      </xdr:txBody>
    </xdr:sp>
    <xdr:clientData/>
  </xdr:twoCellAnchor>
  <xdr:twoCellAnchor>
    <xdr:from>
      <xdr:col>17</xdr:col>
      <xdr:colOff>96981</xdr:colOff>
      <xdr:row>1</xdr:row>
      <xdr:rowOff>124691</xdr:rowOff>
    </xdr:from>
    <xdr:to>
      <xdr:col>24</xdr:col>
      <xdr:colOff>290945</xdr:colOff>
      <xdr:row>1</xdr:row>
      <xdr:rowOff>1440873</xdr:rowOff>
    </xdr:to>
    <xdr:sp macro="" textlink="">
      <xdr:nvSpPr>
        <xdr:cNvPr id="10" name="TextBox 9">
          <a:extLst>
            <a:ext uri="{FF2B5EF4-FFF2-40B4-BE49-F238E27FC236}">
              <a16:creationId xmlns:a16="http://schemas.microsoft.com/office/drawing/2014/main" id="{AF258AEA-3F76-4F27-B1CF-48AF7187A958}"/>
            </a:ext>
          </a:extLst>
        </xdr:cNvPr>
        <xdr:cNvSpPr txBox="1"/>
      </xdr:nvSpPr>
      <xdr:spPr>
        <a:xfrm>
          <a:off x="17332036" y="1288473"/>
          <a:ext cx="4752109" cy="13161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indicator is to prevent artifacting due to calculation of last part of charging voltage being in reverse. i.e. the voltage is manually given and time calculated corresponding</a:t>
          </a:r>
          <a:r>
            <a:rPr lang="en-GB" sz="1100" baseline="0"/>
            <a:t> to it. This gives better control on graph, howver it fails in the Vcharge&lt;Vmax scenario causing a reverse line for the related time points. The data while curve is following standard charging curve is ok, however ignore the reverse jump in that case. THIS INDICATOR IS TO ENSURE YOU KNOW THIS.</a:t>
          </a:r>
          <a:endParaRPr lang="en-GB" sz="1100"/>
        </a:p>
      </xdr:txBody>
    </xdr:sp>
    <xdr:clientData/>
  </xdr:twoCellAnchor>
  <xdr:twoCellAnchor>
    <xdr:from>
      <xdr:col>3</xdr:col>
      <xdr:colOff>144780</xdr:colOff>
      <xdr:row>27</xdr:row>
      <xdr:rowOff>87630</xdr:rowOff>
    </xdr:from>
    <xdr:to>
      <xdr:col>6</xdr:col>
      <xdr:colOff>327660</xdr:colOff>
      <xdr:row>40</xdr:row>
      <xdr:rowOff>87630</xdr:rowOff>
    </xdr:to>
    <xdr:graphicFrame macro="">
      <xdr:nvGraphicFramePr>
        <xdr:cNvPr id="11" name="Chart 10">
          <a:extLst>
            <a:ext uri="{FF2B5EF4-FFF2-40B4-BE49-F238E27FC236}">
              <a16:creationId xmlns:a16="http://schemas.microsoft.com/office/drawing/2014/main" id="{2B1C5807-654C-493D-855D-A4C7D631C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76199</xdr:colOff>
      <xdr:row>85</xdr:row>
      <xdr:rowOff>65315</xdr:rowOff>
    </xdr:from>
    <xdr:to>
      <xdr:col>14</xdr:col>
      <xdr:colOff>181854</xdr:colOff>
      <xdr:row>96</xdr:row>
      <xdr:rowOff>129349</xdr:rowOff>
    </xdr:to>
    <xdr:sp macro="" textlink="">
      <xdr:nvSpPr>
        <xdr:cNvPr id="12" name="TextBox 11">
          <a:extLst>
            <a:ext uri="{FF2B5EF4-FFF2-40B4-BE49-F238E27FC236}">
              <a16:creationId xmlns:a16="http://schemas.microsoft.com/office/drawing/2014/main" id="{50D1124D-5246-4844-98ED-EB1C9F214E10}"/>
            </a:ext>
          </a:extLst>
        </xdr:cNvPr>
        <xdr:cNvSpPr txBox="1"/>
      </xdr:nvSpPr>
      <xdr:spPr>
        <a:xfrm>
          <a:off x="11255828" y="25733829"/>
          <a:ext cx="4035397" cy="23935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Choose the initial</a:t>
          </a:r>
          <a:r>
            <a:rPr lang="en-GB" sz="1100" baseline="0"/>
            <a:t> voltage charge or current and then enter the voltage you wish to check time for. The first voltage can be the voltage which is at steady state and the later a point during discharge process.</a:t>
          </a:r>
        </a:p>
        <a:p>
          <a:r>
            <a:rPr lang="en-GB" sz="1100" baseline="0"/>
            <a:t>Same for energy.</a:t>
          </a:r>
        </a:p>
        <a:p>
          <a:endParaRPr lang="en-GB" sz="1100" baseline="0"/>
        </a:p>
        <a:p>
          <a:r>
            <a:rPr lang="en-GB" sz="1100" baseline="0"/>
            <a:t>The second part does forward calculation for the capacitor V, I and E given a specific time. Capacitor initial conditions are taken locally from Initial V and A.</a:t>
          </a:r>
        </a:p>
        <a:p>
          <a:endParaRPr lang="en-GB" sz="1100"/>
        </a:p>
      </xdr:txBody>
    </xdr:sp>
    <xdr:clientData/>
  </xdr:twoCellAnchor>
  <xdr:twoCellAnchor>
    <xdr:from>
      <xdr:col>2</xdr:col>
      <xdr:colOff>1192306</xdr:colOff>
      <xdr:row>119</xdr:row>
      <xdr:rowOff>44823</xdr:rowOff>
    </xdr:from>
    <xdr:to>
      <xdr:col>8</xdr:col>
      <xdr:colOff>215153</xdr:colOff>
      <xdr:row>126</xdr:row>
      <xdr:rowOff>161364</xdr:rowOff>
    </xdr:to>
    <xdr:sp macro="" textlink="">
      <xdr:nvSpPr>
        <xdr:cNvPr id="2" name="TextBox 1">
          <a:extLst>
            <a:ext uri="{FF2B5EF4-FFF2-40B4-BE49-F238E27FC236}">
              <a16:creationId xmlns:a16="http://schemas.microsoft.com/office/drawing/2014/main" id="{30E20E72-06ED-434F-913F-EAC4C9585ADF}"/>
            </a:ext>
          </a:extLst>
        </xdr:cNvPr>
        <xdr:cNvSpPr txBox="1"/>
      </xdr:nvSpPr>
      <xdr:spPr>
        <a:xfrm>
          <a:off x="3290047" y="32667388"/>
          <a:ext cx="685800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Note that these calculations are indicational and mere educated guesses in regards to converter integration. The use of</a:t>
          </a:r>
          <a:r>
            <a:rPr lang="en-GB" sz="1100" baseline="0"/>
            <a:t> converters will cause the current values to change and voltage to decay faster (generally linear if load is constant). Since it will try to maintain a constant output voltage, by drawing more current from capacitor bank.</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5F2AC-EE0D-49AD-8A48-C7EF34F7F784}">
  <dimension ref="A1:AJ117"/>
  <sheetViews>
    <sheetView tabSelected="1" zoomScale="55" zoomScaleNormal="55" workbookViewId="0">
      <selection activeCell="C16" sqref="C16"/>
    </sheetView>
  </sheetViews>
  <sheetFormatPr defaultRowHeight="14.4" x14ac:dyDescent="0.3"/>
  <cols>
    <col min="2" max="2" width="21.6640625" customWidth="1"/>
    <col min="3" max="3" width="18.33203125" customWidth="1"/>
    <col min="4" max="4" width="21.44140625" customWidth="1"/>
    <col min="5" max="5" width="22" customWidth="1"/>
    <col min="6" max="7" width="21.88671875" customWidth="1"/>
    <col min="11" max="11" width="13.88671875" customWidth="1"/>
    <col min="12" max="12" width="19" customWidth="1"/>
    <col min="13" max="13" width="13.33203125" customWidth="1"/>
    <col min="14" max="14" width="11" bestFit="1" customWidth="1"/>
    <col min="15" max="16" width="11" customWidth="1"/>
    <col min="17" max="17" width="14.44140625" customWidth="1"/>
    <col min="19" max="19" width="11.6640625" customWidth="1"/>
    <col min="22" max="22" width="13.109375" customWidth="1"/>
    <col min="23" max="23" width="11.109375" customWidth="1"/>
    <col min="24" max="25" width="10.33203125" customWidth="1"/>
    <col min="26" max="26" width="12.33203125" customWidth="1"/>
    <col min="27" max="27" width="10" bestFit="1" customWidth="1"/>
    <col min="28" max="28" width="12.77734375" customWidth="1"/>
  </cols>
  <sheetData>
    <row r="1" spans="1:32" ht="91.8" customHeight="1" x14ac:dyDescent="1.65">
      <c r="A1" s="87" t="s">
        <v>95</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row>
    <row r="2" spans="1:32" ht="127.2" customHeight="1" x14ac:dyDescent="1.65">
      <c r="A2" s="60"/>
      <c r="B2" s="87"/>
      <c r="C2" s="87"/>
      <c r="D2" s="87"/>
      <c r="E2" s="87"/>
      <c r="F2" s="87"/>
      <c r="G2" s="87"/>
      <c r="H2" s="60"/>
      <c r="I2" s="30"/>
      <c r="J2" s="30"/>
      <c r="L2" s="91" t="str">
        <f>IF(L11&lt;=K11,"ERROR, CHARGING VOLTAGE LESS THAN MAX RATED BANK VOLTAGE", "CHARGING VOLTAGE OK")</f>
        <v>ERROR, CHARGING VOLTAGE LESS THAN MAX RATED BANK VOLTAGE</v>
      </c>
      <c r="M2" s="91"/>
      <c r="N2" s="91"/>
      <c r="O2" s="91"/>
      <c r="P2" s="91"/>
      <c r="Q2" s="62" t="s">
        <v>97</v>
      </c>
    </row>
    <row r="3" spans="1:32" ht="127.2" customHeight="1" x14ac:dyDescent="1.65">
      <c r="A3" s="60"/>
      <c r="B3" s="60"/>
      <c r="C3" s="60"/>
      <c r="D3" s="60"/>
      <c r="E3" s="60"/>
      <c r="F3" s="60"/>
      <c r="G3" s="60"/>
      <c r="H3" s="60"/>
      <c r="I3" s="30"/>
      <c r="J3" s="30"/>
    </row>
    <row r="4" spans="1:32" ht="28.8" x14ac:dyDescent="0.55000000000000004">
      <c r="B4" s="88" t="s">
        <v>107</v>
      </c>
      <c r="C4" s="88"/>
      <c r="D4" s="88"/>
      <c r="E4" s="86" t="s">
        <v>30</v>
      </c>
      <c r="F4" s="86"/>
      <c r="G4" s="86"/>
      <c r="H4" s="86"/>
      <c r="I4" s="1"/>
      <c r="J4" s="1"/>
      <c r="M4" s="77" t="s">
        <v>133</v>
      </c>
      <c r="N4" s="77"/>
      <c r="O4" s="77"/>
      <c r="P4" s="77"/>
      <c r="Q4" s="77"/>
      <c r="R4" s="77"/>
      <c r="S4" s="77"/>
      <c r="T4" s="77"/>
      <c r="U4" s="77"/>
      <c r="V4" s="77"/>
      <c r="W4" s="77"/>
      <c r="X4" s="77"/>
      <c r="Y4" s="77"/>
      <c r="Z4" s="77"/>
      <c r="AA4" s="77"/>
      <c r="AB4" s="77"/>
      <c r="AC4" s="77"/>
      <c r="AD4" s="77"/>
      <c r="AE4" s="77"/>
      <c r="AF4" s="77"/>
    </row>
    <row r="5" spans="1:32" ht="20.399999999999999" thickBot="1" x14ac:dyDescent="0.35">
      <c r="B5" s="5" t="s">
        <v>1</v>
      </c>
      <c r="C5" s="31">
        <v>4.08</v>
      </c>
      <c r="D5" s="6" t="s">
        <v>12</v>
      </c>
      <c r="E5" s="16" t="s">
        <v>10</v>
      </c>
      <c r="F5" s="16">
        <f>C14*C6</f>
        <v>1120</v>
      </c>
      <c r="G5" s="16"/>
      <c r="I5" s="16"/>
      <c r="J5" s="16"/>
      <c r="M5" s="92" t="s">
        <v>33</v>
      </c>
      <c r="N5" s="92"/>
      <c r="O5" s="92"/>
      <c r="P5" s="92"/>
      <c r="Q5" s="92"/>
      <c r="R5" s="92"/>
      <c r="S5" s="92"/>
      <c r="T5" s="63"/>
      <c r="U5" s="63"/>
      <c r="V5" s="96" t="s">
        <v>34</v>
      </c>
      <c r="W5" s="96"/>
      <c r="X5" s="96"/>
      <c r="Y5" s="96"/>
      <c r="Z5" s="96"/>
      <c r="AA5" s="96"/>
    </row>
    <row r="6" spans="1:32" ht="24" customHeight="1" thickTop="1" thickBot="1" x14ac:dyDescent="0.35">
      <c r="B6" s="5" t="s">
        <v>2</v>
      </c>
      <c r="C6" s="31">
        <v>140</v>
      </c>
      <c r="D6" s="6" t="s">
        <v>9</v>
      </c>
      <c r="E6" s="16" t="s">
        <v>11</v>
      </c>
      <c r="F6" s="16">
        <f>C5/C14</f>
        <v>0.51</v>
      </c>
      <c r="G6" s="16"/>
      <c r="I6" s="16"/>
      <c r="J6" s="16"/>
      <c r="L6" s="20" t="s">
        <v>106</v>
      </c>
      <c r="M6" t="s">
        <v>45</v>
      </c>
      <c r="N6" s="28" t="s">
        <v>9</v>
      </c>
      <c r="O6" s="18"/>
      <c r="P6" s="18"/>
      <c r="Q6" t="s">
        <v>45</v>
      </c>
      <c r="R6" s="28" t="s">
        <v>39</v>
      </c>
      <c r="S6" s="18"/>
      <c r="T6" s="18" t="s">
        <v>114</v>
      </c>
      <c r="U6" s="18"/>
      <c r="V6" t="s">
        <v>45</v>
      </c>
      <c r="W6" s="29" t="s">
        <v>9</v>
      </c>
      <c r="X6" s="1"/>
      <c r="Y6" s="1"/>
      <c r="Z6" t="s">
        <v>45</v>
      </c>
      <c r="AA6" s="29" t="s">
        <v>39</v>
      </c>
      <c r="AD6" t="s">
        <v>115</v>
      </c>
    </row>
    <row r="7" spans="1:32" ht="21" thickTop="1" thickBot="1" x14ac:dyDescent="0.35">
      <c r="B7" s="5" t="s">
        <v>3</v>
      </c>
      <c r="C7" s="31">
        <v>0.06</v>
      </c>
      <c r="D7" s="6" t="s">
        <v>13</v>
      </c>
      <c r="E7" s="16" t="s">
        <v>16</v>
      </c>
      <c r="F7" s="17">
        <f>C7*C14</f>
        <v>0.48</v>
      </c>
      <c r="G7" s="17"/>
      <c r="I7" s="17"/>
      <c r="J7" s="17"/>
      <c r="L7" s="20" t="s">
        <v>35</v>
      </c>
      <c r="M7">
        <v>0</v>
      </c>
      <c r="N7">
        <f>0.001</f>
        <v>1E-3</v>
      </c>
      <c r="Q7">
        <v>0</v>
      </c>
      <c r="R7" s="14">
        <f>L11/C23</f>
        <v>4.4000000000000004</v>
      </c>
      <c r="S7" s="2"/>
      <c r="T7" s="14">
        <f>R7*N7</f>
        <v>4.4000000000000003E-3</v>
      </c>
      <c r="U7" s="2"/>
      <c r="V7">
        <v>0</v>
      </c>
      <c r="W7">
        <f>K11</f>
        <v>1120</v>
      </c>
      <c r="Z7">
        <v>0</v>
      </c>
      <c r="AA7">
        <f>C17/C23</f>
        <v>224</v>
      </c>
      <c r="AD7">
        <f>AA7*W7</f>
        <v>250880</v>
      </c>
    </row>
    <row r="8" spans="1:32" ht="15" thickTop="1" x14ac:dyDescent="0.3">
      <c r="B8" s="98" t="s">
        <v>17</v>
      </c>
      <c r="C8" s="9">
        <f>0.5*C5*POWER(C6,2)</f>
        <v>39984</v>
      </c>
      <c r="D8" s="6" t="s">
        <v>18</v>
      </c>
      <c r="L8" s="20">
        <f>2.718281828</f>
        <v>2.7182818279999998</v>
      </c>
      <c r="M8">
        <v>1</v>
      </c>
      <c r="N8">
        <f>N$7*(1-EXP(-M8/C$25))</f>
        <v>7.5434491671521608E-5</v>
      </c>
      <c r="Q8">
        <v>1</v>
      </c>
      <c r="R8">
        <f t="shared" ref="R8:R27" si="0">R$7*EXP(-M8/C$25)</f>
        <v>4.0680882366453055</v>
      </c>
      <c r="T8" s="14">
        <f t="shared" ref="T8:T34" si="1">R8*N8</f>
        <v>3.0687416820623535E-4</v>
      </c>
      <c r="V8">
        <v>1</v>
      </c>
      <c r="W8">
        <f>W$7*EXP(-$V8/$C$25)</f>
        <v>1035.5133693278958</v>
      </c>
      <c r="Z8">
        <v>1</v>
      </c>
      <c r="AA8">
        <f>AA$7*(EXP(-$M8/$C$25))</f>
        <v>207.10267386557916</v>
      </c>
      <c r="AD8">
        <f t="shared" ref="AD8:AD34" si="2">AA8*W8</f>
        <v>214457.58761136222</v>
      </c>
    </row>
    <row r="9" spans="1:32" x14ac:dyDescent="0.3">
      <c r="B9" s="98"/>
      <c r="C9" s="9">
        <f>C8/3600</f>
        <v>11.106666666666667</v>
      </c>
      <c r="D9" s="6" t="s">
        <v>19</v>
      </c>
      <c r="M9">
        <v>2</v>
      </c>
      <c r="N9">
        <f>N$7*(1-EXP(-M9/C$25))</f>
        <v>1.4517862080930244E-4</v>
      </c>
      <c r="Q9">
        <v>2</v>
      </c>
      <c r="R9">
        <f t="shared" si="0"/>
        <v>3.7612140684390694</v>
      </c>
      <c r="T9" s="14">
        <f t="shared" si="1"/>
        <v>5.4604787102452933E-4</v>
      </c>
      <c r="V9">
        <v>2</v>
      </c>
      <c r="W9">
        <f t="shared" ref="W9:W26" si="3">W$7*EXP(-$V9/$C$25)</f>
        <v>957.39994469358123</v>
      </c>
      <c r="Z9">
        <v>2</v>
      </c>
      <c r="AA9">
        <f t="shared" ref="AA9:AA26" si="4">AA$7*(EXP(-$M9/$C$25))</f>
        <v>191.47998893871625</v>
      </c>
      <c r="AD9">
        <f t="shared" si="2"/>
        <v>183322.93081985449</v>
      </c>
    </row>
    <row r="10" spans="1:32" ht="20.399999999999999" thickBot="1" x14ac:dyDescent="0.35">
      <c r="B10" s="8" t="s">
        <v>25</v>
      </c>
      <c r="C10" s="15">
        <f>C7*C5</f>
        <v>0.24479999999999999</v>
      </c>
      <c r="D10" s="6" t="s">
        <v>24</v>
      </c>
      <c r="K10" s="4" t="s">
        <v>40</v>
      </c>
      <c r="L10" s="31" t="s">
        <v>36</v>
      </c>
      <c r="M10">
        <v>3</v>
      </c>
      <c r="N10">
        <f>N$7*(1-EXP(-M10/C$25))</f>
        <v>2.0966163701850181E-4</v>
      </c>
      <c r="Q10">
        <v>3</v>
      </c>
      <c r="R10">
        <f t="shared" si="0"/>
        <v>3.4774887971185922</v>
      </c>
      <c r="T10" s="14">
        <f t="shared" si="1"/>
        <v>7.2909599391738473E-4</v>
      </c>
      <c r="V10">
        <v>3</v>
      </c>
      <c r="W10">
        <f t="shared" si="3"/>
        <v>885.17896653927801</v>
      </c>
      <c r="Z10">
        <v>3</v>
      </c>
      <c r="AA10">
        <f t="shared" si="4"/>
        <v>177.03579330785558</v>
      </c>
      <c r="AD10">
        <f t="shared" si="2"/>
        <v>156708.36056070882</v>
      </c>
    </row>
    <row r="11" spans="1:32" ht="21" thickTop="1" thickBot="1" x14ac:dyDescent="0.45">
      <c r="B11" s="8" t="s">
        <v>23</v>
      </c>
      <c r="C11" s="15">
        <f>5*C10</f>
        <v>1.224</v>
      </c>
      <c r="D11" s="6" t="s">
        <v>24</v>
      </c>
      <c r="K11" s="1">
        <f>C17</f>
        <v>1120</v>
      </c>
      <c r="L11" s="32">
        <v>22</v>
      </c>
      <c r="M11">
        <v>4</v>
      </c>
      <c r="N11">
        <f t="shared" ref="N11:N26" si="5">N$7*(1-EXP(-M11/C$25))</f>
        <v>2.6928040967851366E-4</v>
      </c>
      <c r="Q11">
        <v>4</v>
      </c>
      <c r="R11">
        <f t="shared" si="0"/>
        <v>3.2151661974145402</v>
      </c>
      <c r="T11" s="14">
        <f t="shared" si="1"/>
        <v>8.6578127082429629E-4</v>
      </c>
      <c r="V11">
        <v>4</v>
      </c>
      <c r="W11">
        <f t="shared" si="3"/>
        <v>818.40594116006469</v>
      </c>
      <c r="Z11">
        <v>4</v>
      </c>
      <c r="AA11">
        <f t="shared" si="4"/>
        <v>163.68118823201294</v>
      </c>
      <c r="AD11">
        <f t="shared" si="2"/>
        <v>133957.65690521826</v>
      </c>
    </row>
    <row r="12" spans="1:32" ht="15" thickTop="1" x14ac:dyDescent="0.3">
      <c r="B12" s="8"/>
      <c r="C12" s="15"/>
      <c r="D12" s="6"/>
      <c r="M12">
        <v>5</v>
      </c>
      <c r="N12">
        <f t="shared" si="5"/>
        <v>3.2440187052883753E-4</v>
      </c>
      <c r="Q12">
        <v>5</v>
      </c>
      <c r="R12">
        <f t="shared" si="0"/>
        <v>2.9726317696731153</v>
      </c>
      <c r="T12" s="14">
        <f t="shared" si="1"/>
        <v>9.6432730647540718E-4</v>
      </c>
      <c r="V12">
        <v>5</v>
      </c>
      <c r="W12">
        <f t="shared" si="3"/>
        <v>756.66990500770203</v>
      </c>
      <c r="Z12">
        <v>5</v>
      </c>
      <c r="AA12">
        <f t="shared" si="4"/>
        <v>151.33398100154039</v>
      </c>
      <c r="AD12">
        <f t="shared" si="2"/>
        <v>114509.86902887296</v>
      </c>
    </row>
    <row r="13" spans="1:32" ht="30" x14ac:dyDescent="0.4">
      <c r="B13" s="8"/>
      <c r="C13" s="15"/>
      <c r="D13" s="6"/>
      <c r="E13" s="81" t="s">
        <v>54</v>
      </c>
      <c r="F13" s="81"/>
      <c r="G13" s="44"/>
      <c r="K13" s="64" t="s">
        <v>105</v>
      </c>
      <c r="L13" s="14" t="e">
        <f>M34</f>
        <v>#NUM!</v>
      </c>
      <c r="M13">
        <v>6</v>
      </c>
      <c r="N13">
        <f t="shared" si="5"/>
        <v>3.7536527199972559E-4</v>
      </c>
      <c r="Q13">
        <v>6</v>
      </c>
      <c r="R13">
        <f t="shared" si="0"/>
        <v>2.7483928032012077</v>
      </c>
      <c r="T13" s="14">
        <f t="shared" si="1"/>
        <v>1.0316512121357096E-3</v>
      </c>
      <c r="V13">
        <v>6</v>
      </c>
      <c r="W13">
        <f t="shared" si="3"/>
        <v>699.5908953603074</v>
      </c>
      <c r="Z13">
        <v>6</v>
      </c>
      <c r="AA13">
        <f t="shared" si="4"/>
        <v>139.91817907206146</v>
      </c>
      <c r="AD13">
        <f t="shared" si="2"/>
        <v>97885.484174207304</v>
      </c>
    </row>
    <row r="14" spans="1:32" ht="29.4" thickBot="1" x14ac:dyDescent="0.35">
      <c r="B14" s="8" t="s">
        <v>4</v>
      </c>
      <c r="C14" s="31">
        <v>8</v>
      </c>
      <c r="D14" s="7" t="s">
        <v>15</v>
      </c>
      <c r="E14" t="s">
        <v>55</v>
      </c>
      <c r="F14" s="102">
        <v>3</v>
      </c>
      <c r="G14" t="s">
        <v>137</v>
      </c>
      <c r="K14" t="s">
        <v>90</v>
      </c>
      <c r="L14">
        <f>R8</f>
        <v>4.0680882366453055</v>
      </c>
      <c r="M14">
        <v>7</v>
      </c>
      <c r="N14">
        <f t="shared" si="5"/>
        <v>4.2248427518680557E-4</v>
      </c>
      <c r="Q14">
        <v>7</v>
      </c>
      <c r="R14">
        <f t="shared" si="0"/>
        <v>2.5410691891780557</v>
      </c>
      <c r="T14" s="14">
        <f t="shared" si="1"/>
        <v>1.0735617745894145E-3</v>
      </c>
      <c r="V14">
        <v>7</v>
      </c>
      <c r="W14">
        <f t="shared" si="3"/>
        <v>646.81761179077785</v>
      </c>
      <c r="Z14">
        <v>7</v>
      </c>
      <c r="AA14">
        <f t="shared" si="4"/>
        <v>129.36352235815556</v>
      </c>
      <c r="AD14">
        <f t="shared" si="2"/>
        <v>83674.604584545072</v>
      </c>
    </row>
    <row r="15" spans="1:32" ht="24.6" thickTop="1" thickBot="1" x14ac:dyDescent="0.5">
      <c r="B15" s="8" t="s">
        <v>5</v>
      </c>
      <c r="C15" s="31">
        <v>5</v>
      </c>
      <c r="D15" s="7" t="s">
        <v>14</v>
      </c>
      <c r="E15" t="s">
        <v>110</v>
      </c>
      <c r="F15" s="43">
        <f>C14*C15</f>
        <v>40</v>
      </c>
      <c r="H15" s="97" t="s">
        <v>49</v>
      </c>
      <c r="I15" s="97"/>
      <c r="M15">
        <v>8</v>
      </c>
      <c r="N15">
        <f t="shared" si="5"/>
        <v>4.6604888032039914E-4</v>
      </c>
      <c r="Q15">
        <v>8</v>
      </c>
      <c r="R15">
        <f t="shared" si="0"/>
        <v>2.3493849265902438</v>
      </c>
      <c r="T15" s="14">
        <f t="shared" si="1"/>
        <v>1.0949282144790062E-3</v>
      </c>
      <c r="V15">
        <v>8</v>
      </c>
      <c r="W15">
        <f t="shared" si="3"/>
        <v>598.02525404115295</v>
      </c>
      <c r="Z15">
        <v>8</v>
      </c>
      <c r="AA15">
        <f t="shared" si="4"/>
        <v>119.60505080823059</v>
      </c>
      <c r="AD15">
        <f t="shared" si="2"/>
        <v>71526.840894197099</v>
      </c>
    </row>
    <row r="16" spans="1:32" ht="15" thickTop="1" x14ac:dyDescent="0.3">
      <c r="B16" s="8"/>
      <c r="C16" s="9"/>
      <c r="E16" t="s">
        <v>109</v>
      </c>
      <c r="F16" s="73">
        <f>C14*C15*F14</f>
        <v>120</v>
      </c>
      <c r="G16" s="38"/>
      <c r="M16">
        <v>9</v>
      </c>
      <c r="N16">
        <f t="shared" si="5"/>
        <v>5.0632721161086966E-4</v>
      </c>
      <c r="Q16">
        <v>9</v>
      </c>
      <c r="R16">
        <f t="shared" si="0"/>
        <v>2.1721602689121737</v>
      </c>
      <c r="T16" s="14">
        <f t="shared" si="1"/>
        <v>1.0998238521302177E-3</v>
      </c>
      <c r="V16">
        <v>9</v>
      </c>
      <c r="W16">
        <f t="shared" si="3"/>
        <v>552.91352299582593</v>
      </c>
      <c r="Z16">
        <v>9</v>
      </c>
      <c r="AA16">
        <f t="shared" si="4"/>
        <v>110.5827045991652</v>
      </c>
      <c r="AD16">
        <f t="shared" si="2"/>
        <v>61142.672782331152</v>
      </c>
    </row>
    <row r="17" spans="2:30" ht="18.600000000000001" thickBot="1" x14ac:dyDescent="0.4">
      <c r="B17" s="12" t="s">
        <v>6</v>
      </c>
      <c r="C17" s="10">
        <f>F5</f>
        <v>1120</v>
      </c>
      <c r="D17" s="6" t="s">
        <v>9</v>
      </c>
      <c r="H17" s="33" t="s">
        <v>50</v>
      </c>
      <c r="I17" s="34">
        <v>345387.76400743361</v>
      </c>
      <c r="M17">
        <v>10</v>
      </c>
      <c r="N17">
        <f t="shared" si="5"/>
        <v>5.4356716745506642E-4</v>
      </c>
      <c r="Q17">
        <v>10</v>
      </c>
      <c r="R17">
        <f t="shared" si="0"/>
        <v>2.0083044631977081</v>
      </c>
      <c r="T17" s="14">
        <f t="shared" si="1"/>
        <v>1.0916483684477458E-3</v>
      </c>
      <c r="V17">
        <v>10</v>
      </c>
      <c r="W17">
        <f t="shared" si="3"/>
        <v>511.20477245032566</v>
      </c>
      <c r="Z17">
        <v>10</v>
      </c>
      <c r="AA17">
        <f t="shared" si="4"/>
        <v>102.24095449006512</v>
      </c>
      <c r="AD17">
        <f t="shared" si="2"/>
        <v>52266.06387519784</v>
      </c>
    </row>
    <row r="18" spans="2:30" ht="19.2" thickTop="1" thickBot="1" x14ac:dyDescent="0.4">
      <c r="B18" s="12" t="s">
        <v>7</v>
      </c>
      <c r="C18" s="11">
        <v>0.02</v>
      </c>
      <c r="D18" s="6" t="s">
        <v>13</v>
      </c>
      <c r="H18" s="33" t="s">
        <v>52</v>
      </c>
      <c r="I18" s="34">
        <v>8</v>
      </c>
      <c r="M18">
        <v>11</v>
      </c>
      <c r="N18">
        <f t="shared" si="5"/>
        <v>5.779979461602862E-4</v>
      </c>
      <c r="Q18">
        <v>11</v>
      </c>
      <c r="R18">
        <f t="shared" si="0"/>
        <v>1.8568090368947405</v>
      </c>
      <c r="T18" s="14">
        <f t="shared" si="1"/>
        <v>1.0732318097370192E-3</v>
      </c>
      <c r="V18">
        <v>11</v>
      </c>
      <c r="W18">
        <f t="shared" si="3"/>
        <v>472.64230030047941</v>
      </c>
      <c r="Z18">
        <v>11</v>
      </c>
      <c r="AA18">
        <f t="shared" si="4"/>
        <v>94.528460060095881</v>
      </c>
      <c r="AD18">
        <f t="shared" si="2"/>
        <v>44678.148806665711</v>
      </c>
    </row>
    <row r="19" spans="2:30" ht="19.2" thickTop="1" thickBot="1" x14ac:dyDescent="0.4">
      <c r="B19" s="12" t="s">
        <v>8</v>
      </c>
      <c r="C19" s="13">
        <f>F6*C15</f>
        <v>2.5499999999999998</v>
      </c>
      <c r="D19" s="6" t="s">
        <v>12</v>
      </c>
      <c r="H19" s="33" t="s">
        <v>51</v>
      </c>
      <c r="I19" s="34">
        <v>0</v>
      </c>
      <c r="J19" s="85" t="s">
        <v>134</v>
      </c>
      <c r="K19" s="85"/>
      <c r="L19" s="85"/>
      <c r="M19">
        <v>12</v>
      </c>
      <c r="N19">
        <f t="shared" si="5"/>
        <v>6.0983145657602321E-4</v>
      </c>
      <c r="Q19">
        <v>12</v>
      </c>
      <c r="R19">
        <f t="shared" si="0"/>
        <v>1.7167415910654982</v>
      </c>
      <c r="T19" s="14">
        <f t="shared" si="1"/>
        <v>1.0469230250441124E-3</v>
      </c>
      <c r="V19">
        <v>12</v>
      </c>
      <c r="W19">
        <f t="shared" si="3"/>
        <v>436.98876863485407</v>
      </c>
      <c r="Z19">
        <v>12</v>
      </c>
      <c r="AA19">
        <f t="shared" si="4"/>
        <v>87.397753726970805</v>
      </c>
      <c r="AD19">
        <f t="shared" si="2"/>
        <v>38191.836782601204</v>
      </c>
    </row>
    <row r="20" spans="2:30" ht="18.600000000000001" thickTop="1" x14ac:dyDescent="0.35">
      <c r="B20" s="12" t="s">
        <v>20</v>
      </c>
      <c r="C20" s="13">
        <f>0.5*C19*POWER(C17,2)</f>
        <v>1599360</v>
      </c>
      <c r="D20" s="6" t="s">
        <v>18</v>
      </c>
      <c r="H20" s="35" t="s">
        <v>50</v>
      </c>
      <c r="I20" s="36">
        <f>SUM(J21:J23)</f>
        <v>345867.76400743361</v>
      </c>
      <c r="J20" s="37" t="s">
        <v>50</v>
      </c>
      <c r="K20" s="37" t="s">
        <v>52</v>
      </c>
      <c r="L20" s="37" t="s">
        <v>51</v>
      </c>
      <c r="M20">
        <v>13</v>
      </c>
      <c r="N20">
        <f t="shared" si="5"/>
        <v>6.3926362231542895E-4</v>
      </c>
      <c r="Q20">
        <v>13</v>
      </c>
      <c r="R20">
        <f t="shared" si="0"/>
        <v>1.587240061812113</v>
      </c>
      <c r="T20" s="14">
        <f t="shared" si="1"/>
        <v>1.0146648313981766E-3</v>
      </c>
      <c r="V20">
        <v>13</v>
      </c>
      <c r="W20">
        <f t="shared" si="3"/>
        <v>404.02474300671963</v>
      </c>
      <c r="Z20">
        <v>13</v>
      </c>
      <c r="AA20">
        <f t="shared" si="4"/>
        <v>80.804948601343938</v>
      </c>
      <c r="AD20">
        <f t="shared" si="2"/>
        <v>32647.198592329172</v>
      </c>
    </row>
    <row r="21" spans="2:30" ht="18" x14ac:dyDescent="0.35">
      <c r="B21" s="12" t="s">
        <v>22</v>
      </c>
      <c r="C21" s="13">
        <f>C18*C19</f>
        <v>5.0999999999999997E-2</v>
      </c>
      <c r="D21" s="6" t="s">
        <v>24</v>
      </c>
      <c r="H21" s="35" t="s">
        <v>52</v>
      </c>
      <c r="I21" s="36">
        <f>SUM(J21:J23)/60</f>
        <v>5764.4627334572269</v>
      </c>
      <c r="J21" s="37">
        <f>I17</f>
        <v>345387.76400743361</v>
      </c>
      <c r="K21" s="37">
        <f>I17/60</f>
        <v>5756.4627334572269</v>
      </c>
      <c r="L21" s="37">
        <f>I17/3600</f>
        <v>95.941045557620441</v>
      </c>
      <c r="M21">
        <v>14</v>
      </c>
      <c r="N21">
        <f t="shared" si="5"/>
        <v>6.6647558759349061E-4</v>
      </c>
      <c r="Q21">
        <v>14</v>
      </c>
      <c r="R21">
        <f t="shared" si="0"/>
        <v>1.4675074145886415</v>
      </c>
      <c r="T21" s="14">
        <f t="shared" si="1"/>
        <v>9.7805786643576911E-4</v>
      </c>
      <c r="V21">
        <v>14</v>
      </c>
      <c r="W21">
        <f t="shared" si="3"/>
        <v>373.54734189529057</v>
      </c>
      <c r="Z21">
        <v>14</v>
      </c>
      <c r="AA21">
        <f t="shared" si="4"/>
        <v>74.709468379058109</v>
      </c>
      <c r="AD21">
        <f t="shared" si="2"/>
        <v>27907.52332740742</v>
      </c>
    </row>
    <row r="22" spans="2:30" ht="18" x14ac:dyDescent="0.35">
      <c r="B22" s="12" t="s">
        <v>46</v>
      </c>
      <c r="C22" s="13">
        <f>C21*5</f>
        <v>0.255</v>
      </c>
      <c r="D22" s="6" t="s">
        <v>24</v>
      </c>
      <c r="H22" s="35" t="s">
        <v>51</v>
      </c>
      <c r="I22" s="36">
        <f>SUM(J21:J23)/3600</f>
        <v>96.074378890953781</v>
      </c>
      <c r="J22" s="37">
        <f>I18*60</f>
        <v>480</v>
      </c>
      <c r="K22" s="37" t="s">
        <v>53</v>
      </c>
      <c r="L22" s="37">
        <f>I18/60</f>
        <v>0.13333333333333333</v>
      </c>
      <c r="M22">
        <v>15</v>
      </c>
      <c r="N22">
        <f t="shared" si="5"/>
        <v>6.9163483210341861E-4</v>
      </c>
      <c r="Q22">
        <v>15</v>
      </c>
      <c r="R22">
        <f t="shared" si="0"/>
        <v>1.3568067387449583</v>
      </c>
      <c r="T22" s="14">
        <f t="shared" si="1"/>
        <v>9.3841480094865619E-4</v>
      </c>
      <c r="V22">
        <v>15</v>
      </c>
      <c r="W22">
        <f t="shared" si="3"/>
        <v>345.3689880441712</v>
      </c>
      <c r="Z22">
        <v>15</v>
      </c>
      <c r="AA22">
        <f t="shared" si="4"/>
        <v>69.073797608834241</v>
      </c>
      <c r="AD22">
        <f t="shared" si="2"/>
        <v>23855.947580530974</v>
      </c>
    </row>
    <row r="23" spans="2:30" ht="18" x14ac:dyDescent="0.35">
      <c r="B23" s="12" t="s">
        <v>26</v>
      </c>
      <c r="C23" s="13">
        <v>5</v>
      </c>
      <c r="D23" s="6" t="s">
        <v>131</v>
      </c>
      <c r="J23" s="37">
        <f>I19*3600</f>
        <v>0</v>
      </c>
      <c r="K23" s="37">
        <f>I19*60</f>
        <v>0</v>
      </c>
      <c r="L23" s="37" t="s">
        <v>53</v>
      </c>
      <c r="M23">
        <v>16</v>
      </c>
      <c r="N23">
        <f t="shared" si="5"/>
        <v>7.1489620179290055E-4</v>
      </c>
      <c r="Q23">
        <v>16</v>
      </c>
      <c r="R23">
        <f t="shared" si="0"/>
        <v>1.2544567121112375</v>
      </c>
      <c r="T23" s="14">
        <f t="shared" si="1"/>
        <v>8.9680633880193387E-4</v>
      </c>
      <c r="V23">
        <v>16</v>
      </c>
      <c r="W23">
        <f>W$7*EXP(-$V23/$C$25)</f>
        <v>319.31625399195133</v>
      </c>
      <c r="Z23">
        <v>16</v>
      </c>
      <c r="AA23">
        <f t="shared" si="4"/>
        <v>63.863250798390268</v>
      </c>
      <c r="AD23">
        <f t="shared" si="2"/>
        <v>20392.574012690475</v>
      </c>
    </row>
    <row r="24" spans="2:30" ht="18" x14ac:dyDescent="0.35">
      <c r="B24" s="12" t="s">
        <v>27</v>
      </c>
      <c r="C24" s="13">
        <f>C23*C19*5/60</f>
        <v>1.0625</v>
      </c>
      <c r="D24" s="6" t="s">
        <v>28</v>
      </c>
      <c r="E24">
        <f>C24/60</f>
        <v>1.7708333333333333E-2</v>
      </c>
      <c r="F24" t="s">
        <v>29</v>
      </c>
      <c r="M24">
        <v>17</v>
      </c>
      <c r="N24">
        <f t="shared" si="5"/>
        <v>7.364028618842733E-4</v>
      </c>
      <c r="Q24">
        <v>17</v>
      </c>
      <c r="R24">
        <f t="shared" si="0"/>
        <v>1.1598274077091979</v>
      </c>
      <c r="T24" s="14">
        <f t="shared" si="1"/>
        <v>8.5410022232887124E-4</v>
      </c>
      <c r="V24">
        <v>17</v>
      </c>
      <c r="W24">
        <f t="shared" si="3"/>
        <v>295.22879468961401</v>
      </c>
      <c r="Z24">
        <v>17</v>
      </c>
      <c r="AA24">
        <f t="shared" si="4"/>
        <v>59.045758937922798</v>
      </c>
      <c r="AD24">
        <f t="shared" si="2"/>
        <v>17432.00824277645</v>
      </c>
    </row>
    <row r="25" spans="2:30" ht="18" x14ac:dyDescent="0.35">
      <c r="B25" s="12" t="s">
        <v>31</v>
      </c>
      <c r="C25" s="13">
        <f>C23*C19</f>
        <v>12.75</v>
      </c>
      <c r="M25">
        <v>18</v>
      </c>
      <c r="N25">
        <f t="shared" si="5"/>
        <v>7.5628717800410095E-4</v>
      </c>
      <c r="Q25">
        <v>18</v>
      </c>
      <c r="R25">
        <f t="shared" si="0"/>
        <v>1.0723364167819558</v>
      </c>
      <c r="T25" s="14">
        <f t="shared" si="1"/>
        <v>8.109942825190548E-4</v>
      </c>
      <c r="V25">
        <v>18</v>
      </c>
      <c r="W25">
        <f t="shared" si="3"/>
        <v>272.9583606354069</v>
      </c>
      <c r="Z25">
        <v>18</v>
      </c>
      <c r="AA25">
        <f t="shared" si="4"/>
        <v>54.591672127081381</v>
      </c>
      <c r="AD25">
        <f t="shared" si="2"/>
        <v>14901.253328153771</v>
      </c>
    </row>
    <row r="26" spans="2:30" x14ac:dyDescent="0.3">
      <c r="M26">
        <v>19</v>
      </c>
      <c r="N26">
        <f t="shared" si="5"/>
        <v>7.7467153084519375E-4</v>
      </c>
      <c r="Q26">
        <v>19</v>
      </c>
      <c r="R26">
        <f t="shared" si="0"/>
        <v>0.99144526428114799</v>
      </c>
      <c r="T26" s="14">
        <f t="shared" si="1"/>
        <v>7.6804442062989458E-4</v>
      </c>
      <c r="V26">
        <v>19</v>
      </c>
      <c r="W26">
        <f t="shared" si="3"/>
        <v>252.36788545338311</v>
      </c>
      <c r="Z26">
        <v>19</v>
      </c>
      <c r="AA26">
        <f t="shared" si="4"/>
        <v>50.473577090676621</v>
      </c>
      <c r="AD26">
        <f t="shared" si="2"/>
        <v>12737.90992164238</v>
      </c>
    </row>
    <row r="27" spans="2:30" x14ac:dyDescent="0.3">
      <c r="B27" s="83" t="s">
        <v>21</v>
      </c>
      <c r="C27" s="83"/>
      <c r="L27" s="3" t="s">
        <v>38</v>
      </c>
      <c r="M27">
        <v>20</v>
      </c>
      <c r="N27">
        <f>N$7*(1-EXP(-M27/C$25))</f>
        <v>7.9166906937500861E-4</v>
      </c>
      <c r="O27" s="22" t="s">
        <v>41</v>
      </c>
      <c r="Q27">
        <v>20</v>
      </c>
      <c r="R27">
        <f t="shared" si="0"/>
        <v>0.91665609474996224</v>
      </c>
      <c r="S27" s="26" t="s">
        <v>42</v>
      </c>
      <c r="T27" s="14">
        <f t="shared" si="1"/>
        <v>7.2568827746763236E-4</v>
      </c>
      <c r="V27">
        <v>20</v>
      </c>
      <c r="W27">
        <f>W$7*EXP(-$V27/$C$25)</f>
        <v>233.33064229999036</v>
      </c>
      <c r="X27" s="22" t="s">
        <v>41</v>
      </c>
      <c r="Z27">
        <v>20</v>
      </c>
      <c r="AA27">
        <f>AA$7*(EXP(-$M27/$C$25))</f>
        <v>46.66612845999807</v>
      </c>
      <c r="AB27" s="26" t="s">
        <v>42</v>
      </c>
      <c r="AC27" t="s">
        <v>44</v>
      </c>
      <c r="AD27">
        <f t="shared" si="2"/>
        <v>10888.63772722521</v>
      </c>
    </row>
    <row r="28" spans="2:30" x14ac:dyDescent="0.3">
      <c r="B28" s="4" t="s">
        <v>108</v>
      </c>
      <c r="C28" s="4" t="s">
        <v>135</v>
      </c>
      <c r="L28" s="14" t="e">
        <f>M28/60</f>
        <v>#NUM!</v>
      </c>
      <c r="M28" s="25" t="e">
        <f>-1*C$25*LOG(1-IFERROR(N28/L$11,"negative_input"),L$8)</f>
        <v>#NUM!</v>
      </c>
      <c r="N28" s="14">
        <f>0.5*N34</f>
        <v>560</v>
      </c>
      <c r="O28" s="23">
        <f t="shared" ref="O28:O33" si="6">N28/N$34</f>
        <v>0.5</v>
      </c>
      <c r="Q28" s="14">
        <f>-$C$25*LOG(R28/$R$7,$L$8)</f>
        <v>6.5130267041162586</v>
      </c>
      <c r="R28">
        <f>S28*$R$7</f>
        <v>2.64</v>
      </c>
      <c r="S28" s="27">
        <v>0.6</v>
      </c>
      <c r="T28" s="14">
        <f t="shared" si="1"/>
        <v>1478.4</v>
      </c>
      <c r="V28" s="14">
        <f t="shared" ref="V28:V34" si="7">-1*$C$25*LOG(W28/$W$7,$L$8)</f>
        <v>6.5130267041162586</v>
      </c>
      <c r="W28">
        <f>0.6*C17</f>
        <v>672</v>
      </c>
      <c r="X28" s="23">
        <f t="shared" ref="X28:X34" si="8">W28/W$7</f>
        <v>0.6</v>
      </c>
      <c r="Z28" s="14">
        <f>-$C$25*LOG(AA28/$AA$7,$L$8)</f>
        <v>6.5130267041162586</v>
      </c>
      <c r="AA28">
        <f>0.6*$AA$7</f>
        <v>134.4</v>
      </c>
      <c r="AB28" s="27">
        <f>AA28/$AA$7</f>
        <v>0.6</v>
      </c>
      <c r="AC28">
        <f>Z28/60</f>
        <v>0.10855044506860431</v>
      </c>
      <c r="AD28">
        <f t="shared" si="2"/>
        <v>90316.800000000003</v>
      </c>
    </row>
    <row r="29" spans="2:30" x14ac:dyDescent="0.3">
      <c r="B29">
        <v>0.1</v>
      </c>
      <c r="C29">
        <f>C18*POWER(B29,2)</f>
        <v>2.0000000000000004E-4</v>
      </c>
      <c r="L29" s="14" t="e">
        <f t="shared" ref="L29:L34" si="9">M29/60</f>
        <v>#NUM!</v>
      </c>
      <c r="M29" s="25" t="e">
        <f t="shared" ref="M29:M33" si="10">-1*C$25*LOG(1-IFERROR(N29/L$11,"negative_input"),L$8)</f>
        <v>#NUM!</v>
      </c>
      <c r="N29" s="14">
        <f>0.638*N34</f>
        <v>714.56000000000006</v>
      </c>
      <c r="O29" s="23">
        <f t="shared" si="6"/>
        <v>0.63800000000000001</v>
      </c>
      <c r="Q29" s="14">
        <f t="shared" ref="Q29:Q34" si="11">-$C$25*LOG(R29/$R$7,$L$8)</f>
        <v>8.8376265536317433</v>
      </c>
      <c r="R29">
        <f t="shared" ref="R29:R34" si="12">S29*$R$7</f>
        <v>2.2000000000000002</v>
      </c>
      <c r="S29" s="27">
        <v>0.5</v>
      </c>
      <c r="T29" s="14">
        <f t="shared" si="1"/>
        <v>1572.0320000000002</v>
      </c>
      <c r="V29" s="14">
        <f t="shared" si="7"/>
        <v>8.8376265536317433</v>
      </c>
      <c r="W29">
        <f>0.5*C17</f>
        <v>560</v>
      </c>
      <c r="X29" s="23">
        <f t="shared" si="8"/>
        <v>0.5</v>
      </c>
      <c r="Z29" s="14">
        <f t="shared" ref="Z29:Z34" si="13">-$C$25*LOG(AA29/$AA$7,$L$8)</f>
        <v>8.8376265536317433</v>
      </c>
      <c r="AA29">
        <f>0.5*AA7</f>
        <v>112</v>
      </c>
      <c r="AB29" s="27">
        <f t="shared" ref="AB29:AB34" si="14">AA29/$AA$7</f>
        <v>0.5</v>
      </c>
      <c r="AC29">
        <f t="shared" ref="AC29:AC34" si="15">Z29/60</f>
        <v>0.14729377589386239</v>
      </c>
      <c r="AD29">
        <f t="shared" si="2"/>
        <v>62720</v>
      </c>
    </row>
    <row r="30" spans="2:30" x14ac:dyDescent="0.3">
      <c r="B30">
        <v>0.5</v>
      </c>
      <c r="C30">
        <f>C18*POWER(B30,2)</f>
        <v>5.0000000000000001E-3</v>
      </c>
      <c r="L30" s="14" t="e">
        <f t="shared" si="9"/>
        <v>#NUM!</v>
      </c>
      <c r="M30" s="25" t="e">
        <f t="shared" si="10"/>
        <v>#NUM!</v>
      </c>
      <c r="N30" s="14">
        <f>0.7*N34</f>
        <v>784</v>
      </c>
      <c r="O30" s="23">
        <f t="shared" si="6"/>
        <v>0.7</v>
      </c>
      <c r="Q30" s="14">
        <f t="shared" si="11"/>
        <v>11.682706833368375</v>
      </c>
      <c r="R30">
        <f t="shared" si="12"/>
        <v>1.7600000000000002</v>
      </c>
      <c r="S30" s="27">
        <v>0.4</v>
      </c>
      <c r="T30" s="14">
        <f t="shared" si="1"/>
        <v>1379.8400000000001</v>
      </c>
      <c r="V30" s="14">
        <f t="shared" si="7"/>
        <v>12.471618230907216</v>
      </c>
      <c r="W30">
        <f>0.376*C17</f>
        <v>421.12</v>
      </c>
      <c r="X30" s="23">
        <f t="shared" si="8"/>
        <v>0.376</v>
      </c>
      <c r="Z30" s="14">
        <f t="shared" si="13"/>
        <v>11.682706833368375</v>
      </c>
      <c r="AA30">
        <f>0.4*AA7</f>
        <v>89.600000000000009</v>
      </c>
      <c r="AB30" s="27">
        <f t="shared" si="14"/>
        <v>0.4</v>
      </c>
      <c r="AC30">
        <f t="shared" si="15"/>
        <v>0.19471178055613958</v>
      </c>
      <c r="AD30">
        <f t="shared" si="2"/>
        <v>37732.352000000006</v>
      </c>
    </row>
    <row r="31" spans="2:30" x14ac:dyDescent="0.3">
      <c r="B31">
        <v>1</v>
      </c>
      <c r="C31">
        <f>C18*POWER(B31,2)</f>
        <v>0.02</v>
      </c>
      <c r="L31" s="14" t="e">
        <f t="shared" si="9"/>
        <v>#NUM!</v>
      </c>
      <c r="M31" s="25" t="e">
        <f t="shared" si="10"/>
        <v>#NUM!</v>
      </c>
      <c r="N31" s="14">
        <f>N34*0.8</f>
        <v>896</v>
      </c>
      <c r="O31" s="23">
        <f t="shared" si="6"/>
        <v>0.8</v>
      </c>
      <c r="Q31" s="14">
        <f t="shared" si="11"/>
        <v>15.350653257748002</v>
      </c>
      <c r="R31">
        <f t="shared" si="12"/>
        <v>1.32</v>
      </c>
      <c r="S31" s="27">
        <v>0.3</v>
      </c>
      <c r="T31" s="14">
        <f t="shared" si="1"/>
        <v>1182.72</v>
      </c>
      <c r="V31" s="14">
        <f t="shared" si="7"/>
        <v>15.350653257748002</v>
      </c>
      <c r="W31">
        <f>0.3*C17</f>
        <v>336</v>
      </c>
      <c r="X31" s="23">
        <f t="shared" si="8"/>
        <v>0.3</v>
      </c>
      <c r="Z31" s="14">
        <f t="shared" si="13"/>
        <v>15.350653257748002</v>
      </c>
      <c r="AA31">
        <f>0.3*AA7</f>
        <v>67.2</v>
      </c>
      <c r="AB31" s="27">
        <f t="shared" si="14"/>
        <v>0.3</v>
      </c>
      <c r="AC31">
        <f t="shared" si="15"/>
        <v>0.25584422096246667</v>
      </c>
      <c r="AD31">
        <f t="shared" si="2"/>
        <v>22579.200000000001</v>
      </c>
    </row>
    <row r="32" spans="2:30" x14ac:dyDescent="0.3">
      <c r="B32">
        <v>1.2</v>
      </c>
      <c r="C32">
        <f>C18*POWER(B32,2)</f>
        <v>2.8799999999999999E-2</v>
      </c>
      <c r="L32" s="14" t="e">
        <f t="shared" si="9"/>
        <v>#NUM!</v>
      </c>
      <c r="M32" s="25" t="e">
        <f t="shared" si="10"/>
        <v>#NUM!</v>
      </c>
      <c r="N32" s="14">
        <f>0.9*N34</f>
        <v>1008</v>
      </c>
      <c r="O32" s="23">
        <f t="shared" si="6"/>
        <v>0.9</v>
      </c>
      <c r="Q32" s="14">
        <f t="shared" si="11"/>
        <v>15.350653257748002</v>
      </c>
      <c r="R32">
        <f t="shared" si="12"/>
        <v>1.32</v>
      </c>
      <c r="S32" s="27">
        <v>0.3</v>
      </c>
      <c r="T32" s="14">
        <f t="shared" si="1"/>
        <v>1330.5600000000002</v>
      </c>
      <c r="V32" s="14">
        <f t="shared" si="7"/>
        <v>20.520333387000118</v>
      </c>
      <c r="W32">
        <f>0.2*C17</f>
        <v>224</v>
      </c>
      <c r="X32" s="23">
        <f t="shared" si="8"/>
        <v>0.2</v>
      </c>
      <c r="Z32" s="14">
        <f t="shared" si="13"/>
        <v>15.350653257748002</v>
      </c>
      <c r="AA32">
        <f>0.3*AA7</f>
        <v>67.2</v>
      </c>
      <c r="AB32" s="27">
        <f t="shared" si="14"/>
        <v>0.3</v>
      </c>
      <c r="AC32">
        <f t="shared" si="15"/>
        <v>0.25584422096246667</v>
      </c>
      <c r="AD32">
        <f t="shared" si="2"/>
        <v>15052.800000000001</v>
      </c>
    </row>
    <row r="33" spans="2:36" x14ac:dyDescent="0.3">
      <c r="B33">
        <v>1.5</v>
      </c>
      <c r="C33">
        <f>C18*POWER(B33,2)</f>
        <v>4.4999999999999998E-2</v>
      </c>
      <c r="L33" s="14" t="e">
        <f t="shared" si="9"/>
        <v>#NUM!</v>
      </c>
      <c r="M33" s="25" t="e">
        <f t="shared" si="10"/>
        <v>#NUM!</v>
      </c>
      <c r="N33" s="14">
        <f>0.98*N$34</f>
        <v>1097.5999999999999</v>
      </c>
      <c r="O33" s="23">
        <f t="shared" si="6"/>
        <v>0.97999999999999987</v>
      </c>
      <c r="Q33" s="14">
        <f t="shared" si="11"/>
        <v>24.188279811379743</v>
      </c>
      <c r="R33">
        <f t="shared" si="12"/>
        <v>0.66</v>
      </c>
      <c r="S33" s="27">
        <v>0.15</v>
      </c>
      <c r="T33" s="14">
        <f t="shared" si="1"/>
        <v>724.41599999999994</v>
      </c>
      <c r="V33" s="14">
        <f t="shared" si="7"/>
        <v>24.188279811379743</v>
      </c>
      <c r="W33">
        <f>0.15*C17</f>
        <v>168</v>
      </c>
      <c r="X33" s="23">
        <f t="shared" si="8"/>
        <v>0.15</v>
      </c>
      <c r="Z33" s="14">
        <f t="shared" si="13"/>
        <v>24.188279811379743</v>
      </c>
      <c r="AA33">
        <f>0.15*AA7</f>
        <v>33.6</v>
      </c>
      <c r="AB33" s="26">
        <f t="shared" si="14"/>
        <v>0.15</v>
      </c>
      <c r="AC33">
        <f t="shared" si="15"/>
        <v>0.40313799685632906</v>
      </c>
      <c r="AD33">
        <f t="shared" si="2"/>
        <v>5644.8</v>
      </c>
    </row>
    <row r="34" spans="2:36" x14ac:dyDescent="0.3">
      <c r="B34">
        <v>2</v>
      </c>
      <c r="C34">
        <f>C18*POWER(B34,2)</f>
        <v>0.08</v>
      </c>
      <c r="L34" s="14" t="e">
        <f t="shared" si="9"/>
        <v>#NUM!</v>
      </c>
      <c r="M34" s="25" t="e">
        <f>-1*C$25*LOG(1-IFERROR(N34/L$11,"negative_input"),L$8)</f>
        <v>#NUM!</v>
      </c>
      <c r="N34" s="14">
        <f>C17</f>
        <v>1120</v>
      </c>
      <c r="O34" s="22" t="s">
        <v>37</v>
      </c>
      <c r="Q34" s="14">
        <f t="shared" si="11"/>
        <v>29.357959940631858</v>
      </c>
      <c r="R34">
        <f t="shared" si="12"/>
        <v>0.44000000000000006</v>
      </c>
      <c r="S34" s="27">
        <v>0.1</v>
      </c>
      <c r="T34" s="14">
        <f t="shared" si="1"/>
        <v>492.80000000000007</v>
      </c>
      <c r="V34" s="14">
        <f t="shared" si="7"/>
        <v>29.357959940631858</v>
      </c>
      <c r="W34">
        <f>0.1*C17</f>
        <v>112</v>
      </c>
      <c r="X34" s="23">
        <f t="shared" si="8"/>
        <v>0.1</v>
      </c>
      <c r="Z34" s="14">
        <f t="shared" si="13"/>
        <v>29.357959940631858</v>
      </c>
      <c r="AA34">
        <f>0.1*AA7</f>
        <v>22.400000000000002</v>
      </c>
      <c r="AB34" s="27">
        <f t="shared" si="14"/>
        <v>0.1</v>
      </c>
      <c r="AC34">
        <f t="shared" si="15"/>
        <v>0.4892993323438643</v>
      </c>
      <c r="AD34">
        <f t="shared" si="2"/>
        <v>2508.8000000000002</v>
      </c>
    </row>
    <row r="35" spans="2:36" ht="43.2" x14ac:dyDescent="0.3">
      <c r="B35">
        <v>5</v>
      </c>
      <c r="C35">
        <f>C18*POWER(B35,2)</f>
        <v>0.5</v>
      </c>
      <c r="M35" s="24" t="s">
        <v>43</v>
      </c>
    </row>
    <row r="36" spans="2:36" x14ac:dyDescent="0.3">
      <c r="B36">
        <v>10</v>
      </c>
      <c r="C36">
        <f>C18*POWER(B36,2)</f>
        <v>2</v>
      </c>
      <c r="K36" s="94" t="s">
        <v>47</v>
      </c>
      <c r="L36" s="94"/>
      <c r="M36" s="94"/>
      <c r="N36" s="94"/>
      <c r="O36" s="94"/>
      <c r="P36" s="94"/>
      <c r="Q36" s="94"/>
      <c r="R36" s="94"/>
      <c r="S36" s="94"/>
      <c r="T36" s="94"/>
      <c r="U36" s="94"/>
      <c r="W36" s="95" t="s">
        <v>48</v>
      </c>
      <c r="X36" s="95"/>
      <c r="Y36" s="95"/>
      <c r="Z36" s="95"/>
      <c r="AA36" s="95"/>
      <c r="AB36" s="95"/>
      <c r="AC36" s="95"/>
      <c r="AD36" s="95"/>
      <c r="AE36" s="95"/>
      <c r="AF36" s="95"/>
      <c r="AG36" s="95"/>
      <c r="AH36" s="95"/>
      <c r="AI36" s="95"/>
      <c r="AJ36" s="95"/>
    </row>
    <row r="37" spans="2:36" x14ac:dyDescent="0.3">
      <c r="B37">
        <v>20</v>
      </c>
      <c r="C37">
        <f>C18*POWER(B37,2)</f>
        <v>8</v>
      </c>
    </row>
    <row r="38" spans="2:36" x14ac:dyDescent="0.3">
      <c r="B38">
        <v>30</v>
      </c>
      <c r="C38">
        <f>C18*POWER(B38,2)</f>
        <v>18</v>
      </c>
    </row>
    <row r="39" spans="2:36" x14ac:dyDescent="0.3">
      <c r="B39">
        <v>50</v>
      </c>
      <c r="C39">
        <f>C18*POWER(B39,2)</f>
        <v>50</v>
      </c>
    </row>
    <row r="40" spans="2:36" x14ac:dyDescent="0.3">
      <c r="B40">
        <v>100</v>
      </c>
      <c r="C40">
        <f>C18*POWER(B40,2)</f>
        <v>200</v>
      </c>
    </row>
    <row r="42" spans="2:36" ht="18" x14ac:dyDescent="0.35">
      <c r="B42" s="57" t="s">
        <v>90</v>
      </c>
      <c r="C42" s="13">
        <f>C17/C23</f>
        <v>224</v>
      </c>
      <c r="D42" s="56" t="s">
        <v>91</v>
      </c>
    </row>
    <row r="54" spans="1:36" ht="23.4" x14ac:dyDescent="0.45">
      <c r="A54" s="61"/>
      <c r="B54" s="61"/>
      <c r="C54" s="82" t="s">
        <v>58</v>
      </c>
      <c r="D54" s="82"/>
      <c r="E54" s="61"/>
      <c r="F54" s="61"/>
      <c r="K54" s="94" t="s">
        <v>47</v>
      </c>
      <c r="L54" s="94"/>
      <c r="M54" s="94"/>
      <c r="N54" s="94"/>
      <c r="O54" s="94"/>
      <c r="P54" s="94"/>
      <c r="Q54" s="94"/>
      <c r="R54" s="94"/>
      <c r="S54" s="94"/>
      <c r="T54" s="94"/>
      <c r="U54" s="94"/>
      <c r="W54" s="95" t="s">
        <v>48</v>
      </c>
      <c r="X54" s="95"/>
      <c r="Y54" s="95"/>
      <c r="Z54" s="95"/>
      <c r="AA54" s="95"/>
      <c r="AB54" s="95"/>
      <c r="AC54" s="95"/>
      <c r="AD54" s="95"/>
      <c r="AE54" s="95"/>
      <c r="AF54" s="95"/>
      <c r="AG54" s="95"/>
      <c r="AH54" s="95"/>
      <c r="AI54" s="95"/>
      <c r="AJ54" s="95"/>
    </row>
    <row r="56" spans="1:36" ht="20.399999999999999" thickBot="1" x14ac:dyDescent="0.45">
      <c r="B56" s="19" t="s">
        <v>57</v>
      </c>
      <c r="C56" s="40">
        <v>140</v>
      </c>
      <c r="D56" t="s">
        <v>60</v>
      </c>
    </row>
    <row r="57" spans="1:36" ht="15" thickTop="1" x14ac:dyDescent="0.3">
      <c r="B57" s="19"/>
    </row>
    <row r="58" spans="1:36" x14ac:dyDescent="0.3">
      <c r="B58" s="19"/>
    </row>
    <row r="59" spans="1:36" ht="20.399999999999999" thickBot="1" x14ac:dyDescent="0.45">
      <c r="A59" s="19" t="s">
        <v>76</v>
      </c>
      <c r="B59" s="19" t="s">
        <v>70</v>
      </c>
      <c r="C59" s="40">
        <v>4</v>
      </c>
      <c r="D59" t="s">
        <v>64</v>
      </c>
    </row>
    <row r="60" spans="1:36" ht="24.6" thickTop="1" thickBot="1" x14ac:dyDescent="0.5">
      <c r="A60" t="s">
        <v>77</v>
      </c>
      <c r="B60" t="s">
        <v>56</v>
      </c>
      <c r="C60" s="42">
        <f>0.5*C59*POWER(C56,2)</f>
        <v>39200</v>
      </c>
      <c r="D60" t="s">
        <v>61</v>
      </c>
      <c r="E60" s="43">
        <f>C60/1000</f>
        <v>39.200000000000003</v>
      </c>
      <c r="F60" s="66" t="s">
        <v>71</v>
      </c>
    </row>
    <row r="61" spans="1:36" ht="15" thickTop="1" x14ac:dyDescent="0.3"/>
    <row r="62" spans="1:36" ht="20.399999999999999" thickBot="1" x14ac:dyDescent="0.45">
      <c r="B62" s="19"/>
      <c r="C62" s="40"/>
    </row>
    <row r="63" spans="1:36" ht="21" thickTop="1" thickBot="1" x14ac:dyDescent="0.45">
      <c r="A63" s="19" t="s">
        <v>76</v>
      </c>
      <c r="B63" s="19" t="s">
        <v>56</v>
      </c>
      <c r="C63" s="40">
        <v>14580</v>
      </c>
      <c r="D63" t="s">
        <v>61</v>
      </c>
    </row>
    <row r="64" spans="1:36" ht="15" thickTop="1" x14ac:dyDescent="0.3">
      <c r="A64" t="s">
        <v>77</v>
      </c>
      <c r="B64" t="s">
        <v>70</v>
      </c>
      <c r="C64">
        <f>2*C63/POWER(C56,2)</f>
        <v>1.4877551020408164</v>
      </c>
      <c r="D64" t="s">
        <v>64</v>
      </c>
    </row>
    <row r="65" spans="1:13" ht="37.200000000000003" thickBot="1" x14ac:dyDescent="0.35">
      <c r="B65" s="19"/>
      <c r="F65" s="3" t="s">
        <v>79</v>
      </c>
      <c r="G65" s="49" t="s">
        <v>0</v>
      </c>
    </row>
    <row r="66" spans="1:13" ht="21" thickTop="1" thickBot="1" x14ac:dyDescent="0.45">
      <c r="B66" s="19" t="s">
        <v>59</v>
      </c>
      <c r="C66" s="40">
        <v>2.7</v>
      </c>
      <c r="D66" t="s">
        <v>60</v>
      </c>
    </row>
    <row r="67" spans="1:13" ht="20.399999999999999" thickTop="1" x14ac:dyDescent="0.4">
      <c r="B67" s="19" t="s">
        <v>63</v>
      </c>
      <c r="C67" s="41">
        <v>500</v>
      </c>
      <c r="D67" t="s">
        <v>64</v>
      </c>
      <c r="F67" s="78" t="str">
        <f>IF(G65="E","Calculating for Energy","Calculating for Assembled Capacitance")</f>
        <v>Calculating for Assembled Capacitance</v>
      </c>
      <c r="G67" s="78"/>
    </row>
    <row r="68" spans="1:13" ht="19.8" x14ac:dyDescent="0.4">
      <c r="B68" s="19" t="s">
        <v>65</v>
      </c>
      <c r="C68" s="41">
        <v>350</v>
      </c>
      <c r="D68" t="s">
        <v>75</v>
      </c>
    </row>
    <row r="69" spans="1:13" ht="19.8" x14ac:dyDescent="0.4">
      <c r="C69" s="41"/>
      <c r="F69" s="47" t="s">
        <v>78</v>
      </c>
      <c r="G69" s="48">
        <f>IF(G65="C",C60,C63)</f>
        <v>39200</v>
      </c>
    </row>
    <row r="70" spans="1:13" ht="25.8" x14ac:dyDescent="0.3">
      <c r="A70" s="90" t="s">
        <v>96</v>
      </c>
      <c r="B70" s="39" t="s">
        <v>4</v>
      </c>
      <c r="C70" s="45">
        <f>_xlfn.CEILING.MATH(C56/C66)</f>
        <v>52</v>
      </c>
      <c r="D70" s="45" t="str">
        <f>CONCATENATE(C66*C70,"volts")</f>
        <v>140.4volts</v>
      </c>
      <c r="E70" s="93" t="s">
        <v>62</v>
      </c>
      <c r="F70" s="47" t="s">
        <v>0</v>
      </c>
      <c r="G70" s="48">
        <f>IF(G65="E",C64,C59)</f>
        <v>4</v>
      </c>
    </row>
    <row r="71" spans="1:13" ht="25.8" x14ac:dyDescent="0.3">
      <c r="A71" s="90"/>
      <c r="B71" s="39" t="s">
        <v>68</v>
      </c>
      <c r="C71" s="45">
        <f>_xlfn.CEILING.MATH(C72/(C67/C70))</f>
        <v>1</v>
      </c>
      <c r="D71" s="45"/>
      <c r="E71" s="93"/>
    </row>
    <row r="72" spans="1:13" x14ac:dyDescent="0.3">
      <c r="A72" s="90"/>
      <c r="B72" s="39" t="s">
        <v>69</v>
      </c>
      <c r="C72" s="39">
        <f>2*G69/POWER(C56,2)</f>
        <v>4</v>
      </c>
      <c r="D72" t="s">
        <v>64</v>
      </c>
    </row>
    <row r="73" spans="1:13" ht="21" x14ac:dyDescent="0.4">
      <c r="A73" s="90"/>
      <c r="B73" s="39" t="s">
        <v>72</v>
      </c>
      <c r="C73" s="39">
        <f>0.5*C67*POWER(C66,2)</f>
        <v>1822.5000000000002</v>
      </c>
      <c r="D73" t="s">
        <v>61</v>
      </c>
      <c r="F73" s="71" t="s">
        <v>111</v>
      </c>
      <c r="G73" s="72">
        <f>0.5*G70*POWER(C70*C66,2)</f>
        <v>39424.32</v>
      </c>
    </row>
    <row r="74" spans="1:13" ht="28.8" x14ac:dyDescent="0.3">
      <c r="A74" s="90"/>
      <c r="B74" s="39" t="s">
        <v>67</v>
      </c>
      <c r="C74" s="39">
        <f>C70*C71</f>
        <v>52</v>
      </c>
      <c r="D74" s="3" t="s">
        <v>73</v>
      </c>
    </row>
    <row r="75" spans="1:13" x14ac:dyDescent="0.3">
      <c r="A75" s="90"/>
      <c r="B75" s="39" t="s">
        <v>66</v>
      </c>
      <c r="C75" s="39">
        <f>C68*C74</f>
        <v>18200</v>
      </c>
      <c r="D75" t="s">
        <v>74</v>
      </c>
    </row>
    <row r="76" spans="1:13" x14ac:dyDescent="0.3">
      <c r="A76" s="67"/>
      <c r="B76" s="39"/>
      <c r="C76" s="39"/>
    </row>
    <row r="77" spans="1:13" ht="68.400000000000006" customHeight="1" x14ac:dyDescent="0.3">
      <c r="B77" s="84" t="str">
        <f>CONCATENATE("The required capacitor bank configuration for ", C56, " volts and ",G70, " farads and ",G69," joules for given unit values is;  ",C70,"S",C71,"P")</f>
        <v>The required capacitor bank configuration for 140 volts and 4 farads and 39200 joules for given unit values is;  52S1P</v>
      </c>
      <c r="C77" s="84"/>
      <c r="D77" s="84"/>
      <c r="E77" s="84"/>
      <c r="F77" s="84"/>
      <c r="G77" s="69" t="str">
        <f>CONCATENATE(C70,"S",C71,"P")</f>
        <v>52S1P</v>
      </c>
    </row>
    <row r="78" spans="1:13" ht="68.400000000000006" customHeight="1" x14ac:dyDescent="0.3">
      <c r="B78" s="74"/>
      <c r="C78" s="74"/>
      <c r="D78" s="74"/>
      <c r="E78" s="74"/>
      <c r="F78" s="74"/>
      <c r="G78" s="69"/>
    </row>
    <row r="79" spans="1:13" ht="68.400000000000006" customHeight="1" x14ac:dyDescent="0.3">
      <c r="B79" s="74"/>
      <c r="C79" s="74"/>
      <c r="D79" s="74"/>
      <c r="E79" s="74"/>
      <c r="F79" s="74"/>
      <c r="G79" s="69"/>
    </row>
    <row r="80" spans="1:13" ht="15.6" x14ac:dyDescent="0.3">
      <c r="A80" s="86" t="s">
        <v>136</v>
      </c>
      <c r="B80" s="86"/>
      <c r="C80" s="86"/>
      <c r="D80" s="86"/>
      <c r="E80" s="86"/>
      <c r="F80" s="86"/>
      <c r="G80" s="86"/>
      <c r="K80" s="89" t="s">
        <v>89</v>
      </c>
      <c r="L80" s="89"/>
      <c r="M80" s="89"/>
    </row>
    <row r="81" spans="1:13" ht="14.4" customHeight="1" x14ac:dyDescent="0.3">
      <c r="A81" s="80" t="s">
        <v>112</v>
      </c>
      <c r="B81" s="80"/>
      <c r="C81" s="80"/>
      <c r="D81" s="80"/>
      <c r="E81" s="80"/>
      <c r="F81" s="80"/>
      <c r="G81" s="80"/>
      <c r="H81" s="52" t="s">
        <v>85</v>
      </c>
      <c r="I81" s="52" t="s">
        <v>86</v>
      </c>
      <c r="K81" s="58" t="s">
        <v>92</v>
      </c>
      <c r="L81" s="58" t="s">
        <v>93</v>
      </c>
      <c r="M81" s="58" t="s">
        <v>94</v>
      </c>
    </row>
    <row r="82" spans="1:13" ht="21.6" customHeight="1" thickBot="1" x14ac:dyDescent="0.45">
      <c r="A82" s="80"/>
      <c r="B82" s="80"/>
      <c r="C82" s="80"/>
      <c r="D82" s="80"/>
      <c r="E82" s="80"/>
      <c r="F82" s="80"/>
      <c r="G82" s="80"/>
      <c r="H82" s="40">
        <v>4</v>
      </c>
      <c r="I82" s="40">
        <v>1</v>
      </c>
      <c r="K82" s="59">
        <f>C19</f>
        <v>2.5499999999999998</v>
      </c>
      <c r="L82" s="59">
        <f>C42</f>
        <v>224</v>
      </c>
      <c r="M82" s="59">
        <f>C17</f>
        <v>1120</v>
      </c>
    </row>
    <row r="83" spans="1:13" ht="18.600000000000001" thickTop="1" x14ac:dyDescent="0.3">
      <c r="A83" s="50"/>
      <c r="B83" s="50"/>
      <c r="C83" s="51"/>
      <c r="D83" s="51"/>
      <c r="E83" s="51" t="s">
        <v>84</v>
      </c>
      <c r="F83" s="55" t="s">
        <v>44</v>
      </c>
      <c r="G83" s="55" t="s">
        <v>29</v>
      </c>
    </row>
    <row r="84" spans="1:13" ht="20.399999999999999" thickBot="1" x14ac:dyDescent="0.45">
      <c r="B84" s="79" t="s">
        <v>80</v>
      </c>
      <c r="D84" s="19" t="s">
        <v>9</v>
      </c>
      <c r="E84" s="40">
        <v>3.9</v>
      </c>
      <c r="H84" s="21">
        <f>E84/H82</f>
        <v>0.97499999999999998</v>
      </c>
      <c r="K84" t="s">
        <v>116</v>
      </c>
      <c r="L84" s="13">
        <f>C23*C19*5</f>
        <v>63.75</v>
      </c>
    </row>
    <row r="85" spans="1:13" ht="21.6" thickTop="1" x14ac:dyDescent="0.3">
      <c r="B85" s="79"/>
      <c r="D85" t="s">
        <v>83</v>
      </c>
      <c r="E85" s="25">
        <f>1*$C$25*LOG(IFERROR($H$82/$E$84,"negative_value"),$L$8)</f>
        <v>0.32280205185421018</v>
      </c>
      <c r="F85">
        <f>E85/60</f>
        <v>5.38003419757017E-3</v>
      </c>
      <c r="G85">
        <f>F85/60</f>
        <v>8.9667236626169499E-5</v>
      </c>
      <c r="L85" s="68" t="s">
        <v>113</v>
      </c>
      <c r="M85" s="68" t="str">
        <f>CONCATENATE(C14,"S",C15,"P")</f>
        <v>8S5P</v>
      </c>
    </row>
    <row r="87" spans="1:13" ht="20.399999999999999" thickBot="1" x14ac:dyDescent="0.45">
      <c r="B87" s="79" t="s">
        <v>82</v>
      </c>
      <c r="D87" s="19" t="s">
        <v>32</v>
      </c>
      <c r="E87" s="40">
        <v>1</v>
      </c>
      <c r="H87" s="21">
        <f>E87/I82</f>
        <v>1</v>
      </c>
    </row>
    <row r="88" spans="1:13" ht="15" thickTop="1" x14ac:dyDescent="0.3">
      <c r="B88" s="79"/>
      <c r="D88" t="s">
        <v>83</v>
      </c>
      <c r="E88" s="25">
        <f>1*$C$25*LOG(IFERROR($I$82/$E$87,"negative_value"),$L$8)</f>
        <v>0</v>
      </c>
      <c r="F88">
        <f>E88/60</f>
        <v>0</v>
      </c>
      <c r="G88">
        <f>F88/60</f>
        <v>0</v>
      </c>
    </row>
    <row r="90" spans="1:13" ht="20.399999999999999" thickBot="1" x14ac:dyDescent="0.45">
      <c r="B90" s="79" t="s">
        <v>81</v>
      </c>
      <c r="D90" s="19" t="s">
        <v>78</v>
      </c>
      <c r="E90" s="40">
        <v>15350</v>
      </c>
      <c r="F90" s="53" t="s">
        <v>104</v>
      </c>
      <c r="G90" s="54">
        <f>C20</f>
        <v>1599360</v>
      </c>
      <c r="H90" s="21">
        <f>E90/C20</f>
        <v>9.597589035614246E-3</v>
      </c>
    </row>
    <row r="91" spans="1:13" ht="15" thickTop="1" x14ac:dyDescent="0.3">
      <c r="B91" s="79"/>
      <c r="D91" t="s">
        <v>83</v>
      </c>
      <c r="E91" s="25">
        <f>-1*$C$25*LOG(SQRT(2*$E$90/$C$19)/$H$82,$L$8)</f>
        <v>-42.223766064683453</v>
      </c>
      <c r="F91">
        <f>E91/60</f>
        <v>-0.70372943441139091</v>
      </c>
      <c r="G91">
        <f>F91/60</f>
        <v>-1.1728823906856515E-2</v>
      </c>
    </row>
    <row r="92" spans="1:13" x14ac:dyDescent="0.3">
      <c r="D92" t="s">
        <v>88</v>
      </c>
      <c r="E92" s="46">
        <f>H82*EXP(-E91/$C$25)</f>
        <v>109.72335986352429</v>
      </c>
    </row>
    <row r="93" spans="1:13" x14ac:dyDescent="0.3">
      <c r="D93" t="s">
        <v>87</v>
      </c>
      <c r="E93" s="46">
        <f>I82*EXP(-E91/$C$25)</f>
        <v>27.430839965881074</v>
      </c>
    </row>
    <row r="95" spans="1:13" ht="15.6" x14ac:dyDescent="0.3">
      <c r="E95" s="65" t="s">
        <v>102</v>
      </c>
      <c r="F95" s="65" t="s">
        <v>44</v>
      </c>
      <c r="G95" s="65" t="s">
        <v>29</v>
      </c>
    </row>
    <row r="96" spans="1:13" ht="20.399999999999999" thickBot="1" x14ac:dyDescent="0.45">
      <c r="E96" s="40">
        <v>1000</v>
      </c>
      <c r="F96" s="40">
        <v>0</v>
      </c>
      <c r="G96" s="40">
        <v>0</v>
      </c>
    </row>
    <row r="97" spans="2:11" ht="24" thickTop="1" x14ac:dyDescent="0.45">
      <c r="B97" s="43" t="s">
        <v>98</v>
      </c>
      <c r="D97" s="19" t="s">
        <v>103</v>
      </c>
      <c r="E97">
        <f>E96+F96*60+G96*3600</f>
        <v>1000</v>
      </c>
      <c r="F97">
        <f>E97/60</f>
        <v>16.666666666666668</v>
      </c>
      <c r="G97">
        <f>F97/60</f>
        <v>0.27777777777777779</v>
      </c>
    </row>
    <row r="98" spans="2:11" x14ac:dyDescent="0.3">
      <c r="D98" s="19"/>
    </row>
    <row r="99" spans="2:11" x14ac:dyDescent="0.3">
      <c r="D99" t="s">
        <v>99</v>
      </c>
      <c r="E99" s="14">
        <f>H82*EXP(-E97/$C$25)</f>
        <v>3.4653546305982757E-34</v>
      </c>
      <c r="F99" s="21">
        <f>E99/H82</f>
        <v>8.6633865764956894E-35</v>
      </c>
    </row>
    <row r="100" spans="2:11" x14ac:dyDescent="0.3">
      <c r="D100" t="s">
        <v>100</v>
      </c>
      <c r="E100" s="14">
        <f>I82*EXP(-E97/$C$25)</f>
        <v>8.6633865764956894E-35</v>
      </c>
      <c r="F100" s="21">
        <f>E100/I82</f>
        <v>8.6633865764956894E-35</v>
      </c>
    </row>
    <row r="101" spans="2:11" x14ac:dyDescent="0.3">
      <c r="D101" t="s">
        <v>117</v>
      </c>
      <c r="E101" s="14">
        <f>E99*E100</f>
        <v>3.002170678952228E-68</v>
      </c>
      <c r="F101" s="21"/>
    </row>
    <row r="102" spans="2:11" x14ac:dyDescent="0.3">
      <c r="D102" t="s">
        <v>101</v>
      </c>
      <c r="E102" s="14">
        <f>0.5*$C$19*POWER(E99,2)</f>
        <v>1.5311070462656361E-67</v>
      </c>
      <c r="F102" s="21">
        <f>E102/C20</f>
        <v>9.5732483384956237E-74</v>
      </c>
    </row>
    <row r="103" spans="2:11" x14ac:dyDescent="0.3">
      <c r="E103" s="14">
        <f>0.5*C19*POWER(H82*EXP(-E97/C20),2)</f>
        <v>20.374505739529496</v>
      </c>
      <c r="F103" s="21">
        <f>E103/C20</f>
        <v>1.2739161751906699E-5</v>
      </c>
    </row>
    <row r="106" spans="2:11" ht="28.8" customHeight="1" x14ac:dyDescent="0.3">
      <c r="D106" s="99" t="s">
        <v>118</v>
      </c>
      <c r="E106" s="99"/>
      <c r="F106" s="99"/>
      <c r="H106" s="101" t="str">
        <f>IF(E108&lt;E109,"Pout failure", "All ok")</f>
        <v>Pout failure</v>
      </c>
      <c r="I106" s="101"/>
      <c r="J106" s="101"/>
      <c r="K106" s="101"/>
    </row>
    <row r="107" spans="2:11" ht="22.8" customHeight="1" thickBot="1" x14ac:dyDescent="0.45">
      <c r="D107" s="19" t="s">
        <v>119</v>
      </c>
      <c r="E107" s="40">
        <v>0.85</v>
      </c>
      <c r="H107" s="101"/>
      <c r="I107" s="101"/>
      <c r="J107" s="101"/>
      <c r="K107" s="101"/>
    </row>
    <row r="108" spans="2:11" ht="26.4" customHeight="1" thickTop="1" x14ac:dyDescent="0.35">
      <c r="D108" t="s">
        <v>120</v>
      </c>
      <c r="E108" s="70">
        <f>E107*E101</f>
        <v>2.5518450771093939E-68</v>
      </c>
      <c r="F108" s="100" t="s">
        <v>122</v>
      </c>
      <c r="H108" s="101"/>
      <c r="I108" s="101"/>
      <c r="J108" s="101"/>
      <c r="K108" s="101"/>
    </row>
    <row r="109" spans="2:11" ht="20.399999999999999" customHeight="1" thickBot="1" x14ac:dyDescent="0.45">
      <c r="D109" s="19" t="s">
        <v>121</v>
      </c>
      <c r="E109" s="40">
        <v>5</v>
      </c>
      <c r="F109" s="100"/>
      <c r="H109" s="79" t="s">
        <v>132</v>
      </c>
      <c r="I109" s="79"/>
      <c r="J109" s="79"/>
      <c r="K109" s="79"/>
    </row>
    <row r="110" spans="2:11" ht="21" thickTop="1" thickBot="1" x14ac:dyDescent="0.45">
      <c r="D110" s="19" t="s">
        <v>127</v>
      </c>
      <c r="E110" s="40">
        <v>5</v>
      </c>
      <c r="F110" s="4" t="s">
        <v>128</v>
      </c>
    </row>
    <row r="111" spans="2:11" ht="15" thickTop="1" x14ac:dyDescent="0.3">
      <c r="D111" t="s">
        <v>126</v>
      </c>
      <c r="E111">
        <f>E109/E110</f>
        <v>1</v>
      </c>
      <c r="F111" s="4" t="s">
        <v>91</v>
      </c>
    </row>
    <row r="112" spans="2:11" x14ac:dyDescent="0.3">
      <c r="D112" s="86" t="s">
        <v>123</v>
      </c>
      <c r="E112" s="86"/>
      <c r="F112" s="86"/>
    </row>
    <row r="113" spans="4:6" x14ac:dyDescent="0.3">
      <c r="D113" t="s">
        <v>124</v>
      </c>
      <c r="E113">
        <f>E109/E107</f>
        <v>5.882352941176471</v>
      </c>
      <c r="F113" s="75" t="s">
        <v>125</v>
      </c>
    </row>
    <row r="114" spans="4:6" x14ac:dyDescent="0.3">
      <c r="D114" t="s">
        <v>9</v>
      </c>
    </row>
    <row r="115" spans="4:6" x14ac:dyDescent="0.3">
      <c r="D115" t="s">
        <v>32</v>
      </c>
    </row>
    <row r="116" spans="4:6" x14ac:dyDescent="0.3">
      <c r="D116" s="86" t="s">
        <v>129</v>
      </c>
      <c r="E116" s="86"/>
    </row>
    <row r="117" spans="4:6" x14ac:dyDescent="0.3">
      <c r="D117" s="76" t="s">
        <v>130</v>
      </c>
      <c r="E117" s="76">
        <f>-$C$25*LOG(E113/(H82*I82))</f>
        <v>-2.1355113629954876</v>
      </c>
    </row>
  </sheetData>
  <mergeCells count="34">
    <mergeCell ref="D116:E116"/>
    <mergeCell ref="D106:F106"/>
    <mergeCell ref="F108:F109"/>
    <mergeCell ref="D112:F112"/>
    <mergeCell ref="H109:K109"/>
    <mergeCell ref="H106:K108"/>
    <mergeCell ref="A1:AE1"/>
    <mergeCell ref="B4:D4"/>
    <mergeCell ref="K80:M80"/>
    <mergeCell ref="B2:G2"/>
    <mergeCell ref="A70:A75"/>
    <mergeCell ref="L2:P2"/>
    <mergeCell ref="M5:S5"/>
    <mergeCell ref="E70:E71"/>
    <mergeCell ref="K36:U36"/>
    <mergeCell ref="W36:AJ36"/>
    <mergeCell ref="V5:AA5"/>
    <mergeCell ref="K54:U54"/>
    <mergeCell ref="W54:AJ54"/>
    <mergeCell ref="H15:I15"/>
    <mergeCell ref="B8:B9"/>
    <mergeCell ref="E4:H4"/>
    <mergeCell ref="M4:AF4"/>
    <mergeCell ref="F67:G67"/>
    <mergeCell ref="B84:B85"/>
    <mergeCell ref="B87:B88"/>
    <mergeCell ref="B90:B91"/>
    <mergeCell ref="A81:G82"/>
    <mergeCell ref="E13:F13"/>
    <mergeCell ref="C54:D54"/>
    <mergeCell ref="B27:C27"/>
    <mergeCell ref="B77:F77"/>
    <mergeCell ref="J19:L19"/>
    <mergeCell ref="A80:G80"/>
  </mergeCells>
  <conditionalFormatting sqref="E99">
    <cfRule type="cellIs" dxfId="7" priority="4" operator="greaterThan">
      <formula>$C$17</formula>
    </cfRule>
  </conditionalFormatting>
  <conditionalFormatting sqref="H82">
    <cfRule type="cellIs" dxfId="6" priority="1" operator="greaterThan">
      <formula>$C$17</formula>
    </cfRule>
    <cfRule type="cellIs" dxfId="5" priority="2" operator="greaterThan">
      <formula>"&gt;$C$17"</formula>
    </cfRule>
    <cfRule type="cellIs" dxfId="4" priority="3" operator="greaterThan">
      <formula>"$C$17"</formula>
    </cfRule>
  </conditionalFormatting>
  <conditionalFormatting sqref="H106">
    <cfRule type="containsText" dxfId="3" priority="5" operator="containsText" text="failure">
      <formula>NOT(ISERROR(SEARCH("failure",H106)))</formula>
    </cfRule>
    <cfRule type="containsText" dxfId="2" priority="6" operator="containsText" text="ok">
      <formula>NOT(ISERROR(SEARCH("ok",H106)))</formula>
    </cfRule>
  </conditionalFormatting>
  <conditionalFormatting sqref="L2:P2">
    <cfRule type="containsText" dxfId="1" priority="7" operator="containsText" text="ERROR">
      <formula>NOT(ISERROR(SEARCH("ERROR",L2)))</formula>
    </cfRule>
    <cfRule type="containsText" dxfId="0" priority="8" operator="containsText" text="ok">
      <formula>NOT(ISERROR(SEARCH("ok",L2)))</formula>
    </cfRule>
  </conditionalFormatting>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keywords>capacitor;calculator</cp:keywords>
  <cp:lastModifiedBy>wer</cp:lastModifiedBy>
  <dcterms:created xsi:type="dcterms:W3CDTF">2022-01-21T09:36:26Z</dcterms:created>
  <dcterms:modified xsi:type="dcterms:W3CDTF">2023-08-20T13:01:07Z</dcterms:modified>
</cp:coreProperties>
</file>