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fileSharing readOnlyRecommended="1"/>
  <workbookPr defaultThemeVersion="166925"/>
  <mc:AlternateContent xmlns:mc="http://schemas.openxmlformats.org/markup-compatibility/2006">
    <mc:Choice Requires="x15">
      <x15ac:absPath xmlns:x15ac="http://schemas.microsoft.com/office/spreadsheetml/2010/11/ac" url="D:\My\Documents\000003Notes\Software\Capacitor_bank calculator\"/>
    </mc:Choice>
  </mc:AlternateContent>
  <xr:revisionPtr revIDLastSave="0" documentId="13_ncr:1_{E0BF4F55-3613-4E72-869C-3F7B535B5FC8}" xr6:coauthVersionLast="47" xr6:coauthVersionMax="47" xr10:uidLastSave="{00000000-0000-0000-0000-000000000000}"/>
  <bookViews>
    <workbookView xWindow="-108" yWindow="-108" windowWidth="23256" windowHeight="12576" xr2:uid="{9DF102DB-9ACE-488F-B90D-3060CD23093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11" i="1" l="1"/>
  <c r="E113" i="1"/>
  <c r="E97" i="1"/>
  <c r="F97" i="1" s="1"/>
  <c r="G97" i="1" s="1"/>
  <c r="M85" i="1"/>
  <c r="F15" i="1"/>
  <c r="H87" i="1"/>
  <c r="H84" i="1"/>
  <c r="F67" i="1"/>
  <c r="C64" i="1"/>
  <c r="G70" i="1" s="1"/>
  <c r="C60" i="1"/>
  <c r="G69" i="1" s="1"/>
  <c r="C72" i="1" s="1"/>
  <c r="C73" i="1"/>
  <c r="C70" i="1"/>
  <c r="D70" i="1" s="1"/>
  <c r="F16" i="1"/>
  <c r="J21" i="1"/>
  <c r="L21" i="1"/>
  <c r="K21" i="1"/>
  <c r="K23" i="1"/>
  <c r="J23" i="1"/>
  <c r="L22" i="1"/>
  <c r="J22" i="1"/>
  <c r="R7" i="1"/>
  <c r="R31" i="1" s="1"/>
  <c r="L8" i="1"/>
  <c r="N7" i="1"/>
  <c r="C10" i="1"/>
  <c r="C11" i="1" s="1"/>
  <c r="C8" i="1"/>
  <c r="C9" i="1" s="1"/>
  <c r="F7" i="1"/>
  <c r="C18" i="1" s="1"/>
  <c r="C39" i="1" s="1"/>
  <c r="F6" i="1"/>
  <c r="C19" i="1" s="1"/>
  <c r="C25" i="1" s="1"/>
  <c r="F5" i="1"/>
  <c r="C17" i="1" s="1"/>
  <c r="N34" i="1" s="1"/>
  <c r="E99" i="1" l="1"/>
  <c r="E102" i="1" s="1"/>
  <c r="E117" i="1"/>
  <c r="T7" i="1"/>
  <c r="G73" i="1"/>
  <c r="E88" i="1"/>
  <c r="F88" i="1" s="1"/>
  <c r="G88" i="1" s="1"/>
  <c r="L84" i="1"/>
  <c r="E100" i="1"/>
  <c r="F100" i="1" s="1"/>
  <c r="C42" i="1"/>
  <c r="L82" i="1" s="1"/>
  <c r="E85" i="1"/>
  <c r="F85" i="1" s="1"/>
  <c r="G85" i="1" s="1"/>
  <c r="M82" i="1"/>
  <c r="K82" i="1"/>
  <c r="C71" i="1"/>
  <c r="E60" i="1"/>
  <c r="I21" i="1"/>
  <c r="I20" i="1"/>
  <c r="I22" i="1"/>
  <c r="R30" i="1"/>
  <c r="R29" i="1"/>
  <c r="R28" i="1"/>
  <c r="R34" i="1"/>
  <c r="R33" i="1"/>
  <c r="R32" i="1"/>
  <c r="Q31" i="1"/>
  <c r="AA7" i="1"/>
  <c r="W28" i="1"/>
  <c r="W33" i="1"/>
  <c r="W34" i="1"/>
  <c r="W32" i="1"/>
  <c r="W31" i="1"/>
  <c r="R16" i="1"/>
  <c r="W29" i="1"/>
  <c r="C24" i="1"/>
  <c r="E24" i="1" s="1"/>
  <c r="W30" i="1"/>
  <c r="N12" i="1"/>
  <c r="R15" i="1"/>
  <c r="R20" i="1"/>
  <c r="R13" i="1"/>
  <c r="R23" i="1"/>
  <c r="R12" i="1"/>
  <c r="R22" i="1"/>
  <c r="R11" i="1"/>
  <c r="R21" i="1"/>
  <c r="R10" i="1"/>
  <c r="R9" i="1"/>
  <c r="R27" i="1"/>
  <c r="R19" i="1"/>
  <c r="R26" i="1"/>
  <c r="R18" i="1"/>
  <c r="R8" i="1"/>
  <c r="R25" i="1"/>
  <c r="R17" i="1"/>
  <c r="R14" i="1"/>
  <c r="R24" i="1"/>
  <c r="N31" i="1"/>
  <c r="O31" i="1" s="1"/>
  <c r="N28" i="1"/>
  <c r="K11" i="1"/>
  <c r="M34" i="1"/>
  <c r="L13" i="1" s="1"/>
  <c r="N25" i="1"/>
  <c r="N18" i="1"/>
  <c r="N24" i="1"/>
  <c r="N17" i="1"/>
  <c r="N16" i="1"/>
  <c r="N27" i="1"/>
  <c r="N11" i="1"/>
  <c r="N19" i="1"/>
  <c r="N26" i="1"/>
  <c r="N10" i="1"/>
  <c r="N33" i="1"/>
  <c r="N23" i="1"/>
  <c r="N22" i="1"/>
  <c r="N14" i="1"/>
  <c r="N30" i="1"/>
  <c r="O30" i="1" s="1"/>
  <c r="N32" i="1"/>
  <c r="O32" i="1" s="1"/>
  <c r="N15" i="1"/>
  <c r="N9" i="1"/>
  <c r="N21" i="1"/>
  <c r="N13" i="1"/>
  <c r="N29" i="1"/>
  <c r="O29" i="1" s="1"/>
  <c r="N8" i="1"/>
  <c r="N20" i="1"/>
  <c r="C21" i="1"/>
  <c r="C22" i="1" s="1"/>
  <c r="C40" i="1"/>
  <c r="C32" i="1"/>
  <c r="C33" i="1"/>
  <c r="C35" i="1"/>
  <c r="C20" i="1"/>
  <c r="C36" i="1"/>
  <c r="C34" i="1"/>
  <c r="C29" i="1"/>
  <c r="C37" i="1"/>
  <c r="C30" i="1"/>
  <c r="C38" i="1"/>
  <c r="C31" i="1"/>
  <c r="T9" i="1" l="1"/>
  <c r="T26" i="1"/>
  <c r="T12" i="1"/>
  <c r="E101" i="1"/>
  <c r="E108" i="1" s="1"/>
  <c r="H106" i="1" s="1"/>
  <c r="T18" i="1"/>
  <c r="T23" i="1"/>
  <c r="T17" i="1"/>
  <c r="T11" i="1"/>
  <c r="T22" i="1"/>
  <c r="T15" i="1"/>
  <c r="T14" i="1"/>
  <c r="T19" i="1"/>
  <c r="T16" i="1"/>
  <c r="Q32" i="1"/>
  <c r="T32" i="1"/>
  <c r="T24" i="1"/>
  <c r="T27" i="1"/>
  <c r="T13" i="1"/>
  <c r="Q33" i="1"/>
  <c r="T33" i="1"/>
  <c r="L14" i="1"/>
  <c r="T8" i="1"/>
  <c r="T20" i="1"/>
  <c r="Q34" i="1"/>
  <c r="T34" i="1"/>
  <c r="T10" i="1"/>
  <c r="Q28" i="1"/>
  <c r="T28" i="1"/>
  <c r="Q30" i="1"/>
  <c r="T30" i="1"/>
  <c r="AA27" i="1"/>
  <c r="T25" i="1"/>
  <c r="T21" i="1"/>
  <c r="Q29" i="1"/>
  <c r="T29" i="1"/>
  <c r="T31" i="1"/>
  <c r="E103" i="1"/>
  <c r="F103" i="1" s="1"/>
  <c r="H90" i="1"/>
  <c r="C74" i="1"/>
  <c r="C75" i="1" s="1"/>
  <c r="G77" i="1"/>
  <c r="B77" i="1"/>
  <c r="F102" i="1"/>
  <c r="F99" i="1"/>
  <c r="W7" i="1"/>
  <c r="V28" i="1" s="1"/>
  <c r="L2" i="1"/>
  <c r="O28" i="1"/>
  <c r="M28" i="1"/>
  <c r="G90" i="1"/>
  <c r="AA12" i="1"/>
  <c r="AA26" i="1"/>
  <c r="AA17" i="1"/>
  <c r="M31" i="1"/>
  <c r="L31" i="1" s="1"/>
  <c r="AA13" i="1"/>
  <c r="AA33" i="1"/>
  <c r="AD33" i="1" s="1"/>
  <c r="AA30" i="1"/>
  <c r="AD30" i="1" s="1"/>
  <c r="AA29" i="1"/>
  <c r="AD29" i="1" s="1"/>
  <c r="AA28" i="1"/>
  <c r="AD28" i="1" s="1"/>
  <c r="AA32" i="1"/>
  <c r="AD32" i="1" s="1"/>
  <c r="AA31" i="1"/>
  <c r="AD31" i="1" s="1"/>
  <c r="AA34" i="1"/>
  <c r="AD34" i="1" s="1"/>
  <c r="AA24" i="1"/>
  <c r="AA10" i="1"/>
  <c r="AA20" i="1"/>
  <c r="AA21" i="1"/>
  <c r="AA9" i="1"/>
  <c r="AA18" i="1"/>
  <c r="AA25" i="1"/>
  <c r="AA19" i="1"/>
  <c r="AA11" i="1"/>
  <c r="AA8" i="1"/>
  <c r="AA16" i="1"/>
  <c r="AA14" i="1"/>
  <c r="AA15" i="1"/>
  <c r="AA22" i="1"/>
  <c r="AA23" i="1"/>
  <c r="X34" i="1"/>
  <c r="L34" i="1"/>
  <c r="M30" i="1"/>
  <c r="M33" i="1"/>
  <c r="O33" i="1"/>
  <c r="M32" i="1"/>
  <c r="M29" i="1"/>
  <c r="V34" i="1" l="1"/>
  <c r="AD7" i="1"/>
  <c r="W25" i="1"/>
  <c r="AD25" i="1" s="1"/>
  <c r="X33" i="1"/>
  <c r="V29" i="1"/>
  <c r="W11" i="1"/>
  <c r="AD11" i="1" s="1"/>
  <c r="W18" i="1"/>
  <c r="AD18" i="1" s="1"/>
  <c r="W10" i="1"/>
  <c r="AD10" i="1" s="1"/>
  <c r="W14" i="1"/>
  <c r="AD14" i="1" s="1"/>
  <c r="W21" i="1"/>
  <c r="AD21" i="1" s="1"/>
  <c r="W23" i="1"/>
  <c r="AD23" i="1" s="1"/>
  <c r="W12" i="1"/>
  <c r="AD12" i="1" s="1"/>
  <c r="V31" i="1"/>
  <c r="X31" i="1"/>
  <c r="W8" i="1"/>
  <c r="AD8" i="1" s="1"/>
  <c r="V32" i="1"/>
  <c r="V33" i="1"/>
  <c r="W27" i="1"/>
  <c r="AD27" i="1" s="1"/>
  <c r="W15" i="1"/>
  <c r="AD15" i="1" s="1"/>
  <c r="V30" i="1"/>
  <c r="W9" i="1"/>
  <c r="AD9" i="1" s="1"/>
  <c r="W17" i="1"/>
  <c r="AD17" i="1" s="1"/>
  <c r="X30" i="1"/>
  <c r="W16" i="1"/>
  <c r="AD16" i="1" s="1"/>
  <c r="X29" i="1"/>
  <c r="W19" i="1"/>
  <c r="AD19" i="1" s="1"/>
  <c r="W13" i="1"/>
  <c r="AD13" i="1" s="1"/>
  <c r="W26" i="1"/>
  <c r="AD26" i="1" s="1"/>
  <c r="X32" i="1"/>
  <c r="W20" i="1"/>
  <c r="AD20" i="1" s="1"/>
  <c r="W24" i="1"/>
  <c r="AD24" i="1" s="1"/>
  <c r="W22" i="1"/>
  <c r="AD22" i="1" s="1"/>
  <c r="AB29" i="1"/>
  <c r="Z29" i="1"/>
  <c r="AC29" i="1" s="1"/>
  <c r="AB33" i="1"/>
  <c r="Z33" i="1"/>
  <c r="AC33" i="1" s="1"/>
  <c r="AB34" i="1"/>
  <c r="Z34" i="1"/>
  <c r="AC34" i="1" s="1"/>
  <c r="AB31" i="1"/>
  <c r="Z31" i="1"/>
  <c r="AC31" i="1" s="1"/>
  <c r="AB28" i="1"/>
  <c r="Z28" i="1"/>
  <c r="AC28" i="1" s="1"/>
  <c r="AB30" i="1"/>
  <c r="Z30" i="1"/>
  <c r="AC30" i="1" s="1"/>
  <c r="AB32" i="1"/>
  <c r="Z32" i="1"/>
  <c r="AC32" i="1" s="1"/>
  <c r="L28" i="1"/>
  <c r="L33" i="1"/>
  <c r="L32" i="1"/>
  <c r="L30" i="1"/>
  <c r="L29" i="1"/>
  <c r="X28" i="1"/>
  <c r="E91" i="1"/>
  <c r="E92" i="1" s="1"/>
  <c r="F91" i="1" l="1"/>
  <c r="G91" i="1" s="1"/>
  <c r="E93" i="1"/>
</calcChain>
</file>

<file path=xl/sharedStrings.xml><?xml version="1.0" encoding="utf-8"?>
<sst xmlns="http://schemas.openxmlformats.org/spreadsheetml/2006/main" count="185" uniqueCount="137">
  <si>
    <t>C</t>
  </si>
  <si>
    <t>C value</t>
  </si>
  <si>
    <t>V unit</t>
  </si>
  <si>
    <t>ESR</t>
  </si>
  <si>
    <t>Ns</t>
  </si>
  <si>
    <t>Np</t>
  </si>
  <si>
    <t>Bank Voltage</t>
  </si>
  <si>
    <t>Bank ESR</t>
  </si>
  <si>
    <t>Bank C</t>
  </si>
  <si>
    <t>V</t>
  </si>
  <si>
    <t>V string</t>
  </si>
  <si>
    <t>C string</t>
  </si>
  <si>
    <t>F</t>
  </si>
  <si>
    <t>Ohm</t>
  </si>
  <si>
    <t>(Number of strings)</t>
  </si>
  <si>
    <t>(Number of units in a string)</t>
  </si>
  <si>
    <t>ESR string</t>
  </si>
  <si>
    <t>Energy</t>
  </si>
  <si>
    <t>Joules (Ws)</t>
  </si>
  <si>
    <t>Watt-hour</t>
  </si>
  <si>
    <t>Energy Bank</t>
  </si>
  <si>
    <t>Internal Loss in ESR</t>
  </si>
  <si>
    <t>Self Time Constant</t>
  </si>
  <si>
    <t>5T_s</t>
  </si>
  <si>
    <t>s</t>
  </si>
  <si>
    <t>Self Time constant</t>
  </si>
  <si>
    <t xml:space="preserve"> Zl or Rl</t>
  </si>
  <si>
    <t>5*Time Constant</t>
  </si>
  <si>
    <t>min</t>
  </si>
  <si>
    <t>hours</t>
  </si>
  <si>
    <t>Internal</t>
  </si>
  <si>
    <t>T</t>
  </si>
  <si>
    <t>I</t>
  </si>
  <si>
    <t>Charge</t>
  </si>
  <si>
    <t>Discharge</t>
  </si>
  <si>
    <t>exp</t>
  </si>
  <si>
    <t>Charging V</t>
  </si>
  <si>
    <t>Vmax</t>
  </si>
  <si>
    <t>minutes to charge</t>
  </si>
  <si>
    <t>I (A)</t>
  </si>
  <si>
    <r>
      <t xml:space="preserve">Max V </t>
    </r>
    <r>
      <rPr>
        <i/>
        <sz val="11"/>
        <color theme="1"/>
        <rFont val="Calibri"/>
        <family val="2"/>
        <scheme val="minor"/>
      </rPr>
      <t>(Ref)</t>
    </r>
  </si>
  <si>
    <t>charge level</t>
  </si>
  <si>
    <t>Current Level</t>
  </si>
  <si>
    <t>charging time -reverse calculation</t>
  </si>
  <si>
    <t>minutes</t>
  </si>
  <si>
    <t>T (Seconds)</t>
  </si>
  <si>
    <t>5*T_s</t>
  </si>
  <si>
    <t>CHARGING</t>
  </si>
  <si>
    <t>DISCHARGING</t>
  </si>
  <si>
    <t>Time Converter</t>
  </si>
  <si>
    <t>Second</t>
  </si>
  <si>
    <t>Hour</t>
  </si>
  <si>
    <t>Minute</t>
  </si>
  <si>
    <t>-</t>
  </si>
  <si>
    <t>Cost Calculator</t>
  </si>
  <si>
    <t>Unit price</t>
  </si>
  <si>
    <t>E required</t>
  </si>
  <si>
    <t>V required</t>
  </si>
  <si>
    <t>Configuration calculator</t>
  </si>
  <si>
    <t>Unit V</t>
  </si>
  <si>
    <t>Volts</t>
  </si>
  <si>
    <t>Joules</t>
  </si>
  <si>
    <t>Units</t>
  </si>
  <si>
    <t>Unit C</t>
  </si>
  <si>
    <t>Farads</t>
  </si>
  <si>
    <t>Unit cost</t>
  </si>
  <si>
    <t>Total Cost</t>
  </si>
  <si>
    <t>Total number</t>
  </si>
  <si>
    <t>Np (strings)</t>
  </si>
  <si>
    <t>C bank</t>
  </si>
  <si>
    <t>C required</t>
  </si>
  <si>
    <t>kJoules</t>
  </si>
  <si>
    <t>E single capacitor unit</t>
  </si>
  <si>
    <t>Total number of capacitors</t>
  </si>
  <si>
    <t>Cost</t>
  </si>
  <si>
    <t>Cost/unit</t>
  </si>
  <si>
    <t>Input</t>
  </si>
  <si>
    <t>Output</t>
  </si>
  <si>
    <t>E</t>
  </si>
  <si>
    <t>Calculate for input         'E' or 'C'</t>
  </si>
  <si>
    <t>Time to Voltage Calculator</t>
  </si>
  <si>
    <t>Time to Energy</t>
  </si>
  <si>
    <t>Time to Current</t>
  </si>
  <si>
    <t>t</t>
  </si>
  <si>
    <t>V,s</t>
  </si>
  <si>
    <t>Initial V</t>
  </si>
  <si>
    <t>Initial A</t>
  </si>
  <si>
    <t>Current @ te ,amps</t>
  </si>
  <si>
    <t>Voltage @ te ,volts</t>
  </si>
  <si>
    <t>Reference values copied</t>
  </si>
  <si>
    <t>Imax</t>
  </si>
  <si>
    <t>amperes</t>
  </si>
  <si>
    <t>Cbank (F)</t>
  </si>
  <si>
    <t>Ibank (Amp)</t>
  </si>
  <si>
    <t>Vbank (Volt)</t>
  </si>
  <si>
    <t>Capacitor bank calculator</t>
  </si>
  <si>
    <t>OUTPUT</t>
  </si>
  <si>
    <t>L11</t>
  </si>
  <si>
    <t>Time search</t>
  </si>
  <si>
    <t>V(t)</t>
  </si>
  <si>
    <t>I(t)</t>
  </si>
  <si>
    <t>E(t)</t>
  </si>
  <si>
    <t>seconds</t>
  </si>
  <si>
    <t>t [ts+tm+th]</t>
  </si>
  <si>
    <t>Energy bank =</t>
  </si>
  <si>
    <t>time to Max V in sec</t>
  </si>
  <si>
    <t>DO NOT CHANGE</t>
  </si>
  <si>
    <t>V, I, ESR bank Capacity Calculation</t>
  </si>
  <si>
    <t>Current (single point)</t>
  </si>
  <si>
    <t>C_Bank total Price</t>
  </si>
  <si>
    <t>total cap units</t>
  </si>
  <si>
    <t>Emax actual</t>
  </si>
  <si>
    <t xml:space="preserve">Calculate time for specific values of V, I and E from main table | DISCHARGE ONLY </t>
  </si>
  <si>
    <t>Config</t>
  </si>
  <si>
    <t>Wchar</t>
  </si>
  <si>
    <t>Wdisch</t>
  </si>
  <si>
    <t>5*T</t>
  </si>
  <si>
    <t>P(t)</t>
  </si>
  <si>
    <t>If using a converter to regulate output</t>
  </si>
  <si>
    <t>conv. Efficiency</t>
  </si>
  <si>
    <t>Pout</t>
  </si>
  <si>
    <t>Threshold indicator</t>
  </si>
  <si>
    <t>watts</t>
  </si>
  <si>
    <t>Power reverse time search</t>
  </si>
  <si>
    <t>Pin</t>
  </si>
  <si>
    <t>for Pout</t>
  </si>
  <si>
    <t>I out</t>
  </si>
  <si>
    <t>V out</t>
  </si>
  <si>
    <t>volts</t>
  </si>
  <si>
    <t>use V and I values in above reverse time search</t>
  </si>
  <si>
    <t>Does not Work Properly</t>
  </si>
  <si>
    <t>Ohm (Load)</t>
  </si>
  <si>
    <t>failure condition Pout &lt; Pthreshold</t>
  </si>
  <si>
    <t>Charge-Discharge Curves (DO NOT EDIT)</t>
  </si>
  <si>
    <t>DO NOT EDIT</t>
  </si>
  <si>
    <t xml:space="preserve">ESR Loss in Watts </t>
  </si>
  <si>
    <t>THESE VALUES ARE EXPONENTIAL ONLY, IF USING A REGULATOR , THIS DOES NOT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</si>
</sst>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8" x14ac:knownFonts="1">
    <font>
      <sz val="11"/>
      <color theme="1"/>
      <name val="Calibri"/>
      <family val="2"/>
      <scheme val="minor"/>
    </font>
    <font>
      <sz val="11"/>
      <color theme="1"/>
      <name val="Calibri"/>
      <family val="2"/>
      <scheme val="minor"/>
    </font>
    <font>
      <b/>
      <sz val="15"/>
      <color theme="3"/>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color theme="1"/>
      <name val="Calibri"/>
      <family val="2"/>
      <scheme val="minor"/>
    </font>
    <font>
      <sz val="14"/>
      <color theme="1"/>
      <name val="Calibri"/>
      <family val="2"/>
      <scheme val="minor"/>
    </font>
    <font>
      <sz val="20"/>
      <color theme="1"/>
      <name val="Calibri"/>
      <family val="2"/>
      <scheme val="minor"/>
    </font>
    <font>
      <sz val="11"/>
      <color theme="9" tint="-0.499984740745262"/>
      <name val="Calibri"/>
      <family val="2"/>
      <scheme val="minor"/>
    </font>
    <font>
      <sz val="11"/>
      <color theme="3" tint="-0.249977111117893"/>
      <name val="Calibri"/>
      <family val="2"/>
      <scheme val="minor"/>
    </font>
    <font>
      <b/>
      <sz val="14"/>
      <color theme="1"/>
      <name val="Calibri"/>
      <family val="2"/>
      <scheme val="minor"/>
    </font>
    <font>
      <b/>
      <i/>
      <sz val="11"/>
      <color theme="9" tint="-0.499984740745262"/>
      <name val="Calibri"/>
      <family val="2"/>
      <scheme val="minor"/>
    </font>
    <font>
      <i/>
      <sz val="11"/>
      <color theme="1"/>
      <name val="Calibri"/>
      <family val="2"/>
      <scheme val="minor"/>
    </font>
    <font>
      <i/>
      <u/>
      <sz val="11"/>
      <color theme="1"/>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sz val="24"/>
      <color theme="1"/>
      <name val="Calibri"/>
      <family val="2"/>
      <scheme val="minor"/>
    </font>
    <font>
      <i/>
      <sz val="11"/>
      <color theme="1"/>
      <name val="Adobe Heiti Std R"/>
      <family val="2"/>
      <charset val="128"/>
    </font>
    <font>
      <b/>
      <sz val="20"/>
      <color rgb="FFFA7D00"/>
      <name val="Calibri"/>
      <family val="2"/>
      <scheme val="minor"/>
    </font>
    <font>
      <b/>
      <sz val="28"/>
      <color theme="3"/>
      <name val="Calibri"/>
      <family val="2"/>
      <scheme val="minor"/>
    </font>
    <font>
      <i/>
      <sz val="9"/>
      <color theme="1"/>
      <name val="Calibri"/>
      <family val="2"/>
      <scheme val="minor"/>
    </font>
    <font>
      <u/>
      <sz val="11"/>
      <color theme="1"/>
      <name val="Calibri"/>
      <family val="2"/>
      <scheme val="minor"/>
    </font>
    <font>
      <i/>
      <sz val="14"/>
      <color theme="1"/>
      <name val="Adobe Ming Std L"/>
      <family val="1"/>
      <charset val="128"/>
    </font>
    <font>
      <sz val="72"/>
      <color theme="1"/>
      <name val="Calibri"/>
      <family val="2"/>
      <scheme val="minor"/>
    </font>
    <font>
      <b/>
      <sz val="26"/>
      <color theme="1"/>
      <name val="Calibri"/>
      <family val="2"/>
      <scheme val="minor"/>
    </font>
    <font>
      <b/>
      <i/>
      <sz val="12"/>
      <color theme="1"/>
      <name val="Calibri"/>
      <family val="2"/>
      <scheme val="minor"/>
    </font>
    <font>
      <b/>
      <i/>
      <sz val="22"/>
      <color theme="1"/>
      <name val="Calibri"/>
      <family val="2"/>
      <scheme val="minor"/>
    </font>
    <font>
      <b/>
      <sz val="12"/>
      <color theme="1"/>
      <name val="Artifakt Element Medium"/>
      <family val="2"/>
    </font>
    <font>
      <sz val="11"/>
      <color rgb="FFFF0000"/>
      <name val="Calibri"/>
      <family val="2"/>
      <scheme val="minor"/>
    </font>
    <font>
      <i/>
      <sz val="14"/>
      <color theme="1"/>
      <name val="Times New Roman"/>
      <family val="1"/>
    </font>
    <font>
      <sz val="16"/>
      <color theme="1"/>
      <name val="Calibri"/>
      <family val="2"/>
      <scheme val="minor"/>
    </font>
    <font>
      <sz val="22"/>
      <color theme="1"/>
      <name val="Calibri"/>
      <family val="2"/>
      <scheme val="minor"/>
    </font>
    <font>
      <sz val="48"/>
      <color theme="1"/>
      <name val="Calibri"/>
      <family val="2"/>
      <scheme val="minor"/>
    </font>
    <font>
      <b/>
      <i/>
      <sz val="16"/>
      <color theme="1"/>
      <name val="Calibri"/>
      <family val="2"/>
      <scheme val="minor"/>
    </font>
  </fonts>
  <fills count="20">
    <fill>
      <patternFill patternType="none"/>
    </fill>
    <fill>
      <patternFill patternType="gray125"/>
    </fill>
    <fill>
      <patternFill patternType="solid">
        <fgColor rgb="FFF2F2F2"/>
      </patternFill>
    </fill>
    <fill>
      <patternFill patternType="solid">
        <fgColor theme="8" tint="0.79998168889431442"/>
        <bgColor indexed="65"/>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0070C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66FFFF"/>
        <bgColor indexed="64"/>
      </patternFill>
    </fill>
  </fills>
  <borders count="7">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top/>
      <bottom/>
      <diagonal/>
    </border>
    <border>
      <left/>
      <right style="thin">
        <color rgb="FF7F7F7F"/>
      </right>
      <top/>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3" applyNumberFormat="0" applyAlignment="0" applyProtection="0"/>
    <xf numFmtId="0" fontId="4" fillId="2" borderId="2" applyNumberFormat="0" applyAlignment="0" applyProtection="0"/>
    <xf numFmtId="0" fontId="5" fillId="0" borderId="4" applyNumberFormat="0" applyFill="0" applyAlignment="0" applyProtection="0"/>
    <xf numFmtId="0" fontId="6" fillId="0" borderId="0" applyNumberFormat="0" applyFill="0" applyBorder="0" applyAlignment="0" applyProtection="0"/>
    <xf numFmtId="0" fontId="1" fillId="3" borderId="0" applyNumberFormat="0" applyBorder="0" applyAlignment="0" applyProtection="0"/>
  </cellStyleXfs>
  <cellXfs count="106">
    <xf numFmtId="0" fontId="0" fillId="0" borderId="0" xfId="0"/>
    <xf numFmtId="0" fontId="0" fillId="0" borderId="0" xfId="0" applyAlignment="1">
      <alignment horizontal="center"/>
    </xf>
    <xf numFmtId="11" fontId="0" fillId="0" borderId="0" xfId="0" applyNumberFormat="1"/>
    <xf numFmtId="0" fontId="0" fillId="0" borderId="0" xfId="0" applyAlignment="1">
      <alignment wrapText="1"/>
    </xf>
    <xf numFmtId="0" fontId="0" fillId="0" borderId="0" xfId="0" applyAlignment="1"/>
    <xf numFmtId="0" fontId="0" fillId="0" borderId="0" xfId="0" applyAlignment="1">
      <alignment horizontal="center" vertical="center"/>
    </xf>
    <xf numFmtId="0" fontId="10" fillId="4" borderId="0" xfId="0" applyFont="1" applyFill="1" applyAlignment="1">
      <alignment horizontal="center" vertical="center"/>
    </xf>
    <xf numFmtId="0" fontId="11" fillId="0" borderId="0" xfId="0" applyFont="1"/>
    <xf numFmtId="0" fontId="11" fillId="0" borderId="0" xfId="0" applyFont="1" applyAlignment="1">
      <alignment wrapText="1"/>
    </xf>
    <xf numFmtId="0" fontId="10" fillId="6" borderId="0" xfId="0" applyFont="1" applyFill="1" applyAlignment="1">
      <alignment horizontal="center" vertical="center"/>
    </xf>
    <xf numFmtId="0" fontId="0" fillId="6" borderId="0" xfId="0" applyFill="1"/>
    <xf numFmtId="0" fontId="12" fillId="6" borderId="0" xfId="0" applyFont="1" applyFill="1"/>
    <xf numFmtId="11" fontId="12" fillId="6" borderId="0" xfId="0" applyNumberFormat="1" applyFont="1" applyFill="1"/>
    <xf numFmtId="0" fontId="13" fillId="6" borderId="0" xfId="0" applyFont="1" applyFill="1" applyAlignment="1">
      <alignment horizontal="center" vertical="center"/>
    </xf>
    <xf numFmtId="2" fontId="12" fillId="6" borderId="0" xfId="0" applyNumberFormat="1" applyFont="1" applyFill="1"/>
    <xf numFmtId="2" fontId="0" fillId="0" borderId="0" xfId="0" applyNumberFormat="1"/>
    <xf numFmtId="0" fontId="0" fillId="0" borderId="0" xfId="0" applyNumberFormat="1"/>
    <xf numFmtId="11" fontId="0" fillId="6" borderId="0" xfId="0" applyNumberFormat="1" applyFill="1"/>
    <xf numFmtId="0" fontId="15" fillId="0" borderId="0" xfId="0" applyFont="1"/>
    <xf numFmtId="11" fontId="15" fillId="0" borderId="0" xfId="0" applyNumberFormat="1" applyFont="1"/>
    <xf numFmtId="0" fontId="0" fillId="0" borderId="0" xfId="0" applyAlignment="1">
      <alignment horizontal="center" vertical="top"/>
    </xf>
    <xf numFmtId="0" fontId="7" fillId="0" borderId="0" xfId="0" applyFont="1"/>
    <xf numFmtId="0" fontId="7" fillId="8" borderId="0" xfId="0" applyFont="1" applyFill="1"/>
    <xf numFmtId="9" fontId="0" fillId="0" borderId="0" xfId="1" applyFont="1"/>
    <xf numFmtId="0" fontId="0" fillId="11" borderId="0" xfId="0" applyFill="1"/>
    <xf numFmtId="9" fontId="0" fillId="11" borderId="0" xfId="1" applyFont="1" applyFill="1"/>
    <xf numFmtId="0" fontId="0" fillId="5" borderId="0" xfId="0" applyFill="1" applyAlignment="1">
      <alignment wrapText="1"/>
    </xf>
    <xf numFmtId="2" fontId="0" fillId="5" borderId="0" xfId="0" applyNumberFormat="1" applyFill="1"/>
    <xf numFmtId="0" fontId="16" fillId="12" borderId="0" xfId="0" applyFont="1" applyFill="1"/>
    <xf numFmtId="9" fontId="16" fillId="12" borderId="0" xfId="1" applyFont="1" applyFill="1"/>
    <xf numFmtId="0" fontId="0" fillId="13" borderId="0" xfId="0" applyFill="1" applyAlignment="1">
      <alignment horizontal="center" vertical="top"/>
    </xf>
    <xf numFmtId="0" fontId="0" fillId="13" borderId="0" xfId="0" applyFill="1" applyAlignment="1">
      <alignment horizontal="center"/>
    </xf>
    <xf numFmtId="0" fontId="9" fillId="0" borderId="0" xfId="0" applyFont="1" applyAlignment="1">
      <alignment horizontal="center" wrapText="1"/>
    </xf>
    <xf numFmtId="0" fontId="2" fillId="0" borderId="1" xfId="2" applyAlignment="1">
      <alignment horizontal="center" vertical="center"/>
    </xf>
    <xf numFmtId="0" fontId="2" fillId="0" borderId="1" xfId="2" applyAlignment="1">
      <alignment horizontal="center"/>
    </xf>
    <xf numFmtId="0" fontId="1" fillId="3" borderId="0" xfId="7"/>
    <xf numFmtId="0" fontId="1" fillId="3" borderId="1" xfId="7" applyBorder="1" applyAlignment="1">
      <alignment horizontal="center"/>
    </xf>
    <xf numFmtId="0" fontId="3" fillId="2" borderId="3" xfId="3"/>
    <xf numFmtId="0" fontId="3" fillId="2" borderId="3" xfId="3" applyNumberFormat="1" applyAlignment="1">
      <alignment horizontal="center" vertical="center"/>
    </xf>
    <xf numFmtId="0" fontId="6" fillId="16" borderId="0" xfId="6" applyFill="1"/>
    <xf numFmtId="164" fontId="0" fillId="0" borderId="0" xfId="0" applyNumberFormat="1"/>
    <xf numFmtId="164" fontId="2" fillId="0" borderId="1" xfId="2" applyNumberFormat="1" applyAlignment="1">
      <alignment horizontal="center" vertical="center"/>
    </xf>
    <xf numFmtId="0" fontId="4" fillId="2" borderId="2" xfId="4"/>
    <xf numFmtId="0" fontId="2" fillId="0" borderId="1" xfId="2"/>
    <xf numFmtId="0" fontId="2" fillId="0" borderId="0" xfId="2" applyFill="1" applyBorder="1"/>
    <xf numFmtId="0" fontId="5" fillId="0" borderId="4" xfId="5"/>
    <xf numFmtId="0" fontId="0" fillId="0" borderId="0" xfId="0" applyFont="1"/>
    <xf numFmtId="0" fontId="19" fillId="0" borderId="0" xfId="0" applyFont="1"/>
    <xf numFmtId="0" fontId="18" fillId="0" borderId="0" xfId="0" applyFont="1" applyAlignment="1">
      <alignment horizontal="center"/>
    </xf>
    <xf numFmtId="0" fontId="22" fillId="2" borderId="2" xfId="4" applyFont="1" applyAlignment="1">
      <alignment horizontal="center" vertical="center"/>
    </xf>
    <xf numFmtId="0" fontId="0" fillId="0" borderId="0" xfId="0" applyAlignment="1">
      <alignment horizontal="left"/>
    </xf>
    <xf numFmtId="0" fontId="15" fillId="0" borderId="0" xfId="0" applyFont="1" applyAlignment="1">
      <alignment horizontal="right"/>
    </xf>
    <xf numFmtId="0" fontId="15" fillId="0" borderId="0" xfId="0" applyFont="1" applyAlignment="1">
      <alignment horizontal="center"/>
    </xf>
    <xf numFmtId="0" fontId="23" fillId="17" borderId="1" xfId="2" applyFont="1" applyFill="1" applyAlignment="1">
      <alignment horizontal="center" vertical="center"/>
    </xf>
    <xf numFmtId="0" fontId="12" fillId="18" borderId="0" xfId="0" applyFont="1" applyFill="1" applyAlignment="1">
      <alignment horizontal="center" vertical="center"/>
    </xf>
    <xf numFmtId="0" fontId="12" fillId="12" borderId="0" xfId="0" applyFont="1" applyFill="1" applyAlignment="1">
      <alignment horizontal="center" vertical="center"/>
    </xf>
    <xf numFmtId="0" fontId="17" fillId="0" borderId="0" xfId="0" applyFont="1" applyAlignment="1">
      <alignment horizontal="center" vertical="center"/>
    </xf>
    <xf numFmtId="0" fontId="24" fillId="0" borderId="0" xfId="0" applyFont="1" applyAlignment="1">
      <alignment horizontal="center"/>
    </xf>
    <xf numFmtId="2" fontId="24" fillId="0" borderId="0" xfId="0" applyNumberFormat="1" applyFont="1" applyAlignment="1">
      <alignment horizontal="center"/>
    </xf>
    <xf numFmtId="0" fontId="7" fillId="12" borderId="0" xfId="0" applyFont="1" applyFill="1" applyAlignment="1">
      <alignment horizontal="center"/>
    </xf>
    <xf numFmtId="2" fontId="8" fillId="6" borderId="0" xfId="0" applyNumberFormat="1" applyFont="1" applyFill="1"/>
    <xf numFmtId="2" fontId="12" fillId="6" borderId="0" xfId="0" applyNumberFormat="1" applyFont="1" applyFill="1" applyAlignment="1">
      <alignment horizontal="center" vertical="center"/>
    </xf>
    <xf numFmtId="0" fontId="25" fillId="0" borderId="0" xfId="0" applyFont="1" applyAlignment="1">
      <alignment horizontal="center" vertical="center"/>
    </xf>
    <xf numFmtId="2" fontId="26" fillId="0" borderId="0" xfId="0" applyNumberFormat="1" applyFont="1"/>
    <xf numFmtId="0" fontId="27" fillId="0" borderId="0" xfId="0" applyFont="1" applyAlignment="1">
      <alignment horizontal="center" wrapText="1"/>
    </xf>
    <xf numFmtId="0" fontId="0" fillId="19" borderId="0" xfId="0" applyFill="1"/>
    <xf numFmtId="0" fontId="20" fillId="0" borderId="0" xfId="0" applyFont="1" applyAlignment="1">
      <alignment horizontal="center" vertical="center"/>
    </xf>
    <xf numFmtId="0" fontId="0" fillId="14" borderId="0" xfId="0" applyFill="1" applyAlignment="1"/>
    <xf numFmtId="0" fontId="14" fillId="0" borderId="0" xfId="0" applyFont="1" applyAlignment="1">
      <alignment wrapText="1"/>
    </xf>
    <xf numFmtId="0" fontId="31" fillId="0" borderId="0" xfId="0" applyFont="1" applyAlignment="1">
      <alignment horizontal="center" vertical="center"/>
    </xf>
    <xf numFmtId="0" fontId="14" fillId="0" borderId="0" xfId="0" applyFont="1"/>
    <xf numFmtId="0" fontId="7" fillId="0" borderId="0" xfId="0" applyFont="1" applyBorder="1" applyAlignment="1">
      <alignment horizontal="center" vertical="center" textRotation="255"/>
    </xf>
    <xf numFmtId="0" fontId="34" fillId="0" borderId="0" xfId="0" applyFont="1" applyAlignment="1">
      <alignment horizontal="center" vertical="center"/>
    </xf>
    <xf numFmtId="0" fontId="36" fillId="0" borderId="0" xfId="0" applyFont="1" applyAlignment="1">
      <alignment horizontal="center" vertical="center"/>
    </xf>
    <xf numFmtId="0" fontId="8" fillId="0" borderId="0" xfId="0" applyFont="1"/>
    <xf numFmtId="0" fontId="37" fillId="0" borderId="0" xfId="0" applyFont="1" applyAlignment="1">
      <alignment horizontal="center" vertical="center"/>
    </xf>
    <xf numFmtId="0" fontId="37" fillId="0" borderId="0" xfId="0" applyFont="1"/>
    <xf numFmtId="164" fontId="0" fillId="0" borderId="0" xfId="0" applyNumberFormat="1" applyAlignment="1">
      <alignment horizontal="center" vertical="center"/>
    </xf>
    <xf numFmtId="0" fontId="33" fillId="0" borderId="0" xfId="0" applyFont="1" applyAlignment="1">
      <alignment horizontal="center" vertical="center" wrapText="1"/>
    </xf>
    <xf numFmtId="0" fontId="0" fillId="0" borderId="0" xfId="0" applyAlignment="1">
      <alignment horizontal="right"/>
    </xf>
    <xf numFmtId="0" fontId="32" fillId="0" borderId="0" xfId="0" applyFont="1"/>
    <xf numFmtId="0" fontId="0" fillId="0" borderId="0" xfId="0" applyAlignment="1">
      <alignment horizontal="center"/>
    </xf>
    <xf numFmtId="0" fontId="18"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35" fillId="0" borderId="0" xfId="0" applyFont="1" applyAlignment="1">
      <alignment horizontal="center" vertical="center" wrapText="1"/>
    </xf>
    <xf numFmtId="0" fontId="27" fillId="0" borderId="0" xfId="0" applyFont="1" applyAlignment="1">
      <alignment horizontal="center" wrapText="1"/>
    </xf>
    <xf numFmtId="0" fontId="19" fillId="18" borderId="0" xfId="0" applyFont="1" applyFill="1" applyAlignment="1">
      <alignment horizontal="center"/>
    </xf>
    <xf numFmtId="0" fontId="17" fillId="12" borderId="0" xfId="0" applyFont="1" applyFill="1" applyAlignment="1">
      <alignment horizontal="center"/>
    </xf>
    <xf numFmtId="0" fontId="7" fillId="0" borderId="6" xfId="0" applyFont="1" applyBorder="1" applyAlignment="1">
      <alignment horizontal="center" vertical="center" textRotation="255"/>
    </xf>
    <xf numFmtId="0" fontId="28" fillId="0" borderId="0" xfId="0" applyFont="1" applyAlignment="1">
      <alignment horizontal="center" vertical="center" wrapText="1"/>
    </xf>
    <xf numFmtId="0" fontId="0" fillId="10" borderId="0" xfId="0" applyFill="1" applyAlignment="1">
      <alignment horizontal="center"/>
    </xf>
    <xf numFmtId="0" fontId="0" fillId="0" borderId="5" xfId="0" applyBorder="1" applyAlignment="1">
      <alignment horizontal="center" vertical="center"/>
    </xf>
    <xf numFmtId="0" fontId="7" fillId="15" borderId="0" xfId="0" applyFont="1" applyFill="1" applyAlignment="1">
      <alignment horizontal="center"/>
    </xf>
    <xf numFmtId="0" fontId="0" fillId="12" borderId="0" xfId="0" applyFill="1" applyAlignment="1">
      <alignment horizontal="center"/>
    </xf>
    <xf numFmtId="0" fontId="0" fillId="8" borderId="0" xfId="0" applyFill="1" applyAlignment="1">
      <alignment horizontal="center"/>
    </xf>
    <xf numFmtId="0" fontId="29" fillId="0" borderId="0" xfId="0" applyFont="1" applyAlignment="1">
      <alignment horizontal="center" vertical="center"/>
    </xf>
    <xf numFmtId="0" fontId="10" fillId="7" borderId="0" xfId="0" applyFont="1" applyFill="1" applyAlignment="1">
      <alignment horizontal="center" vertical="center"/>
    </xf>
    <xf numFmtId="0" fontId="30" fillId="9" borderId="0" xfId="0" applyFont="1" applyFill="1" applyAlignment="1">
      <alignment horizontal="center"/>
    </xf>
    <xf numFmtId="0" fontId="21" fillId="0" borderId="0" xfId="0" applyFont="1" applyAlignment="1">
      <alignment horizontal="center"/>
    </xf>
    <xf numFmtId="0" fontId="12" fillId="18" borderId="0" xfId="0" applyFont="1" applyFill="1" applyAlignment="1">
      <alignment horizontal="center" vertical="center"/>
    </xf>
    <xf numFmtId="0" fontId="18" fillId="0" borderId="0" xfId="0" applyFont="1" applyAlignment="1">
      <alignment horizontal="center"/>
    </xf>
    <xf numFmtId="0" fontId="19" fillId="19" borderId="0" xfId="0" applyFont="1" applyFill="1" applyAlignment="1">
      <alignment horizontal="center"/>
    </xf>
    <xf numFmtId="0" fontId="13" fillId="6" borderId="0" xfId="0" applyFont="1" applyFill="1" applyAlignment="1">
      <alignment horizontal="center" vertical="center"/>
    </xf>
    <xf numFmtId="0" fontId="33" fillId="0" borderId="0" xfId="0" applyFont="1" applyAlignment="1">
      <alignment horizontal="center" vertical="center" wrapText="1"/>
    </xf>
    <xf numFmtId="0" fontId="6" fillId="16" borderId="0" xfId="6" applyFill="1" applyAlignment="1">
      <alignment horizontal="center"/>
    </xf>
  </cellXfs>
  <cellStyles count="8">
    <cellStyle name="20% - Accent5" xfId="7" builtinId="46"/>
    <cellStyle name="Calculation" xfId="4" builtinId="22"/>
    <cellStyle name="Explanatory Text" xfId="6" builtinId="53"/>
    <cellStyle name="Heading 1" xfId="2" builtinId="16"/>
    <cellStyle name="Linked Cell" xfId="5" builtinId="24"/>
    <cellStyle name="Normal" xfId="0" builtinId="0"/>
    <cellStyle name="Output" xfId="3" builtinId="21"/>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Sheet1!$N$6</c:f>
              <c:strCache>
                <c:ptCount val="1"/>
                <c:pt idx="0">
                  <c:v>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Sheet1!$M$7:$M$34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1309.3735746958789</c:v>
                </c:pt>
                <c:pt idx="22" formatCode="0.00">
                  <c:v>1703.1393769843914</c:v>
                </c:pt>
                <c:pt idx="23" formatCode="0.00">
                  <c:v>1885.2256155834011</c:v>
                </c:pt>
                <c:pt idx="24" formatCode="0.00">
                  <c:v>2186.0839618573564</c:v>
                </c:pt>
                <c:pt idx="25" formatCode="0.00">
                  <c:v>2496.2754023083762</c:v>
                </c:pt>
                <c:pt idx="26" formatCode="0.00">
                  <c:v>2751.5480676985321</c:v>
                </c:pt>
                <c:pt idx="27" formatCode="0.00">
                  <c:v>2816.3975804337983</c:v>
                </c:pt>
              </c:numCache>
            </c:numRef>
          </c:xVal>
          <c:yVal>
            <c:numRef>
              <c:f>Sheet1!$N$7:$N$34</c:f>
              <c:numCache>
                <c:formatCode>General</c:formatCode>
                <c:ptCount val="28"/>
                <c:pt idx="0">
                  <c:v>1E-3</c:v>
                </c:pt>
                <c:pt idx="1">
                  <c:v>9.9995000166663847E-8</c:v>
                </c:pt>
                <c:pt idx="2">
                  <c:v>1.9998000133325534E-7</c:v>
                </c:pt>
                <c:pt idx="3">
                  <c:v>2.9995500449964131E-7</c:v>
                </c:pt>
                <c:pt idx="4">
                  <c:v>3.9992001066557761E-7</c:v>
                </c:pt>
                <c:pt idx="5">
                  <c:v>4.9987502083070902E-7</c:v>
                </c:pt>
                <c:pt idx="6">
                  <c:v>5.9982003599456936E-7</c:v>
                </c:pt>
                <c:pt idx="7">
                  <c:v>6.9975505715669239E-7</c:v>
                </c:pt>
                <c:pt idx="8">
                  <c:v>7.9968008531627894E-7</c:v>
                </c:pt>
                <c:pt idx="9">
                  <c:v>8.9959512147264059E-7</c:v>
                </c:pt>
                <c:pt idx="10">
                  <c:v>9.9950016662497806E-7</c:v>
                </c:pt>
                <c:pt idx="11">
                  <c:v>1.0993952217723813E-6</c:v>
                </c:pt>
                <c:pt idx="12">
                  <c:v>1.1992802879136066E-6</c:v>
                </c:pt>
                <c:pt idx="13">
                  <c:v>1.2991553660477439E-6</c:v>
                </c:pt>
                <c:pt idx="14">
                  <c:v>1.3990204571733278E-6</c:v>
                </c:pt>
                <c:pt idx="15">
                  <c:v>1.4988755622891148E-6</c:v>
                </c:pt>
                <c:pt idx="16">
                  <c:v>1.5987206823936396E-6</c:v>
                </c:pt>
                <c:pt idx="17">
                  <c:v>1.6985558184854367E-6</c:v>
                </c:pt>
                <c:pt idx="18">
                  <c:v>1.7983809715627076E-6</c:v>
                </c:pt>
                <c:pt idx="19">
                  <c:v>1.8981961426238758E-6</c:v>
                </c:pt>
                <c:pt idx="20">
                  <c:v>1.9980013326669211E-6</c:v>
                </c:pt>
                <c:pt idx="21" formatCode="0.00">
                  <c:v>2.7</c:v>
                </c:pt>
                <c:pt idx="22" formatCode="0.00">
                  <c:v>3.4452000000000003</c:v>
                </c:pt>
                <c:pt idx="23" formatCode="0.00">
                  <c:v>3.78</c:v>
                </c:pt>
                <c:pt idx="24" formatCode="0.00">
                  <c:v>4.32</c:v>
                </c:pt>
                <c:pt idx="25" formatCode="0.00">
                  <c:v>4.8600000000000003</c:v>
                </c:pt>
                <c:pt idx="26" formatCode="0.00">
                  <c:v>5.2919999999999998</c:v>
                </c:pt>
                <c:pt idx="27" formatCode="0.00">
                  <c:v>5.4</c:v>
                </c:pt>
              </c:numCache>
            </c:numRef>
          </c:yVal>
          <c:smooth val="1"/>
          <c:extLst>
            <c:ext xmlns:c16="http://schemas.microsoft.com/office/drawing/2014/chart" uri="{C3380CC4-5D6E-409C-BE32-E72D297353CC}">
              <c16:uniqueId val="{00000000-A79D-4FC7-A9E5-1A01251435D6}"/>
            </c:ext>
          </c:extLst>
        </c:ser>
        <c:dLbls>
          <c:showLegendKey val="0"/>
          <c:showVal val="0"/>
          <c:showCatName val="0"/>
          <c:showSerName val="0"/>
          <c:showPercent val="0"/>
          <c:showBubbleSize val="0"/>
        </c:dLbls>
        <c:axId val="1037942111"/>
        <c:axId val="1037944607"/>
      </c:scatterChart>
      <c:valAx>
        <c:axId val="1037942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44607"/>
        <c:crosses val="autoZero"/>
        <c:crossBetween val="midCat"/>
      </c:valAx>
      <c:valAx>
        <c:axId val="103794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Voltage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42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Sheet1!$R$6</c:f>
              <c:strCache>
                <c:ptCount val="1"/>
                <c:pt idx="0">
                  <c:v>I (A)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Sheet1!$Q$7:$Q$34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5108.2562385225565</c:v>
                </c:pt>
                <c:pt idx="22" formatCode="0.00">
                  <c:v>6931.4718067699941</c:v>
                </c:pt>
                <c:pt idx="23" formatCode="0.00">
                  <c:v>9162.9073202889213</c:v>
                </c:pt>
                <c:pt idx="24" formatCode="0.00">
                  <c:v>12039.72804529255</c:v>
                </c:pt>
                <c:pt idx="25" formatCode="0.00">
                  <c:v>12039.72804529255</c:v>
                </c:pt>
                <c:pt idx="26" formatCode="0.00">
                  <c:v>18971.199852062542</c:v>
                </c:pt>
                <c:pt idx="27" formatCode="0.00">
                  <c:v>23025.850933828908</c:v>
                </c:pt>
              </c:numCache>
            </c:numRef>
          </c:xVal>
          <c:yVal>
            <c:numRef>
              <c:f>Sheet1!$R$7:$R$34</c:f>
              <c:numCache>
                <c:formatCode>General</c:formatCode>
                <c:ptCount val="28"/>
                <c:pt idx="0" formatCode="0.00">
                  <c:v>4.4000000000000004</c:v>
                </c:pt>
                <c:pt idx="1">
                  <c:v>4.3995600219992674</c:v>
                </c:pt>
                <c:pt idx="2">
                  <c:v>4.3991200879941337</c:v>
                </c:pt>
                <c:pt idx="3">
                  <c:v>4.3986801979802017</c:v>
                </c:pt>
                <c:pt idx="4">
                  <c:v>4.3982403519530715</c:v>
                </c:pt>
                <c:pt idx="5">
                  <c:v>4.3978005499083448</c:v>
                </c:pt>
                <c:pt idx="6">
                  <c:v>4.3973607918416242</c:v>
                </c:pt>
                <c:pt idx="7">
                  <c:v>4.3969210777485106</c:v>
                </c:pt>
                <c:pt idx="8">
                  <c:v>4.3964814076246084</c:v>
                </c:pt>
                <c:pt idx="9">
                  <c:v>4.396041781465521</c:v>
                </c:pt>
                <c:pt idx="10">
                  <c:v>4.3956021992668504</c:v>
                </c:pt>
                <c:pt idx="11">
                  <c:v>4.3951626610242016</c:v>
                </c:pt>
                <c:pt idx="12">
                  <c:v>4.3947231667331801</c:v>
                </c:pt>
                <c:pt idx="13">
                  <c:v>4.3942837163893902</c:v>
                </c:pt>
                <c:pt idx="14">
                  <c:v>4.3938443099884381</c:v>
                </c:pt>
                <c:pt idx="15">
                  <c:v>4.3934049475259283</c:v>
                </c:pt>
                <c:pt idx="16">
                  <c:v>4.3929656289974686</c:v>
                </c:pt>
                <c:pt idx="17">
                  <c:v>4.3925263543986643</c:v>
                </c:pt>
                <c:pt idx="18">
                  <c:v>4.3920871237251244</c:v>
                </c:pt>
                <c:pt idx="19">
                  <c:v>4.391647936972455</c:v>
                </c:pt>
                <c:pt idx="20">
                  <c:v>4.3912087941362659</c:v>
                </c:pt>
                <c:pt idx="21">
                  <c:v>2.64</c:v>
                </c:pt>
                <c:pt idx="22">
                  <c:v>2.2000000000000002</c:v>
                </c:pt>
                <c:pt idx="23">
                  <c:v>1.7600000000000002</c:v>
                </c:pt>
                <c:pt idx="24">
                  <c:v>1.32</c:v>
                </c:pt>
                <c:pt idx="25">
                  <c:v>1.32</c:v>
                </c:pt>
                <c:pt idx="26">
                  <c:v>0.66</c:v>
                </c:pt>
                <c:pt idx="27">
                  <c:v>0.44000000000000006</c:v>
                </c:pt>
              </c:numCache>
            </c:numRef>
          </c:yVal>
          <c:smooth val="1"/>
          <c:extLst>
            <c:ext xmlns:c16="http://schemas.microsoft.com/office/drawing/2014/chart" uri="{C3380CC4-5D6E-409C-BE32-E72D297353CC}">
              <c16:uniqueId val="{00000000-3DF8-4A65-83AC-4C18765AD7F6}"/>
            </c:ext>
          </c:extLst>
        </c:ser>
        <c:dLbls>
          <c:showLegendKey val="0"/>
          <c:showVal val="0"/>
          <c:showCatName val="0"/>
          <c:showSerName val="0"/>
          <c:showPercent val="0"/>
          <c:showBubbleSize val="0"/>
        </c:dLbls>
        <c:axId val="1035946095"/>
        <c:axId val="1035957327"/>
      </c:scatterChart>
      <c:valAx>
        <c:axId val="1035946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57327"/>
        <c:crosses val="autoZero"/>
        <c:crossBetween val="midCat"/>
      </c:valAx>
      <c:valAx>
        <c:axId val="103595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46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Sheet1!$W$6</c:f>
              <c:strCache>
                <c:ptCount val="1"/>
                <c:pt idx="0">
                  <c:v>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Sheet1!$V$7:$V$34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5108.2562385225565</c:v>
                </c:pt>
                <c:pt idx="22" formatCode="0.00">
                  <c:v>6931.4718067699941</c:v>
                </c:pt>
                <c:pt idx="23" formatCode="0.00">
                  <c:v>9781.6613575742867</c:v>
                </c:pt>
                <c:pt idx="24" formatCode="0.00">
                  <c:v>12039.72804529255</c:v>
                </c:pt>
                <c:pt idx="25" formatCode="0.00">
                  <c:v>16094.379127058915</c:v>
                </c:pt>
                <c:pt idx="26" formatCode="0.00">
                  <c:v>18971.199852062542</c:v>
                </c:pt>
                <c:pt idx="27" formatCode="0.00">
                  <c:v>23025.850933828908</c:v>
                </c:pt>
              </c:numCache>
            </c:numRef>
          </c:xVal>
          <c:yVal>
            <c:numRef>
              <c:f>Sheet1!$W$7:$W$34</c:f>
              <c:numCache>
                <c:formatCode>General</c:formatCode>
                <c:ptCount val="28"/>
                <c:pt idx="0">
                  <c:v>5.4</c:v>
                </c:pt>
                <c:pt idx="1">
                  <c:v>5.3994600269991002</c:v>
                </c:pt>
                <c:pt idx="2">
                  <c:v>5.3989201079928009</c:v>
                </c:pt>
                <c:pt idx="3">
                  <c:v>5.3983802429757022</c:v>
                </c:pt>
                <c:pt idx="4">
                  <c:v>5.3978404319424058</c:v>
                </c:pt>
                <c:pt idx="5">
                  <c:v>5.3973006748875143</c:v>
                </c:pt>
                <c:pt idx="6">
                  <c:v>5.3967609718056293</c:v>
                </c:pt>
                <c:pt idx="7">
                  <c:v>5.3962213226913542</c:v>
                </c:pt>
                <c:pt idx="8">
                  <c:v>5.3956817275392925</c:v>
                </c:pt>
                <c:pt idx="9">
                  <c:v>5.3951421863440485</c:v>
                </c:pt>
                <c:pt idx="10">
                  <c:v>5.3946026991002256</c:v>
                </c:pt>
                <c:pt idx="11">
                  <c:v>5.3940632658024299</c:v>
                </c:pt>
                <c:pt idx="12">
                  <c:v>5.3935238864452666</c:v>
                </c:pt>
                <c:pt idx="13">
                  <c:v>5.3929845610233427</c:v>
                </c:pt>
                <c:pt idx="14">
                  <c:v>5.3924452895312642</c:v>
                </c:pt>
                <c:pt idx="15">
                  <c:v>5.3919060719636391</c:v>
                </c:pt>
                <c:pt idx="16">
                  <c:v>5.3913669083150744</c:v>
                </c:pt>
                <c:pt idx="17">
                  <c:v>5.3908277985801787</c:v>
                </c:pt>
                <c:pt idx="18">
                  <c:v>5.3902887427535617</c:v>
                </c:pt>
                <c:pt idx="19">
                  <c:v>5.3897497408298314</c:v>
                </c:pt>
                <c:pt idx="20">
                  <c:v>5.389210792803599</c:v>
                </c:pt>
                <c:pt idx="21">
                  <c:v>3.24</c:v>
                </c:pt>
                <c:pt idx="22">
                  <c:v>2.7</c:v>
                </c:pt>
                <c:pt idx="23">
                  <c:v>2.0304000000000002</c:v>
                </c:pt>
                <c:pt idx="24">
                  <c:v>1.62</c:v>
                </c:pt>
                <c:pt idx="25">
                  <c:v>1.08</c:v>
                </c:pt>
                <c:pt idx="26">
                  <c:v>0.81</c:v>
                </c:pt>
                <c:pt idx="27">
                  <c:v>0.54</c:v>
                </c:pt>
              </c:numCache>
            </c:numRef>
          </c:yVal>
          <c:smooth val="1"/>
          <c:extLst>
            <c:ext xmlns:c16="http://schemas.microsoft.com/office/drawing/2014/chart" uri="{C3380CC4-5D6E-409C-BE32-E72D297353CC}">
              <c16:uniqueId val="{00000000-56A4-4814-BDBE-7D2A8843F342}"/>
            </c:ext>
          </c:extLst>
        </c:ser>
        <c:dLbls>
          <c:showLegendKey val="0"/>
          <c:showVal val="0"/>
          <c:showCatName val="0"/>
          <c:showSerName val="0"/>
          <c:showPercent val="0"/>
          <c:showBubbleSize val="0"/>
        </c:dLbls>
        <c:axId val="1140650879"/>
        <c:axId val="1140651711"/>
      </c:scatterChart>
      <c:valAx>
        <c:axId val="1140650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seconds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51711"/>
        <c:crosses val="autoZero"/>
        <c:crossBetween val="midCat"/>
      </c:valAx>
      <c:valAx>
        <c:axId val="114065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Voltage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5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Sheet1!$AA$6</c:f>
              <c:strCache>
                <c:ptCount val="1"/>
                <c:pt idx="0">
                  <c:v>I (A)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Sheet1!$Z$7:$Z$34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5108.2562385225565</c:v>
                </c:pt>
                <c:pt idx="22" formatCode="0.00">
                  <c:v>6931.4718067699941</c:v>
                </c:pt>
                <c:pt idx="23" formatCode="0.00">
                  <c:v>9162.9073202889213</c:v>
                </c:pt>
                <c:pt idx="24" formatCode="0.00">
                  <c:v>12039.72804529255</c:v>
                </c:pt>
                <c:pt idx="25" formatCode="0.00">
                  <c:v>12039.72804529255</c:v>
                </c:pt>
                <c:pt idx="26" formatCode="0.00">
                  <c:v>18971.199852062542</c:v>
                </c:pt>
                <c:pt idx="27" formatCode="0.00">
                  <c:v>23025.850933828908</c:v>
                </c:pt>
              </c:numCache>
            </c:numRef>
          </c:xVal>
          <c:yVal>
            <c:numRef>
              <c:f>Sheet1!$AA$7:$AA$34</c:f>
              <c:numCache>
                <c:formatCode>General</c:formatCode>
                <c:ptCount val="28"/>
                <c:pt idx="0">
                  <c:v>1.08</c:v>
                </c:pt>
                <c:pt idx="1">
                  <c:v>1.07989200539982</c:v>
                </c:pt>
                <c:pt idx="2">
                  <c:v>1.0797840215985601</c:v>
                </c:pt>
                <c:pt idx="3">
                  <c:v>1.0796760485951404</c:v>
                </c:pt>
                <c:pt idx="4">
                  <c:v>1.0795680863884813</c:v>
                </c:pt>
                <c:pt idx="5">
                  <c:v>1.0794601349775028</c:v>
                </c:pt>
                <c:pt idx="6">
                  <c:v>1.0793521943611259</c:v>
                </c:pt>
                <c:pt idx="7">
                  <c:v>1.0792442645382709</c:v>
                </c:pt>
                <c:pt idx="8">
                  <c:v>1.0791363455078584</c:v>
                </c:pt>
                <c:pt idx="9">
                  <c:v>1.0790284372688097</c:v>
                </c:pt>
                <c:pt idx="10">
                  <c:v>1.078920539820045</c:v>
                </c:pt>
                <c:pt idx="11">
                  <c:v>1.0788126531604858</c:v>
                </c:pt>
                <c:pt idx="12">
                  <c:v>1.0787047772890535</c:v>
                </c:pt>
                <c:pt idx="13">
                  <c:v>1.0785969122046686</c:v>
                </c:pt>
                <c:pt idx="14">
                  <c:v>1.0784890579062529</c:v>
                </c:pt>
                <c:pt idx="15">
                  <c:v>1.0783812143927278</c:v>
                </c:pt>
                <c:pt idx="16">
                  <c:v>1.078273381663015</c:v>
                </c:pt>
                <c:pt idx="17">
                  <c:v>1.0781655597160358</c:v>
                </c:pt>
                <c:pt idx="18">
                  <c:v>1.0780577485507123</c:v>
                </c:pt>
                <c:pt idx="19">
                  <c:v>1.0779499481659662</c:v>
                </c:pt>
                <c:pt idx="20">
                  <c:v>1.0778421585607199</c:v>
                </c:pt>
                <c:pt idx="21">
                  <c:v>0.64800000000000002</c:v>
                </c:pt>
                <c:pt idx="22">
                  <c:v>0.54</c:v>
                </c:pt>
                <c:pt idx="23">
                  <c:v>0.43200000000000005</c:v>
                </c:pt>
                <c:pt idx="24">
                  <c:v>0.32400000000000001</c:v>
                </c:pt>
                <c:pt idx="25">
                  <c:v>0.32400000000000001</c:v>
                </c:pt>
                <c:pt idx="26">
                  <c:v>0.16200000000000001</c:v>
                </c:pt>
                <c:pt idx="27">
                  <c:v>0.10800000000000001</c:v>
                </c:pt>
              </c:numCache>
            </c:numRef>
          </c:yVal>
          <c:smooth val="1"/>
          <c:extLst>
            <c:ext xmlns:c16="http://schemas.microsoft.com/office/drawing/2014/chart" uri="{C3380CC4-5D6E-409C-BE32-E72D297353CC}">
              <c16:uniqueId val="{00000000-AB71-4992-B81F-5AD7F50E7E14}"/>
            </c:ext>
          </c:extLst>
        </c:ser>
        <c:dLbls>
          <c:showLegendKey val="0"/>
          <c:showVal val="0"/>
          <c:showCatName val="0"/>
          <c:showSerName val="0"/>
          <c:showPercent val="0"/>
          <c:showBubbleSize val="0"/>
        </c:dLbls>
        <c:axId val="1030539103"/>
        <c:axId val="1030538687"/>
      </c:scatterChart>
      <c:valAx>
        <c:axId val="1030539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38687"/>
        <c:crosses val="autoZero"/>
        <c:crossBetween val="midCat"/>
      </c:valAx>
      <c:valAx>
        <c:axId val="103053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39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Power Loss internal due to ESR for</a:t>
            </a:r>
            <a:r>
              <a:rPr lang="en-GB" baseline="0"/>
              <a:t> input currents 0.1A to 100A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Sheet1!$B$29:$B$40</c:f>
              <c:numCache>
                <c:formatCode>General</c:formatCode>
                <c:ptCount val="12"/>
                <c:pt idx="0">
                  <c:v>0.1</c:v>
                </c:pt>
                <c:pt idx="1">
                  <c:v>0.5</c:v>
                </c:pt>
                <c:pt idx="2">
                  <c:v>1</c:v>
                </c:pt>
                <c:pt idx="3">
                  <c:v>1.2</c:v>
                </c:pt>
                <c:pt idx="4">
                  <c:v>1.5</c:v>
                </c:pt>
                <c:pt idx="5">
                  <c:v>2</c:v>
                </c:pt>
                <c:pt idx="6">
                  <c:v>5</c:v>
                </c:pt>
                <c:pt idx="7">
                  <c:v>10</c:v>
                </c:pt>
                <c:pt idx="8">
                  <c:v>20</c:v>
                </c:pt>
                <c:pt idx="9">
                  <c:v>30</c:v>
                </c:pt>
                <c:pt idx="10">
                  <c:v>50</c:v>
                </c:pt>
                <c:pt idx="11">
                  <c:v>100</c:v>
                </c:pt>
              </c:numCache>
            </c:numRef>
          </c:xVal>
          <c:yVal>
            <c:numRef>
              <c:f>Sheet1!$C$29:$C$40</c:f>
              <c:numCache>
                <c:formatCode>General</c:formatCode>
                <c:ptCount val="12"/>
                <c:pt idx="0">
                  <c:v>1.2500000000000002E-5</c:v>
                </c:pt>
                <c:pt idx="1">
                  <c:v>3.1250000000000001E-4</c:v>
                </c:pt>
                <c:pt idx="2">
                  <c:v>1.25E-3</c:v>
                </c:pt>
                <c:pt idx="3">
                  <c:v>1.8E-3</c:v>
                </c:pt>
                <c:pt idx="4">
                  <c:v>2.8124999999999999E-3</c:v>
                </c:pt>
                <c:pt idx="5">
                  <c:v>5.0000000000000001E-3</c:v>
                </c:pt>
                <c:pt idx="6">
                  <c:v>3.125E-2</c:v>
                </c:pt>
                <c:pt idx="7">
                  <c:v>0.125</c:v>
                </c:pt>
                <c:pt idx="8">
                  <c:v>0.5</c:v>
                </c:pt>
                <c:pt idx="9">
                  <c:v>1.125</c:v>
                </c:pt>
                <c:pt idx="10">
                  <c:v>3.125</c:v>
                </c:pt>
                <c:pt idx="11">
                  <c:v>12.5</c:v>
                </c:pt>
              </c:numCache>
            </c:numRef>
          </c:yVal>
          <c:smooth val="1"/>
          <c:extLst>
            <c:ext xmlns:c16="http://schemas.microsoft.com/office/drawing/2014/chart" uri="{C3380CC4-5D6E-409C-BE32-E72D297353CC}">
              <c16:uniqueId val="{00000000-C847-4128-811E-A77661AC5C1E}"/>
            </c:ext>
          </c:extLst>
        </c:ser>
        <c:dLbls>
          <c:showLegendKey val="0"/>
          <c:showVal val="0"/>
          <c:showCatName val="0"/>
          <c:showSerName val="0"/>
          <c:showPercent val="0"/>
          <c:showBubbleSize val="0"/>
        </c:dLbls>
        <c:axId val="1223016927"/>
        <c:axId val="1223012351"/>
      </c:scatterChart>
      <c:valAx>
        <c:axId val="1223016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12351"/>
        <c:crosses val="autoZero"/>
        <c:crossBetween val="midCat"/>
      </c:valAx>
      <c:valAx>
        <c:axId val="122301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1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200025</xdr:colOff>
      <xdr:row>36</xdr:row>
      <xdr:rowOff>171450</xdr:rowOff>
    </xdr:from>
    <xdr:to>
      <xdr:col>14</xdr:col>
      <xdr:colOff>428625</xdr:colOff>
      <xdr:row>51</xdr:row>
      <xdr:rowOff>57150</xdr:rowOff>
    </xdr:to>
    <xdr:graphicFrame macro="">
      <xdr:nvGraphicFramePr>
        <xdr:cNvPr id="3" name="Chart 2">
          <a:extLst>
            <a:ext uri="{FF2B5EF4-FFF2-40B4-BE49-F238E27FC236}">
              <a16:creationId xmlns:a16="http://schemas.microsoft.com/office/drawing/2014/main" id="{4220FA78-1B80-4646-BE71-FF1FEB855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49306</xdr:colOff>
      <xdr:row>36</xdr:row>
      <xdr:rowOff>134471</xdr:rowOff>
    </xdr:from>
    <xdr:to>
      <xdr:col>21</xdr:col>
      <xdr:colOff>488576</xdr:colOff>
      <xdr:row>52</xdr:row>
      <xdr:rowOff>8965</xdr:rowOff>
    </xdr:to>
    <xdr:graphicFrame macro="">
      <xdr:nvGraphicFramePr>
        <xdr:cNvPr id="5" name="Chart 4">
          <a:extLst>
            <a:ext uri="{FF2B5EF4-FFF2-40B4-BE49-F238E27FC236}">
              <a16:creationId xmlns:a16="http://schemas.microsoft.com/office/drawing/2014/main" id="{B13538BC-4A59-465D-9C1A-ACD80DA89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112058</xdr:colOff>
      <xdr:row>36</xdr:row>
      <xdr:rowOff>134471</xdr:rowOff>
    </xdr:from>
    <xdr:to>
      <xdr:col>27</xdr:col>
      <xdr:colOff>649941</xdr:colOff>
      <xdr:row>52</xdr:row>
      <xdr:rowOff>8965</xdr:rowOff>
    </xdr:to>
    <xdr:graphicFrame macro="">
      <xdr:nvGraphicFramePr>
        <xdr:cNvPr id="6" name="Chart 5">
          <a:extLst>
            <a:ext uri="{FF2B5EF4-FFF2-40B4-BE49-F238E27FC236}">
              <a16:creationId xmlns:a16="http://schemas.microsoft.com/office/drawing/2014/main" id="{D9187F8C-7ABE-4E82-B1E0-C190DA005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721659</xdr:colOff>
      <xdr:row>36</xdr:row>
      <xdr:rowOff>116541</xdr:rowOff>
    </xdr:from>
    <xdr:to>
      <xdr:col>35</xdr:col>
      <xdr:colOff>147917</xdr:colOff>
      <xdr:row>51</xdr:row>
      <xdr:rowOff>170329</xdr:rowOff>
    </xdr:to>
    <xdr:graphicFrame macro="">
      <xdr:nvGraphicFramePr>
        <xdr:cNvPr id="7" name="Chart 6">
          <a:extLst>
            <a:ext uri="{FF2B5EF4-FFF2-40B4-BE49-F238E27FC236}">
              <a16:creationId xmlns:a16="http://schemas.microsoft.com/office/drawing/2014/main" id="{AC904636-7355-4DE6-854F-89E17145E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79513</xdr:colOff>
      <xdr:row>1</xdr:row>
      <xdr:rowOff>59636</xdr:rowOff>
    </xdr:from>
    <xdr:to>
      <xdr:col>6</xdr:col>
      <xdr:colOff>1415143</xdr:colOff>
      <xdr:row>2</xdr:row>
      <xdr:rowOff>1055914</xdr:rowOff>
    </xdr:to>
    <xdr:sp macro="" textlink="">
      <xdr:nvSpPr>
        <xdr:cNvPr id="8" name="TextBox 7">
          <a:extLst>
            <a:ext uri="{FF2B5EF4-FFF2-40B4-BE49-F238E27FC236}">
              <a16:creationId xmlns:a16="http://schemas.microsoft.com/office/drawing/2014/main" id="{29BADFE4-7173-4104-96A1-667A0412B01B}"/>
            </a:ext>
          </a:extLst>
        </xdr:cNvPr>
        <xdr:cNvSpPr txBox="1"/>
      </xdr:nvSpPr>
      <xdr:spPr>
        <a:xfrm>
          <a:off x="689113" y="1224407"/>
          <a:ext cx="8487544" cy="2607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excel script contains a pre-fed</a:t>
          </a:r>
          <a:r>
            <a:rPr lang="en-GB" sz="1100" baseline="0"/>
            <a:t> formula based capacitor bank calculator. This calculator provides charging and discharging curves with plots, for both voltage and current. It also includes capacity calculation in joules and voltage and ESR calculation.</a:t>
          </a:r>
        </a:p>
        <a:p>
          <a:endParaRPr lang="en-GB" sz="1100" baseline="0"/>
        </a:p>
        <a:p>
          <a:r>
            <a:rPr lang="en-GB" sz="1100" baseline="0"/>
            <a:t>Configuration calculator allows user to input the required voltage and (either one of -) Capacitance or Energy (Selected by the option in Blue in F64) and the rest of the calculation, results in Ns and Np values and also the energy or capacitance depending upon which was calculated.</a:t>
          </a:r>
        </a:p>
        <a:p>
          <a:r>
            <a:rPr lang="en-GB" sz="1100" baseline="0"/>
            <a:t>There is also a reverse value search for time given input for voltage, current or energy.</a:t>
          </a:r>
        </a:p>
        <a:p>
          <a:endParaRPr lang="en-GB" sz="1100" baseline="0"/>
        </a:p>
        <a:p>
          <a:r>
            <a:rPr lang="en-GB" sz="1100" baseline="0"/>
            <a:t>User inputs are indicated by blue underlined boxes</a:t>
          </a:r>
        </a:p>
        <a:p>
          <a:endParaRPr lang="en-GB" sz="1100" baseline="0"/>
        </a:p>
        <a:p>
          <a:r>
            <a:rPr lang="en-GB" sz="1100" baseline="0"/>
            <a:t>This calculator is designed and written by Wayri(c) 2022. Author does not guratee or warantee any accuracy, usecase or application for this file and its content. This file is provided as is. It is shared under GNU-CC-SA.</a:t>
          </a:r>
        </a:p>
        <a:p>
          <a:endParaRPr lang="en-GB" sz="1100" baseline="0"/>
        </a:p>
        <a:p>
          <a:r>
            <a:rPr lang="en-GB" sz="1100" baseline="0"/>
            <a:t>! - This has not been tested with lithium ultracapacitors or battery-capacitor hybrids. Thus it will most likely not work with such devices. There are workarounds for that, like considering only the data range you are interested in, but no gurantess.</a:t>
          </a:r>
        </a:p>
        <a:p>
          <a:endParaRPr lang="en-GB" sz="1100" baseline="0"/>
        </a:p>
        <a:p>
          <a:endParaRPr lang="en-GB" sz="1100"/>
        </a:p>
      </xdr:txBody>
    </xdr:sp>
    <xdr:clientData/>
  </xdr:twoCellAnchor>
  <xdr:twoCellAnchor>
    <xdr:from>
      <xdr:col>7</xdr:col>
      <xdr:colOff>94536</xdr:colOff>
      <xdr:row>64</xdr:row>
      <xdr:rowOff>240091</xdr:rowOff>
    </xdr:from>
    <xdr:to>
      <xdr:col>12</xdr:col>
      <xdr:colOff>14832</xdr:colOff>
      <xdr:row>72</xdr:row>
      <xdr:rowOff>69762</xdr:rowOff>
    </xdr:to>
    <xdr:sp macro="" textlink="">
      <xdr:nvSpPr>
        <xdr:cNvPr id="9" name="TextBox 8">
          <a:extLst>
            <a:ext uri="{FF2B5EF4-FFF2-40B4-BE49-F238E27FC236}">
              <a16:creationId xmlns:a16="http://schemas.microsoft.com/office/drawing/2014/main" id="{2A3EA6D3-BE41-4016-94C1-DBAEFD0BE140}"/>
            </a:ext>
          </a:extLst>
        </xdr:cNvPr>
        <xdr:cNvSpPr txBox="1"/>
      </xdr:nvSpPr>
      <xdr:spPr>
        <a:xfrm>
          <a:off x="9328183" y="18277079"/>
          <a:ext cx="3999237" cy="2178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WHICH ONE TO USE</a:t>
          </a:r>
        </a:p>
        <a:p>
          <a:endParaRPr lang="en-GB" sz="1100"/>
        </a:p>
        <a:p>
          <a:r>
            <a:rPr lang="en-GB" sz="1100"/>
            <a:t>WHAT</a:t>
          </a:r>
          <a:r>
            <a:rPr lang="en-GB" sz="1100" baseline="0"/>
            <a:t> IS YOUR ENERGY REQUIREMENT</a:t>
          </a:r>
          <a:endParaRPr lang="en-GB" sz="1100"/>
        </a:p>
        <a:p>
          <a:r>
            <a:rPr lang="en-GB" sz="1100"/>
            <a:t>E;</a:t>
          </a:r>
        </a:p>
        <a:p>
          <a:r>
            <a:rPr lang="en-GB" sz="1100"/>
            <a:t>User</a:t>
          </a:r>
          <a:r>
            <a:rPr lang="en-GB" sz="1100" baseline="0"/>
            <a:t> input is energy in C63,and the script calculates corresponding bank capacitance value, given the voltage contraints of bank.</a:t>
          </a:r>
        </a:p>
        <a:p>
          <a:endParaRPr lang="en-GB" sz="1100" baseline="0"/>
        </a:p>
        <a:p>
          <a:r>
            <a:rPr lang="en-GB" sz="1100" baseline="0"/>
            <a:t>WHAT IS YOUR CAPACITANCE REQUIREMENT</a:t>
          </a:r>
        </a:p>
        <a:p>
          <a:r>
            <a:rPr lang="en-GB" sz="1100" baseline="0"/>
            <a:t>C;</a:t>
          </a:r>
        </a:p>
        <a:p>
          <a:r>
            <a:rPr lang="en-GB" sz="1100" baseline="0"/>
            <a:t>User input is CAPACITANCE in C59, and the script calculates corresponding energy of the capaitor bank, given the voltage contraints of bank.</a:t>
          </a:r>
        </a:p>
        <a:p>
          <a:endParaRPr lang="en-GB" sz="1100" baseline="0"/>
        </a:p>
        <a:p>
          <a:endParaRPr lang="en-GB" sz="1100"/>
        </a:p>
      </xdr:txBody>
    </xdr:sp>
    <xdr:clientData/>
  </xdr:twoCellAnchor>
  <xdr:twoCellAnchor>
    <xdr:from>
      <xdr:col>17</xdr:col>
      <xdr:colOff>96981</xdr:colOff>
      <xdr:row>1</xdr:row>
      <xdr:rowOff>124691</xdr:rowOff>
    </xdr:from>
    <xdr:to>
      <xdr:col>24</xdr:col>
      <xdr:colOff>290945</xdr:colOff>
      <xdr:row>1</xdr:row>
      <xdr:rowOff>1440873</xdr:rowOff>
    </xdr:to>
    <xdr:sp macro="" textlink="">
      <xdr:nvSpPr>
        <xdr:cNvPr id="10" name="TextBox 9">
          <a:extLst>
            <a:ext uri="{FF2B5EF4-FFF2-40B4-BE49-F238E27FC236}">
              <a16:creationId xmlns:a16="http://schemas.microsoft.com/office/drawing/2014/main" id="{AF258AEA-3F76-4F27-B1CF-48AF7187A958}"/>
            </a:ext>
          </a:extLst>
        </xdr:cNvPr>
        <xdr:cNvSpPr txBox="1"/>
      </xdr:nvSpPr>
      <xdr:spPr>
        <a:xfrm>
          <a:off x="17332036" y="1288473"/>
          <a:ext cx="4752109" cy="1316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indicator is to prevent artifacting due to calculation of last part of charging voltage being in reverse. i.e. the voltage is manually given and time calculated corresponding</a:t>
          </a:r>
          <a:r>
            <a:rPr lang="en-GB" sz="1100" baseline="0"/>
            <a:t> to it. This gives better control on graph, howver it fails in the Vcharge&lt;Vmax scenario causing a reverse line for the related time points. The data while curve is following standard charging curve is ok, however ignore the reverse jump in that case. THIS INDICATOR IS TO ENSURE YOU KNOW THIS.</a:t>
          </a:r>
          <a:endParaRPr lang="en-GB" sz="1100"/>
        </a:p>
      </xdr:txBody>
    </xdr:sp>
    <xdr:clientData/>
  </xdr:twoCellAnchor>
  <xdr:twoCellAnchor>
    <xdr:from>
      <xdr:col>3</xdr:col>
      <xdr:colOff>144780</xdr:colOff>
      <xdr:row>27</xdr:row>
      <xdr:rowOff>87630</xdr:rowOff>
    </xdr:from>
    <xdr:to>
      <xdr:col>6</xdr:col>
      <xdr:colOff>327660</xdr:colOff>
      <xdr:row>40</xdr:row>
      <xdr:rowOff>87630</xdr:rowOff>
    </xdr:to>
    <xdr:graphicFrame macro="">
      <xdr:nvGraphicFramePr>
        <xdr:cNvPr id="11" name="Chart 10">
          <a:extLst>
            <a:ext uri="{FF2B5EF4-FFF2-40B4-BE49-F238E27FC236}">
              <a16:creationId xmlns:a16="http://schemas.microsoft.com/office/drawing/2014/main" id="{2B1C5807-654C-493D-855D-A4C7D631C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76199</xdr:colOff>
      <xdr:row>85</xdr:row>
      <xdr:rowOff>65315</xdr:rowOff>
    </xdr:from>
    <xdr:to>
      <xdr:col>14</xdr:col>
      <xdr:colOff>181854</xdr:colOff>
      <xdr:row>96</xdr:row>
      <xdr:rowOff>129349</xdr:rowOff>
    </xdr:to>
    <xdr:sp macro="" textlink="">
      <xdr:nvSpPr>
        <xdr:cNvPr id="12" name="TextBox 11">
          <a:extLst>
            <a:ext uri="{FF2B5EF4-FFF2-40B4-BE49-F238E27FC236}">
              <a16:creationId xmlns:a16="http://schemas.microsoft.com/office/drawing/2014/main" id="{50D1124D-5246-4844-98ED-EB1C9F214E10}"/>
            </a:ext>
          </a:extLst>
        </xdr:cNvPr>
        <xdr:cNvSpPr txBox="1"/>
      </xdr:nvSpPr>
      <xdr:spPr>
        <a:xfrm>
          <a:off x="11255828" y="25733829"/>
          <a:ext cx="4035397" cy="23935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Choose the initial</a:t>
          </a:r>
          <a:r>
            <a:rPr lang="en-GB" sz="1100" baseline="0"/>
            <a:t> voltage charge or current and then enter the voltage you wish to check time for. The first voltage can be the voltage which is at steady state and the later a point during discharge process.</a:t>
          </a:r>
        </a:p>
        <a:p>
          <a:r>
            <a:rPr lang="en-GB" sz="1100" baseline="0"/>
            <a:t>Same for energy.</a:t>
          </a:r>
        </a:p>
        <a:p>
          <a:endParaRPr lang="en-GB" sz="1100" baseline="0"/>
        </a:p>
        <a:p>
          <a:r>
            <a:rPr lang="en-GB" sz="1100" baseline="0"/>
            <a:t>The second part does forward calculation for the capacitor V, I and E given a specific time. Capacitor initial conditions are taken locally from Initial V and A.</a:t>
          </a:r>
        </a:p>
        <a:p>
          <a:endParaRPr lang="en-GB" sz="1100"/>
        </a:p>
      </xdr:txBody>
    </xdr:sp>
    <xdr:clientData/>
  </xdr:twoCellAnchor>
  <xdr:twoCellAnchor>
    <xdr:from>
      <xdr:col>2</xdr:col>
      <xdr:colOff>1192306</xdr:colOff>
      <xdr:row>119</xdr:row>
      <xdr:rowOff>44823</xdr:rowOff>
    </xdr:from>
    <xdr:to>
      <xdr:col>8</xdr:col>
      <xdr:colOff>215153</xdr:colOff>
      <xdr:row>126</xdr:row>
      <xdr:rowOff>161364</xdr:rowOff>
    </xdr:to>
    <xdr:sp macro="" textlink="">
      <xdr:nvSpPr>
        <xdr:cNvPr id="2" name="TextBox 1">
          <a:extLst>
            <a:ext uri="{FF2B5EF4-FFF2-40B4-BE49-F238E27FC236}">
              <a16:creationId xmlns:a16="http://schemas.microsoft.com/office/drawing/2014/main" id="{30E20E72-06ED-434F-913F-EAC4C9585ADF}"/>
            </a:ext>
          </a:extLst>
        </xdr:cNvPr>
        <xdr:cNvSpPr txBox="1"/>
      </xdr:nvSpPr>
      <xdr:spPr>
        <a:xfrm>
          <a:off x="3290047" y="32667388"/>
          <a:ext cx="68580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 that these calculations are indicational and mere educated guesses in regards to converter integration. The use of</a:t>
          </a:r>
          <a:r>
            <a:rPr lang="en-GB" sz="1100" baseline="0"/>
            <a:t> converters will cause the current values to change and voltage to decay faster (generally linear if load is constant). Since it will try to maintain a constant output voltage, by drawing more current from capacitor bank.</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5F2AC-EE0D-49AD-8A48-C7EF34F7F784}">
  <dimension ref="A1:AJ117"/>
  <sheetViews>
    <sheetView tabSelected="1" zoomScale="115" zoomScaleNormal="115" workbookViewId="0">
      <selection activeCell="E97" sqref="E97"/>
    </sheetView>
  </sheetViews>
  <sheetFormatPr defaultRowHeight="14.4" x14ac:dyDescent="0.3"/>
  <cols>
    <col min="2" max="2" width="21.6640625" customWidth="1"/>
    <col min="3" max="3" width="18.33203125" customWidth="1"/>
    <col min="4" max="4" width="21.44140625" customWidth="1"/>
    <col min="5" max="5" width="22" customWidth="1"/>
    <col min="6" max="7" width="21.88671875" customWidth="1"/>
    <col min="11" max="11" width="13.88671875" customWidth="1"/>
    <col min="12" max="12" width="19" customWidth="1"/>
    <col min="13" max="13" width="13.33203125" customWidth="1"/>
    <col min="14" max="14" width="11" bestFit="1" customWidth="1"/>
    <col min="15" max="16" width="11" customWidth="1"/>
    <col min="17" max="17" width="14.44140625" customWidth="1"/>
    <col min="19" max="19" width="11.6640625" customWidth="1"/>
    <col min="22" max="22" width="13.109375" customWidth="1"/>
    <col min="23" max="23" width="11.109375" customWidth="1"/>
    <col min="24" max="25" width="10.33203125" customWidth="1"/>
    <col min="26" max="26" width="12.33203125" customWidth="1"/>
    <col min="27" max="27" width="10" bestFit="1" customWidth="1"/>
    <col min="28" max="28" width="12.77734375" customWidth="1"/>
  </cols>
  <sheetData>
    <row r="1" spans="1:32" ht="91.8" customHeight="1" x14ac:dyDescent="1.65">
      <c r="A1" s="86" t="s">
        <v>95</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row>
    <row r="2" spans="1:32" ht="127.2" customHeight="1" x14ac:dyDescent="1.65">
      <c r="A2" s="64"/>
      <c r="B2" s="86"/>
      <c r="C2" s="86"/>
      <c r="D2" s="86"/>
      <c r="E2" s="86"/>
      <c r="F2" s="86"/>
      <c r="G2" s="86"/>
      <c r="H2" s="64"/>
      <c r="I2" s="32"/>
      <c r="J2" s="32"/>
      <c r="L2" s="90" t="str">
        <f>IF(L11&lt;=K11,"ERROR, CHARGING VOLTAGE LESS THAN MAX RATED BANK VOLTAGE", "CHARGING VOLTAGE OK")</f>
        <v>CHARGING VOLTAGE OK</v>
      </c>
      <c r="M2" s="90"/>
      <c r="N2" s="90"/>
      <c r="O2" s="90"/>
      <c r="P2" s="90"/>
      <c r="Q2" s="66" t="s">
        <v>97</v>
      </c>
    </row>
    <row r="3" spans="1:32" ht="127.2" customHeight="1" x14ac:dyDescent="1.65">
      <c r="A3" s="64"/>
      <c r="B3" s="64"/>
      <c r="C3" s="64"/>
      <c r="D3" s="64"/>
      <c r="E3" s="64"/>
      <c r="F3" s="64"/>
      <c r="G3" s="64"/>
      <c r="H3" s="64"/>
      <c r="I3" s="32"/>
      <c r="J3" s="32"/>
    </row>
    <row r="4" spans="1:32" ht="28.8" x14ac:dyDescent="0.55000000000000004">
      <c r="B4" s="87" t="s">
        <v>107</v>
      </c>
      <c r="C4" s="87"/>
      <c r="D4" s="87"/>
      <c r="E4" s="81" t="s">
        <v>30</v>
      </c>
      <c r="F4" s="81"/>
      <c r="G4" s="81"/>
      <c r="H4" s="81"/>
      <c r="I4" s="1"/>
      <c r="J4" s="1"/>
      <c r="M4" s="98" t="s">
        <v>133</v>
      </c>
      <c r="N4" s="98"/>
      <c r="O4" s="98"/>
      <c r="P4" s="98"/>
      <c r="Q4" s="98"/>
      <c r="R4" s="98"/>
      <c r="S4" s="98"/>
      <c r="T4" s="98"/>
      <c r="U4" s="98"/>
      <c r="V4" s="98"/>
      <c r="W4" s="98"/>
      <c r="X4" s="98"/>
      <c r="Y4" s="98"/>
      <c r="Z4" s="98"/>
      <c r="AA4" s="98"/>
      <c r="AB4" s="98"/>
      <c r="AC4" s="98"/>
      <c r="AD4" s="98"/>
      <c r="AE4" s="98"/>
      <c r="AF4" s="98"/>
    </row>
    <row r="5" spans="1:32" ht="20.399999999999999" thickBot="1" x14ac:dyDescent="0.35">
      <c r="B5" s="6" t="s">
        <v>1</v>
      </c>
      <c r="C5" s="33">
        <v>500</v>
      </c>
      <c r="D5" s="7" t="s">
        <v>12</v>
      </c>
      <c r="E5" s="18" t="s">
        <v>10</v>
      </c>
      <c r="F5" s="18">
        <f>C14*C6</f>
        <v>5.4</v>
      </c>
      <c r="G5" s="18"/>
      <c r="I5" s="18"/>
      <c r="J5" s="18"/>
      <c r="M5" s="91" t="s">
        <v>33</v>
      </c>
      <c r="N5" s="91"/>
      <c r="O5" s="91"/>
      <c r="P5" s="91"/>
      <c r="Q5" s="91"/>
      <c r="R5" s="91"/>
      <c r="S5" s="91"/>
      <c r="T5" s="67"/>
      <c r="U5" s="67"/>
      <c r="V5" s="95" t="s">
        <v>34</v>
      </c>
      <c r="W5" s="95"/>
      <c r="X5" s="95"/>
      <c r="Y5" s="95"/>
      <c r="Z5" s="95"/>
      <c r="AA5" s="95"/>
    </row>
    <row r="6" spans="1:32" ht="24" customHeight="1" thickTop="1" thickBot="1" x14ac:dyDescent="0.35">
      <c r="B6" s="6" t="s">
        <v>2</v>
      </c>
      <c r="C6" s="33">
        <v>2.7</v>
      </c>
      <c r="D6" s="7" t="s">
        <v>9</v>
      </c>
      <c r="E6" s="18" t="s">
        <v>11</v>
      </c>
      <c r="F6" s="18">
        <f>C5/C14</f>
        <v>250</v>
      </c>
      <c r="G6" s="18"/>
      <c r="I6" s="18"/>
      <c r="J6" s="18"/>
      <c r="L6" s="22" t="s">
        <v>106</v>
      </c>
      <c r="M6" s="4" t="s">
        <v>45</v>
      </c>
      <c r="N6" s="30" t="s">
        <v>9</v>
      </c>
      <c r="O6" s="20"/>
      <c r="P6" s="20"/>
      <c r="Q6" s="4" t="s">
        <v>45</v>
      </c>
      <c r="R6" s="30" t="s">
        <v>39</v>
      </c>
      <c r="S6" s="20"/>
      <c r="T6" s="20" t="s">
        <v>114</v>
      </c>
      <c r="U6" s="20"/>
      <c r="V6" s="4" t="s">
        <v>45</v>
      </c>
      <c r="W6" s="31" t="s">
        <v>9</v>
      </c>
      <c r="X6" s="1"/>
      <c r="Y6" s="1"/>
      <c r="Z6" s="4" t="s">
        <v>45</v>
      </c>
      <c r="AA6" s="31" t="s">
        <v>39</v>
      </c>
      <c r="AD6" t="s">
        <v>115</v>
      </c>
    </row>
    <row r="7" spans="1:32" ht="21" thickTop="1" thickBot="1" x14ac:dyDescent="0.35">
      <c r="B7" s="6" t="s">
        <v>3</v>
      </c>
      <c r="C7" s="33">
        <v>5.0000000000000001E-3</v>
      </c>
      <c r="D7" s="7" t="s">
        <v>13</v>
      </c>
      <c r="E7" s="18" t="s">
        <v>16</v>
      </c>
      <c r="F7" s="19">
        <f>C7*C14</f>
        <v>0.01</v>
      </c>
      <c r="G7" s="19"/>
      <c r="I7" s="19"/>
      <c r="J7" s="19"/>
      <c r="L7" s="22" t="s">
        <v>35</v>
      </c>
      <c r="M7">
        <v>0</v>
      </c>
      <c r="N7">
        <f>0.001</f>
        <v>1E-3</v>
      </c>
      <c r="Q7">
        <v>0</v>
      </c>
      <c r="R7" s="15">
        <f>L11/C23</f>
        <v>4.4000000000000004</v>
      </c>
      <c r="S7" s="2"/>
      <c r="T7" s="15">
        <f>R7*N7</f>
        <v>4.4000000000000003E-3</v>
      </c>
      <c r="U7" s="2"/>
      <c r="V7">
        <v>0</v>
      </c>
      <c r="W7">
        <f>K11</f>
        <v>5.4</v>
      </c>
      <c r="Z7">
        <v>0</v>
      </c>
      <c r="AA7">
        <f>C17/C23</f>
        <v>1.08</v>
      </c>
      <c r="AD7">
        <f>AA7*W7</f>
        <v>5.8320000000000007</v>
      </c>
    </row>
    <row r="8" spans="1:32" ht="15" thickTop="1" x14ac:dyDescent="0.3">
      <c r="B8" s="97" t="s">
        <v>17</v>
      </c>
      <c r="C8" s="10">
        <f>0.5*C5*POWER(C6,2)</f>
        <v>1822.5000000000002</v>
      </c>
      <c r="D8" s="7" t="s">
        <v>18</v>
      </c>
      <c r="L8" s="22">
        <f>2.718281828</f>
        <v>2.7182818279999998</v>
      </c>
      <c r="M8">
        <v>1</v>
      </c>
      <c r="N8">
        <f>N$7*(1-EXP(-M8/C$25))</f>
        <v>9.9995000166663847E-8</v>
      </c>
      <c r="Q8">
        <v>1</v>
      </c>
      <c r="R8">
        <f t="shared" ref="R8:R27" si="0">R$7*EXP(-M8/C$25)</f>
        <v>4.3995600219992674</v>
      </c>
      <c r="T8" s="15">
        <f t="shared" ref="T8:T34" si="1">R8*N8</f>
        <v>4.3993400513306434E-7</v>
      </c>
      <c r="V8">
        <v>1</v>
      </c>
      <c r="W8">
        <f>W$7*EXP(-$V8/$C$25)</f>
        <v>5.3994600269991002</v>
      </c>
      <c r="Z8">
        <v>1</v>
      </c>
      <c r="AA8">
        <f>AA$7*(EXP(-$M8/$C$25))</f>
        <v>1.07989200539982</v>
      </c>
      <c r="AD8">
        <f t="shared" ref="AD8:AD34" si="2">AA8*W8</f>
        <v>5.8308337166322248</v>
      </c>
    </row>
    <row r="9" spans="1:32" x14ac:dyDescent="0.3">
      <c r="B9" s="97"/>
      <c r="C9" s="10">
        <f>C8/3600</f>
        <v>0.50625000000000009</v>
      </c>
      <c r="D9" s="7" t="s">
        <v>19</v>
      </c>
      <c r="M9">
        <v>2</v>
      </c>
      <c r="N9">
        <f>N$7*(1-EXP(-M9/C$25))</f>
        <v>1.9998000133325534E-7</v>
      </c>
      <c r="Q9">
        <v>2</v>
      </c>
      <c r="R9">
        <f t="shared" si="0"/>
        <v>4.3991200879941337</v>
      </c>
      <c r="T9" s="15">
        <f t="shared" si="1"/>
        <v>8.7973604106221722E-7</v>
      </c>
      <c r="V9">
        <v>2</v>
      </c>
      <c r="W9">
        <f t="shared" ref="W9:W26" si="3">W$7*EXP(-$V9/$C$25)</f>
        <v>5.3989201079928009</v>
      </c>
      <c r="Z9">
        <v>2</v>
      </c>
      <c r="AA9">
        <f t="shared" ref="AA9:AA26" si="4">AA$7*(EXP(-$M9/$C$25))</f>
        <v>1.0797840215985601</v>
      </c>
      <c r="AD9">
        <f t="shared" si="2"/>
        <v>5.8296676664977989</v>
      </c>
    </row>
    <row r="10" spans="1:32" ht="20.399999999999999" thickBot="1" x14ac:dyDescent="0.35">
      <c r="B10" s="9" t="s">
        <v>25</v>
      </c>
      <c r="C10" s="17">
        <f>C7*C5</f>
        <v>2.5</v>
      </c>
      <c r="D10" s="7" t="s">
        <v>24</v>
      </c>
      <c r="K10" s="5" t="s">
        <v>40</v>
      </c>
      <c r="L10" s="33" t="s">
        <v>36</v>
      </c>
      <c r="M10">
        <v>3</v>
      </c>
      <c r="N10">
        <f>N$7*(1-EXP(-M10/C$25))</f>
        <v>2.9995500449964131E-7</v>
      </c>
      <c r="Q10">
        <v>3</v>
      </c>
      <c r="R10">
        <f t="shared" si="0"/>
        <v>4.3986801979802017</v>
      </c>
      <c r="T10" s="15">
        <f t="shared" si="1"/>
        <v>1.3194061385776346E-6</v>
      </c>
      <c r="V10" s="16">
        <v>3</v>
      </c>
      <c r="W10">
        <f t="shared" si="3"/>
        <v>5.3983802429757022</v>
      </c>
      <c r="Z10">
        <v>3</v>
      </c>
      <c r="AA10">
        <f t="shared" si="4"/>
        <v>1.0796760485951404</v>
      </c>
      <c r="AD10">
        <f t="shared" si="2"/>
        <v>5.8285018495500802</v>
      </c>
    </row>
    <row r="11" spans="1:32" ht="21" thickTop="1" thickBot="1" x14ac:dyDescent="0.45">
      <c r="B11" s="9" t="s">
        <v>23</v>
      </c>
      <c r="C11" s="17">
        <f>5*C10</f>
        <v>12.5</v>
      </c>
      <c r="D11" s="7" t="s">
        <v>24</v>
      </c>
      <c r="K11" s="1">
        <f>C17</f>
        <v>5.4</v>
      </c>
      <c r="L11" s="34">
        <v>22</v>
      </c>
      <c r="M11">
        <v>4</v>
      </c>
      <c r="N11">
        <f t="shared" ref="N11:N26" si="5">N$7*(1-EXP(-M11/C$25))</f>
        <v>3.9992001066557761E-7</v>
      </c>
      <c r="Q11">
        <v>4</v>
      </c>
      <c r="R11">
        <f t="shared" si="0"/>
        <v>4.3982403519530715</v>
      </c>
      <c r="T11" s="15">
        <f t="shared" si="1"/>
        <v>1.7589443284628462E-6</v>
      </c>
      <c r="V11">
        <v>4</v>
      </c>
      <c r="W11">
        <f t="shared" si="3"/>
        <v>5.3978404319424058</v>
      </c>
      <c r="Z11">
        <v>4</v>
      </c>
      <c r="AA11">
        <f t="shared" si="4"/>
        <v>1.0795680863884813</v>
      </c>
      <c r="AD11">
        <f t="shared" si="2"/>
        <v>5.8273362657424368</v>
      </c>
    </row>
    <row r="12" spans="1:32" ht="15" thickTop="1" x14ac:dyDescent="0.3">
      <c r="B12" s="9"/>
      <c r="C12" s="17"/>
      <c r="D12" s="7"/>
      <c r="M12">
        <v>5</v>
      </c>
      <c r="N12">
        <f t="shared" si="5"/>
        <v>4.9987502083070902E-7</v>
      </c>
      <c r="Q12">
        <v>5</v>
      </c>
      <c r="R12">
        <f t="shared" si="0"/>
        <v>4.3978005499083448</v>
      </c>
      <c r="T12" s="15">
        <f t="shared" si="1"/>
        <v>2.1983506414947375E-6</v>
      </c>
      <c r="V12">
        <v>5</v>
      </c>
      <c r="W12">
        <f t="shared" si="3"/>
        <v>5.3973006748875143</v>
      </c>
      <c r="Z12">
        <v>5</v>
      </c>
      <c r="AA12">
        <f t="shared" si="4"/>
        <v>1.0794601349775028</v>
      </c>
      <c r="AD12">
        <f t="shared" si="2"/>
        <v>5.8261709150282428</v>
      </c>
    </row>
    <row r="13" spans="1:32" ht="30" x14ac:dyDescent="0.4">
      <c r="B13" s="9"/>
      <c r="C13" s="17"/>
      <c r="D13" s="7"/>
      <c r="E13" s="101" t="s">
        <v>54</v>
      </c>
      <c r="F13" s="101"/>
      <c r="G13" s="48"/>
      <c r="K13" s="68" t="s">
        <v>105</v>
      </c>
      <c r="L13" s="15">
        <f>M34</f>
        <v>2816.3975804337983</v>
      </c>
      <c r="M13">
        <v>6</v>
      </c>
      <c r="N13">
        <f t="shared" si="5"/>
        <v>5.9982003599456936E-7</v>
      </c>
      <c r="Q13">
        <v>6</v>
      </c>
      <c r="R13">
        <f t="shared" si="0"/>
        <v>4.3973607918416242</v>
      </c>
      <c r="T13" s="15">
        <f t="shared" si="1"/>
        <v>2.6376251084435509E-6</v>
      </c>
      <c r="V13" s="16">
        <v>6</v>
      </c>
      <c r="W13">
        <f t="shared" si="3"/>
        <v>5.3967609718056293</v>
      </c>
      <c r="Z13">
        <v>6</v>
      </c>
      <c r="AA13">
        <f t="shared" si="4"/>
        <v>1.0793521943611259</v>
      </c>
      <c r="AD13">
        <f t="shared" si="2"/>
        <v>5.8250057973608884</v>
      </c>
    </row>
    <row r="14" spans="1:32" ht="29.4" thickBot="1" x14ac:dyDescent="0.35">
      <c r="B14" s="9" t="s">
        <v>4</v>
      </c>
      <c r="C14" s="33">
        <v>2</v>
      </c>
      <c r="D14" s="8" t="s">
        <v>15</v>
      </c>
      <c r="E14" t="s">
        <v>55</v>
      </c>
      <c r="F14" s="41">
        <v>250</v>
      </c>
      <c r="K14" t="s">
        <v>90</v>
      </c>
      <c r="L14">
        <f>R8</f>
        <v>4.3995600219992674</v>
      </c>
      <c r="M14">
        <v>7</v>
      </c>
      <c r="N14">
        <f t="shared" si="5"/>
        <v>6.9975505715669239E-7</v>
      </c>
      <c r="Q14">
        <v>7</v>
      </c>
      <c r="R14">
        <f t="shared" si="0"/>
        <v>4.3969210777485106</v>
      </c>
      <c r="T14" s="15">
        <f t="shared" si="1"/>
        <v>3.0767677600733745E-6</v>
      </c>
      <c r="V14">
        <v>7</v>
      </c>
      <c r="W14">
        <f t="shared" si="3"/>
        <v>5.3962213226913542</v>
      </c>
      <c r="Z14">
        <v>7</v>
      </c>
      <c r="AA14">
        <f t="shared" si="4"/>
        <v>1.0792442645382709</v>
      </c>
      <c r="AD14">
        <f t="shared" si="2"/>
        <v>5.8238409126937665</v>
      </c>
    </row>
    <row r="15" spans="1:32" ht="24.6" thickTop="1" thickBot="1" x14ac:dyDescent="0.5">
      <c r="B15" s="9" t="s">
        <v>5</v>
      </c>
      <c r="C15" s="33">
        <v>8</v>
      </c>
      <c r="D15" s="8" t="s">
        <v>14</v>
      </c>
      <c r="E15" t="s">
        <v>110</v>
      </c>
      <c r="F15" s="47">
        <f>C14*C15</f>
        <v>16</v>
      </c>
      <c r="H15" s="96" t="s">
        <v>49</v>
      </c>
      <c r="I15" s="96"/>
      <c r="J15" s="4"/>
      <c r="K15" s="4"/>
      <c r="L15" s="4"/>
      <c r="M15">
        <v>8</v>
      </c>
      <c r="N15">
        <f t="shared" si="5"/>
        <v>7.9968008531627894E-7</v>
      </c>
      <c r="Q15">
        <v>8</v>
      </c>
      <c r="R15">
        <f t="shared" si="0"/>
        <v>4.3964814076246084</v>
      </c>
      <c r="T15" s="15">
        <f t="shared" si="1"/>
        <v>3.5157786271406811E-6</v>
      </c>
      <c r="V15">
        <v>8</v>
      </c>
      <c r="W15">
        <f t="shared" si="3"/>
        <v>5.3956817275392925</v>
      </c>
      <c r="Z15">
        <v>8</v>
      </c>
      <c r="AA15">
        <f t="shared" si="4"/>
        <v>1.0791363455078584</v>
      </c>
      <c r="AD15">
        <f t="shared" si="2"/>
        <v>5.8226762609802805</v>
      </c>
    </row>
    <row r="16" spans="1:32" ht="15" thickTop="1" x14ac:dyDescent="0.3">
      <c r="B16" s="9"/>
      <c r="C16" s="10"/>
      <c r="E16" t="s">
        <v>109</v>
      </c>
      <c r="F16" s="77">
        <f>C14*C15*F14</f>
        <v>4000</v>
      </c>
      <c r="G16" s="40"/>
      <c r="M16">
        <v>9</v>
      </c>
      <c r="N16">
        <f t="shared" si="5"/>
        <v>8.9959512147264059E-7</v>
      </c>
      <c r="Q16">
        <v>9</v>
      </c>
      <c r="R16">
        <f t="shared" si="0"/>
        <v>4.396041781465521</v>
      </c>
      <c r="T16" s="15">
        <f t="shared" si="1"/>
        <v>3.9546577403962785E-6</v>
      </c>
      <c r="V16" s="16">
        <v>9</v>
      </c>
      <c r="W16">
        <f t="shared" si="3"/>
        <v>5.3951421863440485</v>
      </c>
      <c r="Z16">
        <v>9</v>
      </c>
      <c r="AA16">
        <f t="shared" si="4"/>
        <v>1.0790284372688097</v>
      </c>
      <c r="AD16">
        <f t="shared" si="2"/>
        <v>5.8215118421738481</v>
      </c>
    </row>
    <row r="17" spans="2:30" ht="18.600000000000001" thickBot="1" x14ac:dyDescent="0.4">
      <c r="B17" s="13" t="s">
        <v>6</v>
      </c>
      <c r="C17" s="11">
        <f>F5</f>
        <v>5.4</v>
      </c>
      <c r="D17" s="7" t="s">
        <v>9</v>
      </c>
      <c r="H17" s="35" t="s">
        <v>50</v>
      </c>
      <c r="I17" s="36">
        <v>345387.76400743361</v>
      </c>
      <c r="M17">
        <v>10</v>
      </c>
      <c r="N17">
        <f t="shared" si="5"/>
        <v>9.9950016662497806E-7</v>
      </c>
      <c r="Q17">
        <v>10</v>
      </c>
      <c r="R17">
        <f t="shared" si="0"/>
        <v>4.3956021992668504</v>
      </c>
      <c r="T17" s="15">
        <f t="shared" si="1"/>
        <v>4.3934051305843366E-6</v>
      </c>
      <c r="V17">
        <v>10</v>
      </c>
      <c r="W17">
        <f t="shared" si="3"/>
        <v>5.3946026991002256</v>
      </c>
      <c r="Z17">
        <v>10</v>
      </c>
      <c r="AA17">
        <f t="shared" si="4"/>
        <v>1.078920539820045</v>
      </c>
      <c r="AD17">
        <f t="shared" si="2"/>
        <v>5.8203476562278871</v>
      </c>
    </row>
    <row r="18" spans="2:30" ht="19.2" thickTop="1" thickBot="1" x14ac:dyDescent="0.4">
      <c r="B18" s="13" t="s">
        <v>7</v>
      </c>
      <c r="C18" s="12">
        <f>F7/C15</f>
        <v>1.25E-3</v>
      </c>
      <c r="D18" s="7" t="s">
        <v>13</v>
      </c>
      <c r="H18" s="35" t="s">
        <v>52</v>
      </c>
      <c r="I18" s="36">
        <v>8</v>
      </c>
      <c r="M18">
        <v>11</v>
      </c>
      <c r="N18">
        <f t="shared" si="5"/>
        <v>1.0993952217723813E-6</v>
      </c>
      <c r="Q18">
        <v>11</v>
      </c>
      <c r="R18">
        <f t="shared" si="0"/>
        <v>4.3951626610242016</v>
      </c>
      <c r="T18" s="15">
        <f t="shared" si="1"/>
        <v>4.832020828442392E-6</v>
      </c>
      <c r="V18">
        <v>11</v>
      </c>
      <c r="W18">
        <f t="shared" si="3"/>
        <v>5.3940632658024299</v>
      </c>
      <c r="Z18">
        <v>11</v>
      </c>
      <c r="AA18">
        <f t="shared" si="4"/>
        <v>1.0788126531604858</v>
      </c>
      <c r="AD18">
        <f t="shared" si="2"/>
        <v>5.8191837030958338</v>
      </c>
    </row>
    <row r="19" spans="2:30" ht="19.2" thickTop="1" thickBot="1" x14ac:dyDescent="0.4">
      <c r="B19" s="13" t="s">
        <v>8</v>
      </c>
      <c r="C19" s="14">
        <f>F6*C15</f>
        <v>2000</v>
      </c>
      <c r="D19" s="7" t="s">
        <v>12</v>
      </c>
      <c r="H19" s="35" t="s">
        <v>51</v>
      </c>
      <c r="I19" s="36">
        <v>0</v>
      </c>
      <c r="J19" s="105" t="s">
        <v>134</v>
      </c>
      <c r="K19" s="105"/>
      <c r="L19" s="105"/>
      <c r="M19">
        <v>12</v>
      </c>
      <c r="N19">
        <f t="shared" si="5"/>
        <v>1.1992802879136066E-6</v>
      </c>
      <c r="Q19">
        <v>12</v>
      </c>
      <c r="R19">
        <f t="shared" si="0"/>
        <v>4.3947231667331801</v>
      </c>
      <c r="T19" s="15">
        <f t="shared" si="1"/>
        <v>5.2705048647003654E-6</v>
      </c>
      <c r="V19" s="16">
        <v>12</v>
      </c>
      <c r="W19">
        <f t="shared" si="3"/>
        <v>5.3935238864452666</v>
      </c>
      <c r="Z19">
        <v>12</v>
      </c>
      <c r="AA19">
        <f t="shared" si="4"/>
        <v>1.0787047772890535</v>
      </c>
      <c r="AD19">
        <f t="shared" si="2"/>
        <v>5.8180199827311316</v>
      </c>
    </row>
    <row r="20" spans="2:30" ht="18.600000000000001" thickTop="1" x14ac:dyDescent="0.35">
      <c r="B20" s="13" t="s">
        <v>20</v>
      </c>
      <c r="C20" s="14">
        <f>0.5*C19*POWER(C17,2)</f>
        <v>29160.000000000004</v>
      </c>
      <c r="D20" s="7" t="s">
        <v>18</v>
      </c>
      <c r="H20" s="37" t="s">
        <v>50</v>
      </c>
      <c r="I20" s="38">
        <f>SUM(J21:J23)</f>
        <v>345867.76400743361</v>
      </c>
      <c r="J20" s="39" t="s">
        <v>50</v>
      </c>
      <c r="K20" s="39" t="s">
        <v>52</v>
      </c>
      <c r="L20" s="39" t="s">
        <v>51</v>
      </c>
      <c r="M20">
        <v>13</v>
      </c>
      <c r="N20">
        <f t="shared" si="5"/>
        <v>1.2991553660477439E-6</v>
      </c>
      <c r="Q20">
        <v>13</v>
      </c>
      <c r="R20">
        <f t="shared" si="0"/>
        <v>4.3942837163893902</v>
      </c>
      <c r="T20" s="15">
        <f t="shared" si="1"/>
        <v>5.7088572700834987E-6</v>
      </c>
      <c r="V20">
        <v>13</v>
      </c>
      <c r="W20">
        <f t="shared" si="3"/>
        <v>5.3929845610233427</v>
      </c>
      <c r="Z20">
        <v>13</v>
      </c>
      <c r="AA20">
        <f t="shared" si="4"/>
        <v>1.0785969122046686</v>
      </c>
      <c r="AD20">
        <f t="shared" si="2"/>
        <v>5.8168564950872277</v>
      </c>
    </row>
    <row r="21" spans="2:30" ht="18" x14ac:dyDescent="0.35">
      <c r="B21" s="13" t="s">
        <v>22</v>
      </c>
      <c r="C21" s="14">
        <f>C18*C19</f>
        <v>2.5</v>
      </c>
      <c r="D21" s="7" t="s">
        <v>24</v>
      </c>
      <c r="H21" s="37" t="s">
        <v>52</v>
      </c>
      <c r="I21" s="38">
        <f>SUM(J21:J23)/60</f>
        <v>5764.4627334572269</v>
      </c>
      <c r="J21" s="39">
        <f>I17</f>
        <v>345387.76400743361</v>
      </c>
      <c r="K21" s="39">
        <f>I17/60</f>
        <v>5756.4627334572269</v>
      </c>
      <c r="L21" s="39">
        <f>I17/3600</f>
        <v>95.941045557620441</v>
      </c>
      <c r="M21">
        <v>14</v>
      </c>
      <c r="N21">
        <f t="shared" si="5"/>
        <v>1.3990204571733278E-6</v>
      </c>
      <c r="Q21">
        <v>14</v>
      </c>
      <c r="R21">
        <f t="shared" si="0"/>
        <v>4.3938443099884381</v>
      </c>
      <c r="T21" s="15">
        <f t="shared" si="1"/>
        <v>6.1470780753084498E-6</v>
      </c>
      <c r="V21">
        <v>14</v>
      </c>
      <c r="W21">
        <f t="shared" si="3"/>
        <v>5.3924452895312642</v>
      </c>
      <c r="Z21">
        <v>14</v>
      </c>
      <c r="AA21">
        <f t="shared" si="4"/>
        <v>1.0784890579062529</v>
      </c>
      <c r="AD21">
        <f t="shared" si="2"/>
        <v>5.8156932401175849</v>
      </c>
    </row>
    <row r="22" spans="2:30" ht="18" x14ac:dyDescent="0.35">
      <c r="B22" s="13" t="s">
        <v>46</v>
      </c>
      <c r="C22" s="14">
        <f>C21*5</f>
        <v>12.5</v>
      </c>
      <c r="D22" s="7" t="s">
        <v>24</v>
      </c>
      <c r="H22" s="37" t="s">
        <v>51</v>
      </c>
      <c r="I22" s="38">
        <f>SUM(J21:J23)/3600</f>
        <v>96.074378890953781</v>
      </c>
      <c r="J22" s="39">
        <f>I18*60</f>
        <v>480</v>
      </c>
      <c r="K22" s="39" t="s">
        <v>53</v>
      </c>
      <c r="L22" s="39">
        <f>I18/60</f>
        <v>0.13333333333333333</v>
      </c>
      <c r="M22">
        <v>15</v>
      </c>
      <c r="N22">
        <f t="shared" si="5"/>
        <v>1.4988755622891148E-6</v>
      </c>
      <c r="Q22">
        <v>15</v>
      </c>
      <c r="R22">
        <f t="shared" si="0"/>
        <v>4.3934049475259283</v>
      </c>
      <c r="T22" s="15">
        <f t="shared" si="1"/>
        <v>6.5851673110867046E-6</v>
      </c>
      <c r="V22" s="16">
        <v>15</v>
      </c>
      <c r="W22">
        <f t="shared" si="3"/>
        <v>5.3919060719636391</v>
      </c>
      <c r="Z22">
        <v>15</v>
      </c>
      <c r="AA22">
        <f t="shared" si="4"/>
        <v>1.0783812143927278</v>
      </c>
      <c r="AD22">
        <f t="shared" si="2"/>
        <v>5.8145302177756717</v>
      </c>
    </row>
    <row r="23" spans="2:30" ht="18" x14ac:dyDescent="0.35">
      <c r="B23" s="13" t="s">
        <v>26</v>
      </c>
      <c r="C23" s="14">
        <v>5</v>
      </c>
      <c r="D23" s="7" t="s">
        <v>131</v>
      </c>
      <c r="J23" s="39">
        <f>I19*3600</f>
        <v>0</v>
      </c>
      <c r="K23" s="39">
        <f>I19*60</f>
        <v>0</v>
      </c>
      <c r="L23" s="39" t="s">
        <v>53</v>
      </c>
      <c r="M23">
        <v>16</v>
      </c>
      <c r="N23">
        <f t="shared" si="5"/>
        <v>1.5987206823936396E-6</v>
      </c>
      <c r="Q23">
        <v>16</v>
      </c>
      <c r="R23">
        <f t="shared" si="0"/>
        <v>4.3929656289974686</v>
      </c>
      <c r="T23" s="15">
        <f t="shared" si="1"/>
        <v>7.0231250081226375E-6</v>
      </c>
      <c r="V23">
        <v>16</v>
      </c>
      <c r="W23">
        <f>W$7*EXP(-$V23/$C$25)</f>
        <v>5.3913669083150744</v>
      </c>
      <c r="Z23">
        <v>16</v>
      </c>
      <c r="AA23">
        <f t="shared" si="4"/>
        <v>1.078273381663015</v>
      </c>
      <c r="AD23">
        <f t="shared" si="2"/>
        <v>5.8133674280149696</v>
      </c>
    </row>
    <row r="24" spans="2:30" ht="18" x14ac:dyDescent="0.35">
      <c r="B24" s="13" t="s">
        <v>27</v>
      </c>
      <c r="C24" s="14">
        <f>C23*C19*5/60</f>
        <v>833.33333333333337</v>
      </c>
      <c r="D24" s="7" t="s">
        <v>28</v>
      </c>
      <c r="E24">
        <f>C24/60</f>
        <v>13.888888888888889</v>
      </c>
      <c r="F24" t="s">
        <v>29</v>
      </c>
      <c r="M24">
        <v>17</v>
      </c>
      <c r="N24">
        <f t="shared" si="5"/>
        <v>1.6985558184854367E-6</v>
      </c>
      <c r="Q24">
        <v>17</v>
      </c>
      <c r="R24">
        <f t="shared" si="0"/>
        <v>4.3925263543986643</v>
      </c>
      <c r="T24" s="15">
        <f t="shared" si="1"/>
        <v>7.4609511971144749E-6</v>
      </c>
      <c r="V24">
        <v>17</v>
      </c>
      <c r="W24">
        <f t="shared" si="3"/>
        <v>5.3908277985801787</v>
      </c>
      <c r="Z24">
        <v>17</v>
      </c>
      <c r="AA24">
        <f t="shared" si="4"/>
        <v>1.0781655597160358</v>
      </c>
      <c r="AD24">
        <f t="shared" si="2"/>
        <v>5.8122048707889631</v>
      </c>
    </row>
    <row r="25" spans="2:30" ht="18" x14ac:dyDescent="0.35">
      <c r="B25" s="13" t="s">
        <v>31</v>
      </c>
      <c r="C25" s="14">
        <f>C23*C19</f>
        <v>10000</v>
      </c>
      <c r="M25">
        <v>18</v>
      </c>
      <c r="N25">
        <f t="shared" si="5"/>
        <v>1.7983809715627076E-6</v>
      </c>
      <c r="Q25">
        <v>18</v>
      </c>
      <c r="R25">
        <f t="shared" si="0"/>
        <v>4.3920871237251244</v>
      </c>
      <c r="T25" s="15">
        <f t="shared" si="1"/>
        <v>7.8986459087528473E-6</v>
      </c>
      <c r="V25" s="16">
        <v>18</v>
      </c>
      <c r="W25">
        <f t="shared" si="3"/>
        <v>5.3902887427535617</v>
      </c>
      <c r="Z25">
        <v>18</v>
      </c>
      <c r="AA25">
        <f t="shared" si="4"/>
        <v>1.0780577485507123</v>
      </c>
      <c r="AD25">
        <f t="shared" si="2"/>
        <v>5.811042546051155</v>
      </c>
    </row>
    <row r="26" spans="2:30" x14ac:dyDescent="0.3">
      <c r="M26">
        <v>19</v>
      </c>
      <c r="N26">
        <f t="shared" si="5"/>
        <v>1.8981961426238758E-6</v>
      </c>
      <c r="Q26">
        <v>19</v>
      </c>
      <c r="R26">
        <f t="shared" si="0"/>
        <v>4.391647936972455</v>
      </c>
      <c r="T26" s="15">
        <f t="shared" si="1"/>
        <v>8.3362091737232163E-6</v>
      </c>
      <c r="V26">
        <v>19</v>
      </c>
      <c r="W26">
        <f t="shared" si="3"/>
        <v>5.3897497408298314</v>
      </c>
      <c r="Z26">
        <v>19</v>
      </c>
      <c r="AA26">
        <f t="shared" si="4"/>
        <v>1.0779499481659662</v>
      </c>
      <c r="AD26">
        <f t="shared" si="2"/>
        <v>5.8098804537550466</v>
      </c>
    </row>
    <row r="27" spans="2:30" x14ac:dyDescent="0.3">
      <c r="B27" s="103" t="s">
        <v>21</v>
      </c>
      <c r="C27" s="103"/>
      <c r="L27" s="3" t="s">
        <v>38</v>
      </c>
      <c r="M27">
        <v>20</v>
      </c>
      <c r="N27">
        <f>N$7*(1-EXP(-M27/C$25))</f>
        <v>1.9980013326669211E-6</v>
      </c>
      <c r="O27" s="24" t="s">
        <v>41</v>
      </c>
      <c r="Q27">
        <v>20</v>
      </c>
      <c r="R27">
        <f t="shared" si="0"/>
        <v>4.3912087941362659</v>
      </c>
      <c r="S27" s="28" t="s">
        <v>42</v>
      </c>
      <c r="T27" s="15">
        <f t="shared" si="1"/>
        <v>8.7736410227029621E-6</v>
      </c>
      <c r="V27">
        <v>20</v>
      </c>
      <c r="W27">
        <f>W$7*EXP(-$V27/$C$25)</f>
        <v>5.389210792803599</v>
      </c>
      <c r="X27" s="24" t="s">
        <v>41</v>
      </c>
      <c r="Z27">
        <v>20</v>
      </c>
      <c r="AA27">
        <f>AA$7*(EXP(-$M27/$C$25))</f>
        <v>1.0778421585607199</v>
      </c>
      <c r="AB27" s="28" t="s">
        <v>42</v>
      </c>
      <c r="AC27" t="s">
        <v>44</v>
      </c>
      <c r="AD27">
        <f t="shared" si="2"/>
        <v>5.8087185938541595</v>
      </c>
    </row>
    <row r="28" spans="2:30" x14ac:dyDescent="0.3">
      <c r="B28" s="5" t="s">
        <v>108</v>
      </c>
      <c r="C28" s="5" t="s">
        <v>135</v>
      </c>
      <c r="L28" s="15">
        <f>M28/60</f>
        <v>21.822892911597982</v>
      </c>
      <c r="M28" s="27">
        <f>-1*C$25*LOG(1-IFERROR(N28/L$11,"negative_input"),L$8)</f>
        <v>1309.3735746958789</v>
      </c>
      <c r="N28" s="15">
        <f>0.5*N34</f>
        <v>2.7</v>
      </c>
      <c r="O28" s="25">
        <f t="shared" ref="O28:O33" si="6">N28/N$34</f>
        <v>0.5</v>
      </c>
      <c r="Q28" s="15">
        <f>-$C$25*LOG(R28/$R$7,$L$8)</f>
        <v>5108.2562385225565</v>
      </c>
      <c r="R28" s="16">
        <f>S28*$R$7</f>
        <v>2.64</v>
      </c>
      <c r="S28" s="29">
        <v>0.6</v>
      </c>
      <c r="T28" s="15">
        <f t="shared" si="1"/>
        <v>7.128000000000001</v>
      </c>
      <c r="V28" s="15">
        <f t="shared" ref="V28:V34" si="7">-1*$C$25*LOG(W28/$W$7,$L$8)</f>
        <v>5108.2562385225565</v>
      </c>
      <c r="W28">
        <f>0.6*C17</f>
        <v>3.24</v>
      </c>
      <c r="X28" s="25">
        <f t="shared" ref="X28:X34" si="8">W28/W$7</f>
        <v>0.6</v>
      </c>
      <c r="Z28" s="15">
        <f>-$C$25*LOG(AA28/$AA$7,$L$8)</f>
        <v>5108.2562385225565</v>
      </c>
      <c r="AA28">
        <f>0.6*$AA$7</f>
        <v>0.64800000000000002</v>
      </c>
      <c r="AB28" s="29">
        <f>AA28/$AA$7</f>
        <v>0.6</v>
      </c>
      <c r="AC28">
        <f>Z28/60</f>
        <v>85.137603975375939</v>
      </c>
      <c r="AD28">
        <f t="shared" si="2"/>
        <v>2.0995200000000001</v>
      </c>
    </row>
    <row r="29" spans="2:30" x14ac:dyDescent="0.3">
      <c r="B29">
        <v>0.1</v>
      </c>
      <c r="C29" s="16">
        <f>C18*POWER(B29,2)</f>
        <v>1.2500000000000002E-5</v>
      </c>
      <c r="L29" s="15">
        <f t="shared" ref="L29:L34" si="9">M29/60</f>
        <v>28.385656283073192</v>
      </c>
      <c r="M29" s="27">
        <f t="shared" ref="M29:M33" si="10">-1*C$25*LOG(1-IFERROR(N29/L$11,"negative_input"),L$8)</f>
        <v>1703.1393769843914</v>
      </c>
      <c r="N29" s="15">
        <f>0.638*N34</f>
        <v>3.4452000000000003</v>
      </c>
      <c r="O29" s="25">
        <f t="shared" si="6"/>
        <v>0.63800000000000001</v>
      </c>
      <c r="Q29" s="15">
        <f t="shared" ref="Q29:Q34" si="11">-$C$25*LOG(R29/$R$7,$L$8)</f>
        <v>6931.4718067699941</v>
      </c>
      <c r="R29" s="16">
        <f t="shared" ref="R29:R34" si="12">S29*$R$7</f>
        <v>2.2000000000000002</v>
      </c>
      <c r="S29" s="29">
        <v>0.5</v>
      </c>
      <c r="T29" s="15">
        <f t="shared" si="1"/>
        <v>7.5794400000000008</v>
      </c>
      <c r="V29" s="15">
        <f t="shared" si="7"/>
        <v>6931.4718067699941</v>
      </c>
      <c r="W29">
        <f>0.5*C17</f>
        <v>2.7</v>
      </c>
      <c r="X29" s="25">
        <f t="shared" si="8"/>
        <v>0.5</v>
      </c>
      <c r="Z29" s="15">
        <f t="shared" ref="Z29:Z34" si="13">-$C$25*LOG(AA29/$AA$7,$L$8)</f>
        <v>6931.4718067699941</v>
      </c>
      <c r="AA29">
        <f>0.5*AA7</f>
        <v>0.54</v>
      </c>
      <c r="AB29" s="29">
        <f t="shared" ref="AB29:AB34" si="14">AA29/$AA$7</f>
        <v>0.5</v>
      </c>
      <c r="AC29">
        <f t="shared" ref="AC29:AC34" si="15">Z29/60</f>
        <v>115.52453011283323</v>
      </c>
      <c r="AD29">
        <f t="shared" si="2"/>
        <v>1.4580000000000002</v>
      </c>
    </row>
    <row r="30" spans="2:30" x14ac:dyDescent="0.3">
      <c r="B30">
        <v>0.5</v>
      </c>
      <c r="C30" s="16">
        <f>C18*POWER(B30,2)</f>
        <v>3.1250000000000001E-4</v>
      </c>
      <c r="L30" s="15">
        <f t="shared" si="9"/>
        <v>31.420426926390018</v>
      </c>
      <c r="M30" s="27">
        <f t="shared" si="10"/>
        <v>1885.2256155834011</v>
      </c>
      <c r="N30" s="15">
        <f>0.7*N34</f>
        <v>3.78</v>
      </c>
      <c r="O30" s="25">
        <f t="shared" si="6"/>
        <v>0.7</v>
      </c>
      <c r="Q30" s="15">
        <f t="shared" si="11"/>
        <v>9162.9073202889213</v>
      </c>
      <c r="R30" s="16">
        <f t="shared" si="12"/>
        <v>1.7600000000000002</v>
      </c>
      <c r="S30" s="29">
        <v>0.4</v>
      </c>
      <c r="T30" s="15">
        <f t="shared" si="1"/>
        <v>6.6528000000000009</v>
      </c>
      <c r="V30" s="15">
        <f t="shared" si="7"/>
        <v>9781.6613575742867</v>
      </c>
      <c r="W30">
        <f>0.376*C17</f>
        <v>2.0304000000000002</v>
      </c>
      <c r="X30" s="25">
        <f t="shared" si="8"/>
        <v>0.376</v>
      </c>
      <c r="Z30" s="15">
        <f t="shared" si="13"/>
        <v>9162.9073202889213</v>
      </c>
      <c r="AA30">
        <f>0.4*AA7</f>
        <v>0.43200000000000005</v>
      </c>
      <c r="AB30" s="29">
        <f t="shared" si="14"/>
        <v>0.4</v>
      </c>
      <c r="AC30">
        <f t="shared" si="15"/>
        <v>152.71512200481536</v>
      </c>
      <c r="AD30">
        <f t="shared" si="2"/>
        <v>0.87713280000000016</v>
      </c>
    </row>
    <row r="31" spans="2:30" x14ac:dyDescent="0.3">
      <c r="B31">
        <v>1</v>
      </c>
      <c r="C31" s="16">
        <f>C18*POWER(B31,2)</f>
        <v>1.25E-3</v>
      </c>
      <c r="L31" s="15">
        <f t="shared" si="9"/>
        <v>36.434732697622607</v>
      </c>
      <c r="M31" s="27">
        <f t="shared" si="10"/>
        <v>2186.0839618573564</v>
      </c>
      <c r="N31" s="15">
        <f>N34*0.8</f>
        <v>4.32</v>
      </c>
      <c r="O31" s="25">
        <f t="shared" si="6"/>
        <v>0.8</v>
      </c>
      <c r="Q31" s="15">
        <f t="shared" si="11"/>
        <v>12039.72804529255</v>
      </c>
      <c r="R31" s="16">
        <f t="shared" si="12"/>
        <v>1.32</v>
      </c>
      <c r="S31" s="29">
        <v>0.3</v>
      </c>
      <c r="T31" s="15">
        <f t="shared" si="1"/>
        <v>5.7024000000000008</v>
      </c>
      <c r="V31" s="15">
        <f t="shared" si="7"/>
        <v>12039.72804529255</v>
      </c>
      <c r="W31">
        <f>0.3*C17</f>
        <v>1.62</v>
      </c>
      <c r="X31" s="25">
        <f t="shared" si="8"/>
        <v>0.3</v>
      </c>
      <c r="Z31" s="15">
        <f t="shared" si="13"/>
        <v>12039.72804529255</v>
      </c>
      <c r="AA31">
        <f>0.3*AA7</f>
        <v>0.32400000000000001</v>
      </c>
      <c r="AB31" s="29">
        <f t="shared" si="14"/>
        <v>0.3</v>
      </c>
      <c r="AC31">
        <f t="shared" si="15"/>
        <v>200.66213408820917</v>
      </c>
      <c r="AD31">
        <f t="shared" si="2"/>
        <v>0.52488000000000001</v>
      </c>
    </row>
    <row r="32" spans="2:30" x14ac:dyDescent="0.3">
      <c r="B32">
        <v>1.2</v>
      </c>
      <c r="C32" s="16">
        <f>C18*POWER(B32,2)</f>
        <v>1.8E-3</v>
      </c>
      <c r="L32" s="15">
        <f t="shared" si="9"/>
        <v>41.604590038472935</v>
      </c>
      <c r="M32" s="27">
        <f t="shared" si="10"/>
        <v>2496.2754023083762</v>
      </c>
      <c r="N32" s="15">
        <f>0.9*N34</f>
        <v>4.8600000000000003</v>
      </c>
      <c r="O32" s="25">
        <f t="shared" si="6"/>
        <v>0.9</v>
      </c>
      <c r="Q32" s="15">
        <f t="shared" si="11"/>
        <v>12039.72804529255</v>
      </c>
      <c r="R32" s="16">
        <f t="shared" si="12"/>
        <v>1.32</v>
      </c>
      <c r="S32" s="29">
        <v>0.3</v>
      </c>
      <c r="T32" s="15">
        <f t="shared" si="1"/>
        <v>6.4152000000000005</v>
      </c>
      <c r="V32" s="15">
        <f t="shared" si="7"/>
        <v>16094.379127058915</v>
      </c>
      <c r="W32">
        <f>0.2*C17</f>
        <v>1.08</v>
      </c>
      <c r="X32" s="25">
        <f t="shared" si="8"/>
        <v>0.2</v>
      </c>
      <c r="Z32" s="15">
        <f t="shared" si="13"/>
        <v>12039.72804529255</v>
      </c>
      <c r="AA32">
        <f>0.3*AA7</f>
        <v>0.32400000000000001</v>
      </c>
      <c r="AB32" s="29">
        <f t="shared" si="14"/>
        <v>0.3</v>
      </c>
      <c r="AC32">
        <f t="shared" si="15"/>
        <v>200.66213408820917</v>
      </c>
      <c r="AD32">
        <f t="shared" si="2"/>
        <v>0.34992000000000001</v>
      </c>
    </row>
    <row r="33" spans="2:36" x14ac:dyDescent="0.3">
      <c r="B33">
        <v>1.5</v>
      </c>
      <c r="C33" s="16">
        <f>C18*POWER(B33,2)</f>
        <v>2.8124999999999999E-3</v>
      </c>
      <c r="L33" s="15">
        <f t="shared" si="9"/>
        <v>45.859134461642199</v>
      </c>
      <c r="M33" s="27">
        <f t="shared" si="10"/>
        <v>2751.5480676985321</v>
      </c>
      <c r="N33" s="15">
        <f>0.98*N$34</f>
        <v>5.2919999999999998</v>
      </c>
      <c r="O33" s="25">
        <f t="shared" si="6"/>
        <v>0.97999999999999987</v>
      </c>
      <c r="Q33" s="15">
        <f t="shared" si="11"/>
        <v>18971.199852062542</v>
      </c>
      <c r="R33" s="16">
        <f t="shared" si="12"/>
        <v>0.66</v>
      </c>
      <c r="S33" s="29">
        <v>0.15</v>
      </c>
      <c r="T33" s="15">
        <f t="shared" si="1"/>
        <v>3.4927199999999998</v>
      </c>
      <c r="V33" s="15">
        <f t="shared" si="7"/>
        <v>18971.199852062542</v>
      </c>
      <c r="W33">
        <f>0.15*C17</f>
        <v>0.81</v>
      </c>
      <c r="X33" s="25">
        <f t="shared" si="8"/>
        <v>0.15</v>
      </c>
      <c r="Z33" s="15">
        <f t="shared" si="13"/>
        <v>18971.199852062542</v>
      </c>
      <c r="AA33">
        <f>0.15*AA7</f>
        <v>0.16200000000000001</v>
      </c>
      <c r="AB33" s="28">
        <f t="shared" si="14"/>
        <v>0.15</v>
      </c>
      <c r="AC33">
        <f t="shared" si="15"/>
        <v>316.18666420104239</v>
      </c>
      <c r="AD33">
        <f t="shared" si="2"/>
        <v>0.13122</v>
      </c>
    </row>
    <row r="34" spans="2:36" x14ac:dyDescent="0.3">
      <c r="B34">
        <v>2</v>
      </c>
      <c r="C34" s="16">
        <f>C18*POWER(B34,2)</f>
        <v>5.0000000000000001E-3</v>
      </c>
      <c r="L34" s="15">
        <f t="shared" si="9"/>
        <v>46.939959673896638</v>
      </c>
      <c r="M34" s="27">
        <f>-1*C$25*LOG(1-IFERROR(N34/L$11,"negative_input"),L$8)</f>
        <v>2816.3975804337983</v>
      </c>
      <c r="N34" s="15">
        <f>C17</f>
        <v>5.4</v>
      </c>
      <c r="O34" s="24" t="s">
        <v>37</v>
      </c>
      <c r="Q34" s="15">
        <f t="shared" si="11"/>
        <v>23025.850933828908</v>
      </c>
      <c r="R34" s="16">
        <f t="shared" si="12"/>
        <v>0.44000000000000006</v>
      </c>
      <c r="S34" s="29">
        <v>0.1</v>
      </c>
      <c r="T34" s="15">
        <f t="shared" si="1"/>
        <v>2.3760000000000003</v>
      </c>
      <c r="V34" s="15">
        <f t="shared" si="7"/>
        <v>23025.850933828908</v>
      </c>
      <c r="W34">
        <f>0.1*C17</f>
        <v>0.54</v>
      </c>
      <c r="X34" s="25">
        <f t="shared" si="8"/>
        <v>0.1</v>
      </c>
      <c r="Z34" s="15">
        <f t="shared" si="13"/>
        <v>23025.850933828908</v>
      </c>
      <c r="AA34">
        <f>0.1*AA7</f>
        <v>0.10800000000000001</v>
      </c>
      <c r="AB34" s="29">
        <f t="shared" si="14"/>
        <v>0.1</v>
      </c>
      <c r="AC34">
        <f t="shared" si="15"/>
        <v>383.76418223048182</v>
      </c>
      <c r="AD34">
        <f t="shared" si="2"/>
        <v>5.8320000000000011E-2</v>
      </c>
    </row>
    <row r="35" spans="2:36" ht="43.2" x14ac:dyDescent="0.3">
      <c r="B35">
        <v>5</v>
      </c>
      <c r="C35" s="16">
        <f>C18*POWER(B35,2)</f>
        <v>3.125E-2</v>
      </c>
      <c r="M35" s="26" t="s">
        <v>43</v>
      </c>
    </row>
    <row r="36" spans="2:36" x14ac:dyDescent="0.3">
      <c r="B36">
        <v>10</v>
      </c>
      <c r="C36" s="16">
        <f>C18*POWER(B36,2)</f>
        <v>0.125</v>
      </c>
      <c r="K36" s="93" t="s">
        <v>47</v>
      </c>
      <c r="L36" s="93"/>
      <c r="M36" s="93"/>
      <c r="N36" s="93"/>
      <c r="O36" s="93"/>
      <c r="P36" s="93"/>
      <c r="Q36" s="93"/>
      <c r="R36" s="93"/>
      <c r="S36" s="93"/>
      <c r="T36" s="93"/>
      <c r="U36" s="93"/>
      <c r="W36" s="94" t="s">
        <v>48</v>
      </c>
      <c r="X36" s="94"/>
      <c r="Y36" s="94"/>
      <c r="Z36" s="94"/>
      <c r="AA36" s="94"/>
      <c r="AB36" s="94"/>
      <c r="AC36" s="94"/>
      <c r="AD36" s="94"/>
      <c r="AE36" s="94"/>
      <c r="AF36" s="94"/>
      <c r="AG36" s="94"/>
      <c r="AH36" s="94"/>
      <c r="AI36" s="94"/>
      <c r="AJ36" s="94"/>
    </row>
    <row r="37" spans="2:36" x14ac:dyDescent="0.3">
      <c r="B37">
        <v>20</v>
      </c>
      <c r="C37" s="16">
        <f>C18*POWER(B37,2)</f>
        <v>0.5</v>
      </c>
    </row>
    <row r="38" spans="2:36" x14ac:dyDescent="0.3">
      <c r="B38">
        <v>30</v>
      </c>
      <c r="C38" s="16">
        <f>C18*POWER(B38,2)</f>
        <v>1.125</v>
      </c>
    </row>
    <row r="39" spans="2:36" x14ac:dyDescent="0.3">
      <c r="B39">
        <v>50</v>
      </c>
      <c r="C39" s="16">
        <f>C18*POWER(B39,2)</f>
        <v>3.125</v>
      </c>
    </row>
    <row r="40" spans="2:36" x14ac:dyDescent="0.3">
      <c r="B40">
        <v>100</v>
      </c>
      <c r="C40" s="16">
        <f>C18*POWER(B40,2)</f>
        <v>12.5</v>
      </c>
    </row>
    <row r="42" spans="2:36" ht="18" x14ac:dyDescent="0.35">
      <c r="B42" s="61" t="s">
        <v>90</v>
      </c>
      <c r="C42" s="14">
        <f>C17/C23</f>
        <v>1.08</v>
      </c>
      <c r="D42" s="60" t="s">
        <v>91</v>
      </c>
    </row>
    <row r="54" spans="1:36" ht="23.4" x14ac:dyDescent="0.45">
      <c r="A54" s="65"/>
      <c r="B54" s="65"/>
      <c r="C54" s="102" t="s">
        <v>58</v>
      </c>
      <c r="D54" s="102"/>
      <c r="E54" s="65"/>
      <c r="F54" s="65"/>
      <c r="K54" s="93" t="s">
        <v>47</v>
      </c>
      <c r="L54" s="93"/>
      <c r="M54" s="93"/>
      <c r="N54" s="93"/>
      <c r="O54" s="93"/>
      <c r="P54" s="93"/>
      <c r="Q54" s="93"/>
      <c r="R54" s="93"/>
      <c r="S54" s="93"/>
      <c r="T54" s="93"/>
      <c r="U54" s="93"/>
      <c r="W54" s="94" t="s">
        <v>48</v>
      </c>
      <c r="X54" s="94"/>
      <c r="Y54" s="94"/>
      <c r="Z54" s="94"/>
      <c r="AA54" s="94"/>
      <c r="AB54" s="94"/>
      <c r="AC54" s="94"/>
      <c r="AD54" s="94"/>
      <c r="AE54" s="94"/>
      <c r="AF54" s="94"/>
      <c r="AG54" s="94"/>
      <c r="AH54" s="94"/>
      <c r="AI54" s="94"/>
      <c r="AJ54" s="94"/>
    </row>
    <row r="56" spans="1:36" ht="20.399999999999999" thickBot="1" x14ac:dyDescent="0.45">
      <c r="B56" s="21" t="s">
        <v>57</v>
      </c>
      <c r="C56" s="43">
        <v>5.4</v>
      </c>
      <c r="D56" t="s">
        <v>60</v>
      </c>
    </row>
    <row r="57" spans="1:36" ht="15" thickTop="1" x14ac:dyDescent="0.3">
      <c r="B57" s="21"/>
    </row>
    <row r="58" spans="1:36" x14ac:dyDescent="0.3">
      <c r="B58" s="21"/>
    </row>
    <row r="59" spans="1:36" ht="20.399999999999999" thickBot="1" x14ac:dyDescent="0.45">
      <c r="A59" s="21" t="s">
        <v>76</v>
      </c>
      <c r="B59" s="21" t="s">
        <v>70</v>
      </c>
      <c r="C59" s="43">
        <v>2000</v>
      </c>
      <c r="D59" t="s">
        <v>64</v>
      </c>
    </row>
    <row r="60" spans="1:36" ht="24.6" thickTop="1" thickBot="1" x14ac:dyDescent="0.5">
      <c r="A60" t="s">
        <v>77</v>
      </c>
      <c r="B60" t="s">
        <v>56</v>
      </c>
      <c r="C60" s="45">
        <f>0.5*C59*POWER(C56,2)</f>
        <v>29160.000000000004</v>
      </c>
      <c r="D60" t="s">
        <v>61</v>
      </c>
      <c r="E60" s="47">
        <f>C60/1000</f>
        <v>29.160000000000004</v>
      </c>
      <c r="F60" s="70" t="s">
        <v>71</v>
      </c>
    </row>
    <row r="61" spans="1:36" ht="15" thickTop="1" x14ac:dyDescent="0.3"/>
    <row r="62" spans="1:36" ht="20.399999999999999" thickBot="1" x14ac:dyDescent="0.45">
      <c r="B62" s="21"/>
      <c r="C62" s="43"/>
    </row>
    <row r="63" spans="1:36" ht="21" thickTop="1" thickBot="1" x14ac:dyDescent="0.45">
      <c r="A63" s="21" t="s">
        <v>76</v>
      </c>
      <c r="B63" s="21" t="s">
        <v>56</v>
      </c>
      <c r="C63" s="43">
        <v>14580</v>
      </c>
      <c r="D63" t="s">
        <v>61</v>
      </c>
    </row>
    <row r="64" spans="1:36" ht="15" thickTop="1" x14ac:dyDescent="0.3">
      <c r="A64" t="s">
        <v>77</v>
      </c>
      <c r="B64" s="46" t="s">
        <v>70</v>
      </c>
      <c r="C64">
        <f>2*C63/POWER(C56,2)</f>
        <v>999.99999999999989</v>
      </c>
      <c r="D64" t="s">
        <v>64</v>
      </c>
    </row>
    <row r="65" spans="1:13" ht="37.200000000000003" thickBot="1" x14ac:dyDescent="0.35">
      <c r="B65" s="21"/>
      <c r="F65" s="3" t="s">
        <v>79</v>
      </c>
      <c r="G65" s="53" t="s">
        <v>0</v>
      </c>
    </row>
    <row r="66" spans="1:13" ht="21" thickTop="1" thickBot="1" x14ac:dyDescent="0.45">
      <c r="B66" s="21" t="s">
        <v>59</v>
      </c>
      <c r="C66" s="43">
        <v>2.7</v>
      </c>
      <c r="D66" t="s">
        <v>60</v>
      </c>
    </row>
    <row r="67" spans="1:13" ht="20.399999999999999" thickTop="1" x14ac:dyDescent="0.4">
      <c r="B67" s="21" t="s">
        <v>63</v>
      </c>
      <c r="C67" s="44">
        <v>500</v>
      </c>
      <c r="D67" t="s">
        <v>64</v>
      </c>
      <c r="F67" s="99" t="str">
        <f>IF(G65="E","Calculating for Energy","Calculating for Assembled Capacitance")</f>
        <v>Calculating for Assembled Capacitance</v>
      </c>
      <c r="G67" s="99"/>
    </row>
    <row r="68" spans="1:13" ht="19.8" x14ac:dyDescent="0.4">
      <c r="B68" s="21" t="s">
        <v>65</v>
      </c>
      <c r="C68" s="44">
        <v>350</v>
      </c>
      <c r="D68" t="s">
        <v>75</v>
      </c>
    </row>
    <row r="69" spans="1:13" ht="19.8" x14ac:dyDescent="0.4">
      <c r="C69" s="44"/>
      <c r="F69" s="51" t="s">
        <v>78</v>
      </c>
      <c r="G69" s="52">
        <f>IF(G65="C",C60,C63)</f>
        <v>29160.000000000004</v>
      </c>
    </row>
    <row r="70" spans="1:13" ht="25.8" x14ac:dyDescent="0.3">
      <c r="A70" s="89" t="s">
        <v>96</v>
      </c>
      <c r="B70" s="42" t="s">
        <v>4</v>
      </c>
      <c r="C70" s="49">
        <f>_xlfn.CEILING.MATH(C56/C66)</f>
        <v>2</v>
      </c>
      <c r="D70" s="49" t="str">
        <f>CONCATENATE(C66*C70,"volts")</f>
        <v>5.4volts</v>
      </c>
      <c r="E70" s="92" t="s">
        <v>62</v>
      </c>
      <c r="F70" s="51" t="s">
        <v>0</v>
      </c>
      <c r="G70" s="52">
        <f>IF(G65="E",C64,C59)</f>
        <v>2000</v>
      </c>
    </row>
    <row r="71" spans="1:13" ht="25.8" x14ac:dyDescent="0.3">
      <c r="A71" s="89"/>
      <c r="B71" s="42" t="s">
        <v>68</v>
      </c>
      <c r="C71" s="49">
        <f>_xlfn.CEILING.MATH(C72/(C67/C70))</f>
        <v>8</v>
      </c>
      <c r="D71" s="49"/>
      <c r="E71" s="92"/>
    </row>
    <row r="72" spans="1:13" x14ac:dyDescent="0.3">
      <c r="A72" s="89"/>
      <c r="B72" s="42" t="s">
        <v>69</v>
      </c>
      <c r="C72" s="42">
        <f>2*G69/POWER(C56,2)</f>
        <v>2000</v>
      </c>
      <c r="D72" t="s">
        <v>64</v>
      </c>
    </row>
    <row r="73" spans="1:13" ht="21" x14ac:dyDescent="0.4">
      <c r="A73" s="89"/>
      <c r="B73" s="42" t="s">
        <v>72</v>
      </c>
      <c r="C73" s="42">
        <f>0.5*C67*POWER(C66,2)</f>
        <v>1822.5000000000002</v>
      </c>
      <c r="D73" t="s">
        <v>61</v>
      </c>
      <c r="F73" s="75" t="s">
        <v>111</v>
      </c>
      <c r="G73" s="76">
        <f>0.5*G70*POWER(C70*C66,2)</f>
        <v>29160.000000000004</v>
      </c>
    </row>
    <row r="74" spans="1:13" ht="28.8" x14ac:dyDescent="0.3">
      <c r="A74" s="89"/>
      <c r="B74" s="42" t="s">
        <v>67</v>
      </c>
      <c r="C74" s="42">
        <f>C70*C71</f>
        <v>16</v>
      </c>
      <c r="D74" s="3" t="s">
        <v>73</v>
      </c>
    </row>
    <row r="75" spans="1:13" x14ac:dyDescent="0.3">
      <c r="A75" s="89"/>
      <c r="B75" s="42" t="s">
        <v>66</v>
      </c>
      <c r="C75" s="42">
        <f>C68*C74</f>
        <v>5600</v>
      </c>
      <c r="D75" t="s">
        <v>74</v>
      </c>
    </row>
    <row r="76" spans="1:13" x14ac:dyDescent="0.3">
      <c r="A76" s="71"/>
      <c r="B76" s="42"/>
      <c r="C76" s="42"/>
    </row>
    <row r="77" spans="1:13" ht="68.400000000000006" customHeight="1" x14ac:dyDescent="0.3">
      <c r="B77" s="104" t="str">
        <f>CONCATENATE("The required capacitor bank configuration for ", C56, " volts and ",G70, " farads and ",G69," joules for given unit values is;  ",C70,"S",C71,"P")</f>
        <v>The required capacitor bank configuration for 5.4 volts and 2000 farads and 29160 joules for given unit values is;  2S8P</v>
      </c>
      <c r="C77" s="104"/>
      <c r="D77" s="104"/>
      <c r="E77" s="104"/>
      <c r="F77" s="104"/>
      <c r="G77" s="73" t="str">
        <f>CONCATENATE(C70,"S",C71,"P")</f>
        <v>2S8P</v>
      </c>
    </row>
    <row r="78" spans="1:13" ht="68.400000000000006" customHeight="1" x14ac:dyDescent="0.3">
      <c r="B78" s="78"/>
      <c r="C78" s="78"/>
      <c r="D78" s="78"/>
      <c r="E78" s="78"/>
      <c r="F78" s="78"/>
      <c r="G78" s="73"/>
    </row>
    <row r="79" spans="1:13" ht="68.400000000000006" customHeight="1" x14ac:dyDescent="0.3">
      <c r="B79" s="78"/>
      <c r="C79" s="78"/>
      <c r="D79" s="78"/>
      <c r="E79" s="78"/>
      <c r="F79" s="78"/>
      <c r="G79" s="73"/>
    </row>
    <row r="80" spans="1:13" ht="15.6" x14ac:dyDescent="0.3">
      <c r="A80" s="81" t="s">
        <v>136</v>
      </c>
      <c r="B80" s="81"/>
      <c r="C80" s="81"/>
      <c r="D80" s="81"/>
      <c r="E80" s="81"/>
      <c r="F80" s="81"/>
      <c r="G80" s="81"/>
      <c r="K80" s="88" t="s">
        <v>89</v>
      </c>
      <c r="L80" s="88"/>
      <c r="M80" s="88"/>
    </row>
    <row r="81" spans="1:13" ht="14.4" customHeight="1" x14ac:dyDescent="0.3">
      <c r="A81" s="100" t="s">
        <v>112</v>
      </c>
      <c r="B81" s="100"/>
      <c r="C81" s="100"/>
      <c r="D81" s="100"/>
      <c r="E81" s="100"/>
      <c r="F81" s="100"/>
      <c r="G81" s="100"/>
      <c r="H81" s="56" t="s">
        <v>85</v>
      </c>
      <c r="I81" s="56" t="s">
        <v>86</v>
      </c>
      <c r="K81" s="62" t="s">
        <v>92</v>
      </c>
      <c r="L81" s="62" t="s">
        <v>93</v>
      </c>
      <c r="M81" s="62" t="s">
        <v>94</v>
      </c>
    </row>
    <row r="82" spans="1:13" ht="21.6" customHeight="1" thickBot="1" x14ac:dyDescent="0.45">
      <c r="A82" s="100"/>
      <c r="B82" s="100"/>
      <c r="C82" s="100"/>
      <c r="D82" s="100"/>
      <c r="E82" s="100"/>
      <c r="F82" s="100"/>
      <c r="G82" s="100"/>
      <c r="H82" s="43">
        <v>4</v>
      </c>
      <c r="I82" s="43">
        <v>1</v>
      </c>
      <c r="K82" s="63">
        <f>C19</f>
        <v>2000</v>
      </c>
      <c r="L82" s="63">
        <f>C42</f>
        <v>1.08</v>
      </c>
      <c r="M82" s="63">
        <f>C17</f>
        <v>5.4</v>
      </c>
    </row>
    <row r="83" spans="1:13" ht="18.600000000000001" thickTop="1" x14ac:dyDescent="0.3">
      <c r="A83" s="54"/>
      <c r="B83" s="54"/>
      <c r="C83" s="55"/>
      <c r="D83" s="55"/>
      <c r="E83" s="55" t="s">
        <v>84</v>
      </c>
      <c r="F83" s="59" t="s">
        <v>44</v>
      </c>
      <c r="G83" s="59" t="s">
        <v>29</v>
      </c>
    </row>
    <row r="84" spans="1:13" ht="20.399999999999999" thickBot="1" x14ac:dyDescent="0.45">
      <c r="B84" s="84" t="s">
        <v>80</v>
      </c>
      <c r="D84" s="21" t="s">
        <v>9</v>
      </c>
      <c r="E84" s="43">
        <v>3.9</v>
      </c>
      <c r="H84" s="23">
        <f>E84/H82</f>
        <v>0.97499999999999998</v>
      </c>
      <c r="K84" t="s">
        <v>116</v>
      </c>
      <c r="L84" s="14">
        <f>C23*C19*5</f>
        <v>50000</v>
      </c>
    </row>
    <row r="85" spans="1:13" ht="21.6" thickTop="1" x14ac:dyDescent="0.3">
      <c r="B85" s="84"/>
      <c r="D85" t="s">
        <v>83</v>
      </c>
      <c r="E85" s="27">
        <f>1*$C$25*LOG(IFERROR($H$82/$E$84,"negative_value"),$L$8)</f>
        <v>253.17807988565505</v>
      </c>
      <c r="F85">
        <f>E85/60</f>
        <v>4.2196346647609175</v>
      </c>
      <c r="G85">
        <f>F85/60</f>
        <v>7.0327244412681955E-2</v>
      </c>
      <c r="L85" s="72" t="s">
        <v>113</v>
      </c>
      <c r="M85" s="72" t="str">
        <f>CONCATENATE(C14,"S",C15,"P")</f>
        <v>2S8P</v>
      </c>
    </row>
    <row r="87" spans="1:13" ht="20.399999999999999" thickBot="1" x14ac:dyDescent="0.45">
      <c r="B87" s="84" t="s">
        <v>82</v>
      </c>
      <c r="D87" s="21" t="s">
        <v>32</v>
      </c>
      <c r="E87" s="43">
        <v>1</v>
      </c>
      <c r="H87" s="23">
        <f>E87/I82</f>
        <v>1</v>
      </c>
    </row>
    <row r="88" spans="1:13" ht="15" thickTop="1" x14ac:dyDescent="0.3">
      <c r="B88" s="84"/>
      <c r="D88" t="s">
        <v>83</v>
      </c>
      <c r="E88" s="27">
        <f>1*$C$25*LOG(IFERROR($I$82/$E$87,"negative_value"),$L$8)</f>
        <v>0</v>
      </c>
      <c r="F88">
        <f>E88/60</f>
        <v>0</v>
      </c>
      <c r="G88">
        <f>F88/60</f>
        <v>0</v>
      </c>
    </row>
    <row r="90" spans="1:13" ht="20.399999999999999" thickBot="1" x14ac:dyDescent="0.45">
      <c r="B90" s="84" t="s">
        <v>81</v>
      </c>
      <c r="D90" s="21" t="s">
        <v>78</v>
      </c>
      <c r="E90" s="43">
        <v>15350</v>
      </c>
      <c r="F90" s="57" t="s">
        <v>104</v>
      </c>
      <c r="G90" s="58">
        <f>C20</f>
        <v>29160.000000000004</v>
      </c>
      <c r="H90" s="23">
        <f>E90/C20</f>
        <v>0.52640603566529487</v>
      </c>
    </row>
    <row r="91" spans="1:13" ht="15" thickTop="1" x14ac:dyDescent="0.3">
      <c r="B91" s="84"/>
      <c r="D91" t="s">
        <v>83</v>
      </c>
      <c r="E91" s="27">
        <f>-1*$C$25*LOG(SQRT(2*$E$90/$C$19)/$H$82,$L$8)</f>
        <v>207.36624106789446</v>
      </c>
      <c r="F91">
        <f>E91/60</f>
        <v>3.4561040177982409</v>
      </c>
      <c r="G91">
        <f>F91/60</f>
        <v>5.7601733629970682E-2</v>
      </c>
    </row>
    <row r="92" spans="1:13" x14ac:dyDescent="0.3">
      <c r="D92" t="s">
        <v>88</v>
      </c>
      <c r="E92" s="50">
        <f>H82*EXP(-E91/$C$25)</f>
        <v>3.9179076048182262</v>
      </c>
    </row>
    <row r="93" spans="1:13" x14ac:dyDescent="0.3">
      <c r="D93" t="s">
        <v>87</v>
      </c>
      <c r="E93" s="50">
        <f>I82*EXP(-E91/$C$25)</f>
        <v>0.97947690120455655</v>
      </c>
    </row>
    <row r="95" spans="1:13" ht="18" x14ac:dyDescent="0.3">
      <c r="E95" s="69" t="s">
        <v>102</v>
      </c>
      <c r="F95" s="69" t="s">
        <v>44</v>
      </c>
      <c r="G95" s="69" t="s">
        <v>29</v>
      </c>
    </row>
    <row r="96" spans="1:13" ht="20.399999999999999" thickBot="1" x14ac:dyDescent="0.45">
      <c r="E96" s="43">
        <v>1000</v>
      </c>
      <c r="F96" s="43">
        <v>0</v>
      </c>
      <c r="G96" s="43">
        <v>0</v>
      </c>
    </row>
    <row r="97" spans="2:11" ht="24" thickTop="1" x14ac:dyDescent="0.45">
      <c r="B97" s="47" t="s">
        <v>98</v>
      </c>
      <c r="D97" s="21" t="s">
        <v>103</v>
      </c>
      <c r="E97">
        <f>E96+F96*60+G96*3600</f>
        <v>1000</v>
      </c>
      <c r="F97">
        <f>E97/60</f>
        <v>16.666666666666668</v>
      </c>
      <c r="G97">
        <f>F97/60</f>
        <v>0.27777777777777779</v>
      </c>
    </row>
    <row r="98" spans="2:11" x14ac:dyDescent="0.3">
      <c r="D98" s="21"/>
    </row>
    <row r="99" spans="2:11" x14ac:dyDescent="0.3">
      <c r="D99" t="s">
        <v>99</v>
      </c>
      <c r="E99" s="15">
        <f>H82*EXP(-E97/$C$25)</f>
        <v>3.6193496721438381</v>
      </c>
      <c r="F99" s="23">
        <f>E99/H82</f>
        <v>0.90483741803595952</v>
      </c>
    </row>
    <row r="100" spans="2:11" x14ac:dyDescent="0.3">
      <c r="D100" t="s">
        <v>100</v>
      </c>
      <c r="E100" s="15">
        <f>I82*EXP(-E97/$C$25)</f>
        <v>0.90483741803595952</v>
      </c>
      <c r="F100" s="23">
        <f>E100/I82</f>
        <v>0.90483741803595952</v>
      </c>
    </row>
    <row r="101" spans="2:11" x14ac:dyDescent="0.3">
      <c r="D101" t="s">
        <v>117</v>
      </c>
      <c r="E101" s="15">
        <f>E99*E100</f>
        <v>3.2749230123119268</v>
      </c>
      <c r="F101" s="23"/>
    </row>
    <row r="102" spans="2:11" x14ac:dyDescent="0.3">
      <c r="D102" t="s">
        <v>101</v>
      </c>
      <c r="E102" s="15">
        <f>0.5*$C$19*POWER(E99,2)</f>
        <v>13099.692049247707</v>
      </c>
      <c r="F102" s="23">
        <f>E102/C20</f>
        <v>0.44923498111274712</v>
      </c>
    </row>
    <row r="103" spans="2:11" x14ac:dyDescent="0.3">
      <c r="E103" s="15">
        <f>0.5*C19*POWER(H82*EXP(-E97/C20),2)</f>
        <v>14939.393999740558</v>
      </c>
      <c r="F103" s="23">
        <f>E103/C20</f>
        <v>0.51232489711044427</v>
      </c>
    </row>
    <row r="106" spans="2:11" ht="28.8" customHeight="1" x14ac:dyDescent="0.3">
      <c r="D106" s="82" t="s">
        <v>118</v>
      </c>
      <c r="E106" s="82"/>
      <c r="F106" s="82"/>
      <c r="H106" s="85" t="str">
        <f>IF(E108&lt;E109,"Pout failure", "All ok")</f>
        <v>Pout failure</v>
      </c>
      <c r="I106" s="85"/>
      <c r="J106" s="85"/>
      <c r="K106" s="85"/>
    </row>
    <row r="107" spans="2:11" ht="22.8" customHeight="1" thickBot="1" x14ac:dyDescent="0.45">
      <c r="D107" s="21" t="s">
        <v>119</v>
      </c>
      <c r="E107" s="43">
        <v>0.85</v>
      </c>
      <c r="H107" s="85"/>
      <c r="I107" s="85"/>
      <c r="J107" s="85"/>
      <c r="K107" s="85"/>
    </row>
    <row r="108" spans="2:11" ht="26.4" customHeight="1" thickTop="1" x14ac:dyDescent="0.35">
      <c r="D108" t="s">
        <v>120</v>
      </c>
      <c r="E108" s="74">
        <f>E107*E101</f>
        <v>2.7836845604651379</v>
      </c>
      <c r="F108" s="83" t="s">
        <v>122</v>
      </c>
      <c r="H108" s="85"/>
      <c r="I108" s="85"/>
      <c r="J108" s="85"/>
      <c r="K108" s="85"/>
    </row>
    <row r="109" spans="2:11" ht="20.399999999999999" customHeight="1" thickBot="1" x14ac:dyDescent="0.45">
      <c r="D109" s="21" t="s">
        <v>121</v>
      </c>
      <c r="E109" s="43">
        <v>5</v>
      </c>
      <c r="F109" s="83"/>
      <c r="H109" s="84" t="s">
        <v>132</v>
      </c>
      <c r="I109" s="84"/>
      <c r="J109" s="84"/>
      <c r="K109" s="84"/>
    </row>
    <row r="110" spans="2:11" ht="21" thickTop="1" thickBot="1" x14ac:dyDescent="0.45">
      <c r="D110" s="21" t="s">
        <v>127</v>
      </c>
      <c r="E110" s="43">
        <v>5</v>
      </c>
      <c r="F110" s="5" t="s">
        <v>128</v>
      </c>
    </row>
    <row r="111" spans="2:11" ht="15" thickTop="1" x14ac:dyDescent="0.3">
      <c r="D111" t="s">
        <v>126</v>
      </c>
      <c r="E111">
        <f>E109/E110</f>
        <v>1</v>
      </c>
      <c r="F111" s="5" t="s">
        <v>91</v>
      </c>
    </row>
    <row r="112" spans="2:11" x14ac:dyDescent="0.3">
      <c r="D112" s="81" t="s">
        <v>123</v>
      </c>
      <c r="E112" s="81"/>
      <c r="F112" s="81"/>
    </row>
    <row r="113" spans="4:6" x14ac:dyDescent="0.3">
      <c r="D113" t="s">
        <v>124</v>
      </c>
      <c r="E113">
        <f>E109/E107</f>
        <v>5.882352941176471</v>
      </c>
      <c r="F113" s="79" t="s">
        <v>125</v>
      </c>
    </row>
    <row r="114" spans="4:6" x14ac:dyDescent="0.3">
      <c r="D114" t="s">
        <v>9</v>
      </c>
    </row>
    <row r="115" spans="4:6" x14ac:dyDescent="0.3">
      <c r="D115" t="s">
        <v>32</v>
      </c>
    </row>
    <row r="116" spans="4:6" x14ac:dyDescent="0.3">
      <c r="D116" s="81" t="s">
        <v>129</v>
      </c>
      <c r="E116" s="81"/>
    </row>
    <row r="117" spans="4:6" x14ac:dyDescent="0.3">
      <c r="D117" s="80" t="s">
        <v>130</v>
      </c>
      <c r="E117" s="80">
        <f>-$C$25*LOG(E113/(H82*I82))</f>
        <v>-1674.9108729376371</v>
      </c>
    </row>
  </sheetData>
  <mergeCells count="34">
    <mergeCell ref="M4:AF4"/>
    <mergeCell ref="F67:G67"/>
    <mergeCell ref="B84:B85"/>
    <mergeCell ref="B87:B88"/>
    <mergeCell ref="B90:B91"/>
    <mergeCell ref="A81:G82"/>
    <mergeCell ref="E13:F13"/>
    <mergeCell ref="C54:D54"/>
    <mergeCell ref="B27:C27"/>
    <mergeCell ref="B77:F77"/>
    <mergeCell ref="J19:L19"/>
    <mergeCell ref="A80:G80"/>
    <mergeCell ref="A1:AE1"/>
    <mergeCell ref="B4:D4"/>
    <mergeCell ref="K80:M80"/>
    <mergeCell ref="B2:G2"/>
    <mergeCell ref="A70:A75"/>
    <mergeCell ref="L2:P2"/>
    <mergeCell ref="M5:S5"/>
    <mergeCell ref="E70:E71"/>
    <mergeCell ref="K36:U36"/>
    <mergeCell ref="W36:AJ36"/>
    <mergeCell ref="V5:AA5"/>
    <mergeCell ref="K54:U54"/>
    <mergeCell ref="W54:AJ54"/>
    <mergeCell ref="H15:I15"/>
    <mergeCell ref="B8:B9"/>
    <mergeCell ref="E4:H4"/>
    <mergeCell ref="D116:E116"/>
    <mergeCell ref="D106:F106"/>
    <mergeCell ref="F108:F109"/>
    <mergeCell ref="D112:F112"/>
    <mergeCell ref="H109:K109"/>
    <mergeCell ref="H106:K108"/>
  </mergeCells>
  <conditionalFormatting sqref="L2:P2">
    <cfRule type="containsText" dxfId="7" priority="7" operator="containsText" text="ERROR">
      <formula>NOT(ISERROR(SEARCH("ERROR",L2)))</formula>
    </cfRule>
    <cfRule type="containsText" dxfId="6" priority="8" operator="containsText" text="ok">
      <formula>NOT(ISERROR(SEARCH("ok",L2)))</formula>
    </cfRule>
  </conditionalFormatting>
  <conditionalFormatting sqref="H106">
    <cfRule type="containsText" dxfId="5" priority="5" operator="containsText" text="failure">
      <formula>NOT(ISERROR(SEARCH("failure",H106)))</formula>
    </cfRule>
    <cfRule type="containsText" dxfId="4" priority="6" operator="containsText" text="ok">
      <formula>NOT(ISERROR(SEARCH("ok",H106)))</formula>
    </cfRule>
  </conditionalFormatting>
  <conditionalFormatting sqref="E99">
    <cfRule type="cellIs" dxfId="3" priority="4" operator="greaterThan">
      <formula>$C$17</formula>
    </cfRule>
  </conditionalFormatting>
  <conditionalFormatting sqref="H82">
    <cfRule type="cellIs" dxfId="2" priority="3" operator="greaterThan">
      <formula>"$C$17"</formula>
    </cfRule>
    <cfRule type="cellIs" dxfId="1" priority="2" operator="greaterThan">
      <formula>"&gt;$C$17"</formula>
    </cfRule>
    <cfRule type="cellIs" dxfId="0" priority="1" operator="greaterThan">
      <formula>$C$17</formula>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keywords>capacitor;calculator</cp:keywords>
  <cp:lastModifiedBy>LENOVO</cp:lastModifiedBy>
  <dcterms:created xsi:type="dcterms:W3CDTF">2022-01-21T09:36:26Z</dcterms:created>
  <dcterms:modified xsi:type="dcterms:W3CDTF">2022-01-29T15:05:43Z</dcterms:modified>
</cp:coreProperties>
</file>