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codeName="ThisWorkbook" defaultThemeVersion="124226"/>
  <mc:AlternateContent xmlns:mc="http://schemas.openxmlformats.org/markup-compatibility/2006">
    <mc:Choice Requires="x15">
      <x15ac:absPath xmlns:x15ac="http://schemas.microsoft.com/office/spreadsheetml/2010/11/ac" url="\\wsl$\Ubuntu\home\way\crest_model_solar\"/>
    </mc:Choice>
  </mc:AlternateContent>
  <xr:revisionPtr revIDLastSave="0" documentId="13_ncr:1_{78D315F2-EA14-4813-B71C-E3BB65D1D268}" xr6:coauthVersionLast="47" xr6:coauthVersionMax="47" xr10:uidLastSave="{00000000-0000-0000-0000-000000000000}"/>
  <bookViews>
    <workbookView xWindow="-17388" yWindow="-13980" windowWidth="17496" windowHeight="30480" tabRatio="725" activeTab="4" xr2:uid="{00000000-000D-0000-FFFF-FFFF00000000}"/>
  </bookViews>
  <sheets>
    <sheet name="Introduction" sheetId="6" r:id="rId1"/>
    <sheet name="Inputs" sheetId="7" r:id="rId2"/>
    <sheet name="Summary Results" sheetId="9" r:id="rId3"/>
    <sheet name="Annual Cash Flows &amp; Returns" sheetId="10" r:id="rId4"/>
    <sheet name="Cash Flow" sheetId="11" r:id="rId5"/>
    <sheet name="Complex Inputs" sheetId="12" r:id="rId6"/>
  </sheets>
  <definedNames>
    <definedName name="_ftn1" localSheetId="1">Inputs!$E$100</definedName>
    <definedName name="_ftnref1" localSheetId="1">Inputs!$E$88</definedName>
    <definedName name="_xlnm.Print_Area" localSheetId="0">Introduction!$B$2:$D$28</definedName>
    <definedName name="solver_adj" localSheetId="1" hidden="1">Inputs!$G$51</definedName>
    <definedName name="solver_cvg" localSheetId="1" hidden="1">0.0001</definedName>
    <definedName name="solver_drv" localSheetId="1" hidden="1">1</definedName>
    <definedName name="solver_est" localSheetId="1" hidden="1">1</definedName>
    <definedName name="solver_itr" localSheetId="1" hidden="1">100</definedName>
    <definedName name="solver_lhs1" localSheetId="1" hidden="1">Inputs!$G$56</definedName>
    <definedName name="solver_lhs2" localSheetId="1" hidden="1">Inputs!$G$59</definedName>
    <definedName name="solver_lin" localSheetId="1" hidden="1">2</definedName>
    <definedName name="solver_neg" localSheetId="1" hidden="1">2</definedName>
    <definedName name="solver_num" localSheetId="1" hidden="1">2</definedName>
    <definedName name="solver_nwt" localSheetId="1" hidden="1">1</definedName>
    <definedName name="solver_opt" localSheetId="1" hidden="1">Inputs!$U$59</definedName>
    <definedName name="solver_pre" localSheetId="1" hidden="1">0.000001</definedName>
    <definedName name="solver_rel1" localSheetId="1" hidden="1">3</definedName>
    <definedName name="solver_rel2" localSheetId="1" hidden="1">3</definedName>
    <definedName name="solver_rhs1" localSheetId="1" hidden="1">Inputs!$G$55</definedName>
    <definedName name="solver_rhs2" localSheetId="1" hidden="1">Inputs!$G$58</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2</definedName>
    <definedName name="solver_val" localSheetId="1" hidden="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9" i="7" l="1"/>
  <c r="N22" i="7"/>
  <c r="R22" i="7"/>
  <c r="G12" i="7" l="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AJ18" i="11"/>
  <c r="G18" i="11"/>
  <c r="Q164" i="11"/>
  <c r="R164" i="11"/>
  <c r="S164" i="11"/>
  <c r="T164" i="11"/>
  <c r="U164" i="11"/>
  <c r="V164" i="11"/>
  <c r="W164" i="11"/>
  <c r="X164" i="11"/>
  <c r="Y164" i="11"/>
  <c r="Z164" i="11"/>
  <c r="AA164" i="11"/>
  <c r="AB164" i="11"/>
  <c r="AC164" i="11"/>
  <c r="AD164" i="11"/>
  <c r="AE164" i="11"/>
  <c r="AF164" i="11"/>
  <c r="AG164" i="11"/>
  <c r="AH164" i="11"/>
  <c r="AI164" i="11"/>
  <c r="AJ164" i="11"/>
  <c r="H163" i="11"/>
  <c r="I163" i="11"/>
  <c r="J163" i="11"/>
  <c r="K163" i="11"/>
  <c r="L163" i="11"/>
  <c r="M163" i="11"/>
  <c r="N163" i="11"/>
  <c r="O163" i="11"/>
  <c r="P163" i="11"/>
  <c r="Q163" i="11"/>
  <c r="R163" i="11"/>
  <c r="S163" i="11"/>
  <c r="T163" i="11"/>
  <c r="U163" i="11"/>
  <c r="V163" i="11"/>
  <c r="W163" i="11"/>
  <c r="X163" i="11"/>
  <c r="Y163" i="11"/>
  <c r="Z163" i="11"/>
  <c r="AA163" i="11"/>
  <c r="AB163" i="11"/>
  <c r="AC163" i="11"/>
  <c r="AD163" i="11"/>
  <c r="AE163" i="11"/>
  <c r="AF163" i="11"/>
  <c r="AG163" i="11"/>
  <c r="AH163" i="11"/>
  <c r="AI163" i="11"/>
  <c r="AJ163" i="11"/>
  <c r="Q178" i="11" l="1"/>
  <c r="R178" i="11"/>
  <c r="S178" i="11"/>
  <c r="T178" i="11"/>
  <c r="U178" i="11"/>
  <c r="V178" i="11"/>
  <c r="W178" i="11"/>
  <c r="X178" i="11"/>
  <c r="Y178" i="11"/>
  <c r="Z178" i="11"/>
  <c r="AA178" i="11"/>
  <c r="AB178" i="11"/>
  <c r="AC178" i="11"/>
  <c r="AD178" i="11"/>
  <c r="AE178" i="11"/>
  <c r="AF178" i="11"/>
  <c r="AG178" i="11"/>
  <c r="AH178" i="11"/>
  <c r="AI178" i="11"/>
  <c r="AJ178" i="11"/>
  <c r="G69" i="7"/>
  <c r="T41" i="7" l="1"/>
  <c r="R40" i="7"/>
  <c r="R38" i="7"/>
  <c r="R34" i="7"/>
  <c r="H20" i="11" l="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AJ20" i="11"/>
  <c r="G20" i="11"/>
  <c r="L177" i="11"/>
  <c r="M177" i="11"/>
  <c r="N177" i="11"/>
  <c r="O177" i="11"/>
  <c r="P177" i="11"/>
  <c r="Q177" i="11"/>
  <c r="R177" i="11"/>
  <c r="S177" i="11"/>
  <c r="T177" i="11"/>
  <c r="U177" i="11"/>
  <c r="V177" i="11"/>
  <c r="W177" i="11"/>
  <c r="X177" i="11"/>
  <c r="Y177" i="11"/>
  <c r="Z177" i="11"/>
  <c r="AA177" i="11"/>
  <c r="AB177" i="11"/>
  <c r="AC177" i="11"/>
  <c r="AD177" i="11"/>
  <c r="AE177" i="11"/>
  <c r="AF177" i="11"/>
  <c r="AG177" i="11"/>
  <c r="AH177" i="11"/>
  <c r="AI177" i="11"/>
  <c r="AJ177" i="11"/>
  <c r="D45" i="9" l="1"/>
  <c r="D42" i="9"/>
  <c r="D43" i="9" s="1"/>
  <c r="D23" i="9" l="1"/>
  <c r="D21" i="9" l="1"/>
  <c r="G13" i="7" l="1"/>
  <c r="D20" i="9" s="1"/>
  <c r="F11" i="7"/>
  <c r="F8" i="7"/>
  <c r="C18" i="9" s="1"/>
  <c r="AF28" i="11"/>
  <c r="AG28" i="11"/>
  <c r="AH28" i="11"/>
  <c r="AI28" i="11"/>
  <c r="AJ28" i="11"/>
  <c r="G28" i="11"/>
  <c r="E132" i="11"/>
  <c r="E129" i="11"/>
  <c r="D18" i="9"/>
  <c r="N21" i="7"/>
  <c r="Y41" i="11"/>
  <c r="Z41" i="11"/>
  <c r="AA41" i="11"/>
  <c r="AB41" i="11"/>
  <c r="AC41" i="11"/>
  <c r="AD41" i="11"/>
  <c r="AE41" i="11"/>
  <c r="AF41" i="11"/>
  <c r="AG41" i="11"/>
  <c r="AH41" i="11"/>
  <c r="AI41" i="11"/>
  <c r="AJ41" i="11"/>
  <c r="AF33" i="11" l="1"/>
  <c r="AG33" i="11"/>
  <c r="AH33" i="11"/>
  <c r="AI33" i="11"/>
  <c r="AJ33" i="11"/>
  <c r="G33" i="11"/>
  <c r="D15" i="7" l="1"/>
  <c r="T13" i="7" l="1"/>
  <c r="N52" i="7" l="1"/>
  <c r="L75" i="7"/>
  <c r="L76" i="7"/>
  <c r="L77" i="7"/>
  <c r="L78" i="7"/>
  <c r="L73" i="7"/>
  <c r="N75" i="7"/>
  <c r="N76" i="7"/>
  <c r="N77" i="7"/>
  <c r="N78" i="7"/>
  <c r="N74" i="7"/>
  <c r="N73" i="7"/>
  <c r="O74" i="7"/>
  <c r="O75" i="7"/>
  <c r="O76" i="7"/>
  <c r="O77" i="7"/>
  <c r="O78" i="7"/>
  <c r="O73" i="7"/>
  <c r="N50" i="7"/>
  <c r="N43" i="7"/>
  <c r="N42" i="7"/>
  <c r="N36" i="7"/>
  <c r="N35" i="7"/>
  <c r="N34" i="7"/>
  <c r="N26" i="7"/>
  <c r="N27" i="7"/>
  <c r="N15" i="7"/>
  <c r="N14" i="7"/>
  <c r="D76" i="7"/>
  <c r="D74" i="7"/>
  <c r="D62" i="7"/>
  <c r="D54" i="7"/>
  <c r="D53" i="7"/>
  <c r="D52" i="7"/>
  <c r="D51" i="7"/>
  <c r="N8" i="7" l="1"/>
  <c r="D14" i="7"/>
  <c r="D12" i="7"/>
  <c r="G61" i="7" l="1"/>
  <c r="L79" i="7" l="1"/>
  <c r="F19" i="7"/>
  <c r="L74" i="7"/>
  <c r="D39" i="9" l="1"/>
  <c r="D40" i="9" s="1"/>
  <c r="T15" i="7"/>
  <c r="T14" i="7"/>
  <c r="T16" i="7"/>
  <c r="F61" i="11"/>
  <c r="Q207" i="11" l="1"/>
  <c r="Q208" i="11"/>
  <c r="Q209" i="11"/>
  <c r="Q210" i="11"/>
  <c r="Q211" i="11"/>
  <c r="Q212" i="11"/>
  <c r="Q213" i="11"/>
  <c r="Q214" i="11"/>
  <c r="Q215" i="11"/>
  <c r="Q206" i="11"/>
  <c r="P207" i="11"/>
  <c r="P208" i="11"/>
  <c r="P209" i="11"/>
  <c r="P210" i="11"/>
  <c r="P211" i="11"/>
  <c r="P212" i="11"/>
  <c r="P213" i="11"/>
  <c r="P214" i="11"/>
  <c r="P215" i="11"/>
  <c r="P206" i="11"/>
  <c r="M206" i="11"/>
  <c r="M207" i="11"/>
  <c r="M208" i="11"/>
  <c r="M209" i="11"/>
  <c r="M210" i="11"/>
  <c r="M211" i="11"/>
  <c r="M212" i="11"/>
  <c r="M213" i="11"/>
  <c r="M214" i="11"/>
  <c r="M215" i="11"/>
  <c r="L206" i="11"/>
  <c r="L207" i="11"/>
  <c r="L208" i="11"/>
  <c r="L209" i="11"/>
  <c r="L210" i="11"/>
  <c r="L211" i="11"/>
  <c r="L212" i="11"/>
  <c r="L213" i="11"/>
  <c r="L214" i="11"/>
  <c r="L215" i="11"/>
  <c r="I206" i="11"/>
  <c r="I207" i="11"/>
  <c r="I208" i="11"/>
  <c r="I209" i="11"/>
  <c r="I210" i="11"/>
  <c r="I211" i="11"/>
  <c r="I212" i="11"/>
  <c r="I213" i="11"/>
  <c r="I214" i="11"/>
  <c r="I215" i="11"/>
  <c r="H206" i="11"/>
  <c r="H207" i="11"/>
  <c r="H208" i="11"/>
  <c r="H209" i="11"/>
  <c r="H210" i="11"/>
  <c r="H211" i="11"/>
  <c r="H212" i="11"/>
  <c r="H213" i="11"/>
  <c r="H214" i="11"/>
  <c r="H215" i="11"/>
  <c r="F13" i="11"/>
  <c r="F12" i="11" s="1"/>
  <c r="AA195" i="11"/>
  <c r="AB195" i="11"/>
  <c r="AC195" i="11"/>
  <c r="AD195" i="11"/>
  <c r="AE195" i="11"/>
  <c r="AF195" i="11"/>
  <c r="AG195" i="11"/>
  <c r="AH195" i="11"/>
  <c r="AI195" i="11"/>
  <c r="AJ195" i="11"/>
  <c r="S195" i="11"/>
  <c r="I195" i="11"/>
  <c r="C129" i="12"/>
  <c r="G16" i="11"/>
  <c r="H16" i="11" s="1"/>
  <c r="I16" i="11" s="1"/>
  <c r="J16" i="11" s="1"/>
  <c r="K16" i="11" s="1"/>
  <c r="L16" i="11" s="1"/>
  <c r="M16" i="11" s="1"/>
  <c r="N16" i="11" s="1"/>
  <c r="O16" i="11" s="1"/>
  <c r="P16" i="11" s="1"/>
  <c r="Q16" i="11" s="1"/>
  <c r="R16" i="11" s="1"/>
  <c r="S16" i="11" s="1"/>
  <c r="T16" i="11" s="1"/>
  <c r="U16" i="11" s="1"/>
  <c r="V16" i="11" s="1"/>
  <c r="W16" i="11" s="1"/>
  <c r="X16" i="11" s="1"/>
  <c r="Y16" i="11" s="1"/>
  <c r="Z16" i="11" s="1"/>
  <c r="AA16" i="11" s="1"/>
  <c r="AB16" i="11" s="1"/>
  <c r="AC16" i="11" s="1"/>
  <c r="AD16" i="11" s="1"/>
  <c r="AE16" i="11" s="1"/>
  <c r="AF16" i="11" s="1"/>
  <c r="AG16" i="11" s="1"/>
  <c r="AH16" i="11" s="1"/>
  <c r="AI16" i="11" s="1"/>
  <c r="AJ16" i="11" s="1"/>
  <c r="G32" i="11"/>
  <c r="H32" i="11" s="1"/>
  <c r="I32" i="11" s="1"/>
  <c r="J32" i="11" s="1"/>
  <c r="K32" i="11" s="1"/>
  <c r="L32" i="11" s="1"/>
  <c r="M32" i="11" s="1"/>
  <c r="N32" i="11" s="1"/>
  <c r="O32" i="11" s="1"/>
  <c r="P32" i="11" s="1"/>
  <c r="Q32" i="11" s="1"/>
  <c r="R32" i="11" s="1"/>
  <c r="S32" i="11" s="1"/>
  <c r="T32" i="11" s="1"/>
  <c r="U32" i="11" s="1"/>
  <c r="V32" i="11" s="1"/>
  <c r="W32" i="11" s="1"/>
  <c r="X32" i="11" s="1"/>
  <c r="Y32" i="11" s="1"/>
  <c r="Z32" i="11" s="1"/>
  <c r="AA32" i="11" s="1"/>
  <c r="AB32" i="11" s="1"/>
  <c r="AC32" i="11" s="1"/>
  <c r="AD32" i="11" s="1"/>
  <c r="AE32" i="11" s="1"/>
  <c r="AF32" i="11" s="1"/>
  <c r="AG32" i="11" s="1"/>
  <c r="AH32" i="11" s="1"/>
  <c r="AI32" i="11" s="1"/>
  <c r="AJ32" i="11" s="1"/>
  <c r="J205" i="11" l="1"/>
  <c r="J206" i="11" s="1"/>
  <c r="J207" i="11" s="1"/>
  <c r="J208" i="11" s="1"/>
  <c r="J209" i="11" s="1"/>
  <c r="J210" i="11" s="1"/>
  <c r="J211" i="11" s="1"/>
  <c r="J212" i="11" s="1"/>
  <c r="J213" i="11" s="1"/>
  <c r="J214" i="11" s="1"/>
  <c r="Z195" i="11"/>
  <c r="X195" i="11"/>
  <c r="V195" i="11"/>
  <c r="T195" i="11"/>
  <c r="R195" i="11"/>
  <c r="P195" i="11"/>
  <c r="N195" i="11"/>
  <c r="L195" i="11"/>
  <c r="J195" i="11"/>
  <c r="H195" i="11"/>
  <c r="G195" i="11"/>
  <c r="Y195" i="11"/>
  <c r="W195" i="11"/>
  <c r="U195" i="11"/>
  <c r="Q195" i="11"/>
  <c r="O195" i="11"/>
  <c r="M195" i="11"/>
  <c r="K195" i="11"/>
  <c r="F31" i="7"/>
  <c r="B183" i="11"/>
  <c r="B169" i="11"/>
  <c r="F60" i="11"/>
  <c r="D8" i="9"/>
  <c r="AI166" i="11" l="1"/>
  <c r="AG166" i="11"/>
  <c r="AE166" i="11"/>
  <c r="AC166" i="11"/>
  <c r="AA166" i="11"/>
  <c r="Y166" i="11"/>
  <c r="W166" i="11"/>
  <c r="U166" i="11"/>
  <c r="S166" i="11"/>
  <c r="AJ180" i="11"/>
  <c r="AH180" i="11"/>
  <c r="AF180" i="11"/>
  <c r="AD180" i="11"/>
  <c r="AB180" i="11"/>
  <c r="Z180" i="11"/>
  <c r="X180" i="11"/>
  <c r="V180" i="11"/>
  <c r="T180" i="11"/>
  <c r="R180" i="11"/>
  <c r="AI180" i="11"/>
  <c r="AG180" i="11"/>
  <c r="AE180" i="11"/>
  <c r="AC180" i="11"/>
  <c r="AA180" i="11"/>
  <c r="Y180" i="11"/>
  <c r="W180" i="11"/>
  <c r="U180" i="11"/>
  <c r="S180" i="11"/>
  <c r="Q180" i="11"/>
  <c r="Q166" i="11"/>
  <c r="AJ166" i="11"/>
  <c r="AH166" i="11"/>
  <c r="AF166" i="11"/>
  <c r="AD166" i="11"/>
  <c r="AB166" i="11"/>
  <c r="Z166" i="11"/>
  <c r="X166" i="11"/>
  <c r="V166" i="11"/>
  <c r="T166" i="11"/>
  <c r="R166" i="11"/>
  <c r="H196" i="11"/>
  <c r="I196" i="11"/>
  <c r="J196" i="11"/>
  <c r="K196" i="11"/>
  <c r="L196" i="11"/>
  <c r="M196" i="11"/>
  <c r="N196" i="11"/>
  <c r="O196" i="11"/>
  <c r="P196" i="11"/>
  <c r="Q196" i="11"/>
  <c r="R196" i="11"/>
  <c r="S196" i="11"/>
  <c r="T196" i="11"/>
  <c r="U196" i="11"/>
  <c r="V196" i="11"/>
  <c r="W196" i="11"/>
  <c r="X196" i="11"/>
  <c r="Y196" i="11"/>
  <c r="Z196" i="11"/>
  <c r="AA196" i="11"/>
  <c r="AB196" i="11"/>
  <c r="AC196" i="11"/>
  <c r="AD196" i="11"/>
  <c r="AE196" i="11"/>
  <c r="AF196" i="11"/>
  <c r="AG196" i="11"/>
  <c r="AH196" i="11"/>
  <c r="AI196" i="11"/>
  <c r="AJ196" i="11"/>
  <c r="G196" i="11"/>
  <c r="H194" i="11"/>
  <c r="I194" i="11"/>
  <c r="J194" i="11"/>
  <c r="K194" i="11"/>
  <c r="L194" i="11"/>
  <c r="M194" i="11"/>
  <c r="N194" i="11"/>
  <c r="O194" i="11"/>
  <c r="P194" i="11"/>
  <c r="Q194" i="11"/>
  <c r="R194" i="11"/>
  <c r="S194" i="11"/>
  <c r="T194" i="11"/>
  <c r="U194" i="11"/>
  <c r="V194" i="11"/>
  <c r="W194" i="11"/>
  <c r="X194" i="11"/>
  <c r="Y194" i="11"/>
  <c r="AA194" i="11"/>
  <c r="AB194" i="11"/>
  <c r="AC194" i="11"/>
  <c r="AF194" i="11"/>
  <c r="AG194" i="11"/>
  <c r="AH194" i="11"/>
  <c r="AI194" i="11"/>
  <c r="I193" i="11"/>
  <c r="J193" i="11"/>
  <c r="K193" i="11"/>
  <c r="L193" i="11"/>
  <c r="M193" i="11"/>
  <c r="N193" i="11"/>
  <c r="O193" i="11"/>
  <c r="P193" i="11"/>
  <c r="Q193" i="11"/>
  <c r="R193" i="11"/>
  <c r="S193" i="11"/>
  <c r="T193" i="11"/>
  <c r="U193" i="11"/>
  <c r="V193" i="11"/>
  <c r="W193" i="11"/>
  <c r="X193" i="11"/>
  <c r="Z193" i="11"/>
  <c r="AB193" i="11"/>
  <c r="AC193" i="11"/>
  <c r="AD193" i="11"/>
  <c r="AE193" i="11"/>
  <c r="AH193" i="11"/>
  <c r="AI193" i="11"/>
  <c r="AJ193" i="11"/>
  <c r="G31" i="11"/>
  <c r="H17" i="11"/>
  <c r="I17" i="11"/>
  <c r="J17" i="11"/>
  <c r="K17" i="11"/>
  <c r="L17" i="11"/>
  <c r="M17" i="11"/>
  <c r="N17" i="11"/>
  <c r="O17" i="11"/>
  <c r="P17" i="11"/>
  <c r="Q17" i="11"/>
  <c r="R17" i="11"/>
  <c r="S17" i="11"/>
  <c r="T17" i="11"/>
  <c r="U17" i="11"/>
  <c r="G17" i="11"/>
  <c r="O16" i="7"/>
  <c r="G120" i="12"/>
  <c r="H120" i="12"/>
  <c r="I120" i="12"/>
  <c r="J120" i="12"/>
  <c r="K120" i="12"/>
  <c r="M120" i="12"/>
  <c r="G119" i="12"/>
  <c r="H119" i="12"/>
  <c r="I119" i="12"/>
  <c r="J119" i="12"/>
  <c r="K119" i="12"/>
  <c r="L119" i="12"/>
  <c r="M119" i="12"/>
  <c r="N119" i="12"/>
  <c r="G118" i="12"/>
  <c r="H118" i="12"/>
  <c r="I118" i="12"/>
  <c r="J118" i="12"/>
  <c r="K118" i="12"/>
  <c r="L118" i="12"/>
  <c r="M118" i="12"/>
  <c r="N118" i="12"/>
  <c r="G117" i="12"/>
  <c r="H117" i="12"/>
  <c r="I117" i="12"/>
  <c r="J117" i="12"/>
  <c r="K117" i="12"/>
  <c r="L117" i="12"/>
  <c r="M117" i="12"/>
  <c r="N117" i="12"/>
  <c r="G116" i="12"/>
  <c r="H116" i="12"/>
  <c r="I116" i="12"/>
  <c r="J116" i="12"/>
  <c r="K116" i="12"/>
  <c r="L116" i="12"/>
  <c r="M116" i="12"/>
  <c r="N116" i="12"/>
  <c r="K121" i="12" l="1"/>
  <c r="I121" i="12"/>
  <c r="G121" i="12"/>
  <c r="M121" i="12"/>
  <c r="J121" i="12"/>
  <c r="H121" i="12"/>
  <c r="D9" i="9"/>
  <c r="B32" i="9" l="1"/>
  <c r="C123" i="12"/>
  <c r="H48" i="11"/>
  <c r="I48" i="11"/>
  <c r="J48" i="11"/>
  <c r="K48" i="11"/>
  <c r="L48" i="11"/>
  <c r="M48" i="11"/>
  <c r="N48" i="11"/>
  <c r="O48" i="11"/>
  <c r="P48" i="11"/>
  <c r="Q48" i="11"/>
  <c r="R48" i="11"/>
  <c r="S48" i="11"/>
  <c r="T48" i="11"/>
  <c r="U48" i="11"/>
  <c r="V48" i="11"/>
  <c r="W48" i="11"/>
  <c r="X48" i="11"/>
  <c r="Y48" i="11"/>
  <c r="Z48" i="11"/>
  <c r="AA48" i="11"/>
  <c r="AB48" i="11"/>
  <c r="AC48" i="11"/>
  <c r="AD48" i="11"/>
  <c r="AE48" i="11"/>
  <c r="AF48" i="11"/>
  <c r="AG48" i="11"/>
  <c r="AH48" i="11"/>
  <c r="AI48" i="11"/>
  <c r="AJ48" i="11"/>
  <c r="G48" i="11"/>
  <c r="P35" i="10" l="1"/>
  <c r="P33" i="10"/>
  <c r="P36" i="10"/>
  <c r="P34" i="10"/>
  <c r="AI200" i="11"/>
  <c r="AI47" i="11" s="1"/>
  <c r="G35" i="10" s="1"/>
  <c r="AB200" i="11"/>
  <c r="AB47" i="11" s="1"/>
  <c r="G28" i="10" s="1"/>
  <c r="X200" i="11"/>
  <c r="X47" i="11" s="1"/>
  <c r="G24" i="10" s="1"/>
  <c r="V200" i="11"/>
  <c r="V47" i="11" s="1"/>
  <c r="G22" i="10" s="1"/>
  <c r="T200" i="11"/>
  <c r="T47" i="11" s="1"/>
  <c r="G20" i="10" s="1"/>
  <c r="R200" i="11"/>
  <c r="R47" i="11" s="1"/>
  <c r="G18" i="10" s="1"/>
  <c r="P200" i="11"/>
  <c r="P47" i="11" s="1"/>
  <c r="G16" i="10" s="1"/>
  <c r="N200" i="11"/>
  <c r="N47" i="11" s="1"/>
  <c r="G14" i="10" s="1"/>
  <c r="L200" i="11"/>
  <c r="L47" i="11" s="1"/>
  <c r="G12" i="10" s="1"/>
  <c r="J200" i="11"/>
  <c r="J47" i="11" s="1"/>
  <c r="G10" i="10" s="1"/>
  <c r="AH200" i="11"/>
  <c r="AH47" i="11" s="1"/>
  <c r="G34" i="10" s="1"/>
  <c r="AC200" i="11"/>
  <c r="AC47" i="11" s="1"/>
  <c r="G29" i="10" s="1"/>
  <c r="W200" i="11"/>
  <c r="W47" i="11" s="1"/>
  <c r="G23" i="10" s="1"/>
  <c r="S200" i="11"/>
  <c r="S47" i="11" s="1"/>
  <c r="G19" i="10" s="1"/>
  <c r="Q200" i="11"/>
  <c r="Q47" i="11" s="1"/>
  <c r="G17" i="10" s="1"/>
  <c r="O200" i="11"/>
  <c r="O47" i="11" s="1"/>
  <c r="G15" i="10" s="1"/>
  <c r="M200" i="11"/>
  <c r="M47" i="11" s="1"/>
  <c r="G13" i="10" s="1"/>
  <c r="K200" i="11"/>
  <c r="K47" i="11" s="1"/>
  <c r="G11" i="10" s="1"/>
  <c r="I200" i="11"/>
  <c r="I47" i="11" s="1"/>
  <c r="G9" i="10" s="1"/>
  <c r="B72" i="11" l="1"/>
  <c r="F120" i="12"/>
  <c r="F119" i="12"/>
  <c r="F118" i="12"/>
  <c r="F117" i="12"/>
  <c r="F116" i="12"/>
  <c r="C108" i="12"/>
  <c r="C101" i="12"/>
  <c r="D101" i="12" s="1"/>
  <c r="C76" i="12"/>
  <c r="C118" i="12" s="1"/>
  <c r="C51" i="12"/>
  <c r="D51" i="12" s="1"/>
  <c r="C26" i="12"/>
  <c r="C19" i="9"/>
  <c r="H129" i="11"/>
  <c r="I129" i="11"/>
  <c r="J129" i="11"/>
  <c r="K129" i="11"/>
  <c r="L129" i="11"/>
  <c r="M129" i="11"/>
  <c r="N129" i="11"/>
  <c r="O129" i="11"/>
  <c r="Q129" i="11"/>
  <c r="S129" i="11"/>
  <c r="T129" i="11"/>
  <c r="U129" i="11"/>
  <c r="V129" i="11"/>
  <c r="W129" i="11"/>
  <c r="X129" i="11"/>
  <c r="Y129" i="11"/>
  <c r="Z129" i="11"/>
  <c r="AA129" i="11"/>
  <c r="AB129" i="11"/>
  <c r="AC129" i="11"/>
  <c r="AD129" i="11"/>
  <c r="AE129" i="11"/>
  <c r="AF129" i="11"/>
  <c r="AG129" i="11"/>
  <c r="AH129" i="11"/>
  <c r="AI129" i="11"/>
  <c r="AJ129" i="11"/>
  <c r="H132" i="11"/>
  <c r="I132" i="11"/>
  <c r="J132" i="11"/>
  <c r="K132" i="11"/>
  <c r="L132" i="11"/>
  <c r="M132" i="11"/>
  <c r="N132" i="11"/>
  <c r="O132" i="11"/>
  <c r="P132" i="11"/>
  <c r="Q132" i="11"/>
  <c r="R132" i="11"/>
  <c r="S132" i="11"/>
  <c r="T132" i="11"/>
  <c r="U132" i="11"/>
  <c r="V132" i="11"/>
  <c r="W132" i="11"/>
  <c r="X132" i="11"/>
  <c r="Y132" i="11"/>
  <c r="AA132" i="11"/>
  <c r="AB132" i="11"/>
  <c r="AC132" i="11"/>
  <c r="AD132" i="11"/>
  <c r="AE132" i="11"/>
  <c r="AF132" i="11"/>
  <c r="AG132" i="11"/>
  <c r="AH132" i="11"/>
  <c r="AI132" i="11"/>
  <c r="AJ132" i="11"/>
  <c r="G132" i="11"/>
  <c r="G133" i="11" s="1"/>
  <c r="G134" i="11" s="1"/>
  <c r="G129" i="11"/>
  <c r="G130" i="11" s="1"/>
  <c r="Z132" i="11"/>
  <c r="P129" i="11"/>
  <c r="H10" i="11"/>
  <c r="H9" i="11"/>
  <c r="W104" i="11"/>
  <c r="X104" i="11"/>
  <c r="Y104" i="11"/>
  <c r="Z104" i="11"/>
  <c r="AA104" i="11"/>
  <c r="AB104" i="11"/>
  <c r="AC104" i="11"/>
  <c r="AD104" i="11"/>
  <c r="AE104" i="11"/>
  <c r="AF104" i="11"/>
  <c r="AG104" i="11"/>
  <c r="AH104" i="11"/>
  <c r="AI104" i="11"/>
  <c r="AJ104" i="11"/>
  <c r="M103" i="11"/>
  <c r="N103" i="11"/>
  <c r="O103" i="11"/>
  <c r="P103" i="11"/>
  <c r="Q103" i="11"/>
  <c r="R103" i="11"/>
  <c r="S103" i="11"/>
  <c r="T103" i="11"/>
  <c r="U103" i="11"/>
  <c r="V103" i="11"/>
  <c r="W103" i="11"/>
  <c r="X103" i="11"/>
  <c r="Y103" i="11"/>
  <c r="Z103" i="11"/>
  <c r="AA103" i="11"/>
  <c r="AB103" i="11"/>
  <c r="AC103" i="11"/>
  <c r="AD103" i="11"/>
  <c r="AE103" i="11"/>
  <c r="AF103" i="11"/>
  <c r="AG103" i="11"/>
  <c r="AH103" i="11"/>
  <c r="AI103" i="11"/>
  <c r="AJ103" i="11"/>
  <c r="F81" i="11"/>
  <c r="H26" i="11"/>
  <c r="H8" i="11"/>
  <c r="H4" i="11"/>
  <c r="P53" i="7"/>
  <c r="F87" i="11"/>
  <c r="AJ105" i="11"/>
  <c r="AI105" i="11"/>
  <c r="AH105" i="11"/>
  <c r="AG105" i="11"/>
  <c r="AF105" i="11"/>
  <c r="AE105" i="11"/>
  <c r="AD105" i="11"/>
  <c r="AC105" i="11"/>
  <c r="AB105" i="11"/>
  <c r="H33" i="11" l="1"/>
  <c r="H28" i="11"/>
  <c r="I26" i="11"/>
  <c r="H31" i="11"/>
  <c r="I9" i="11"/>
  <c r="D26" i="12"/>
  <c r="D116" i="12" s="1"/>
  <c r="C107" i="12"/>
  <c r="L120" i="12" s="1"/>
  <c r="L121" i="12" s="1"/>
  <c r="R129" i="11"/>
  <c r="F121" i="12"/>
  <c r="C106" i="12"/>
  <c r="D117" i="12"/>
  <c r="D119" i="12"/>
  <c r="C117" i="12"/>
  <c r="C119" i="12"/>
  <c r="D76" i="12"/>
  <c r="D118" i="12" s="1"/>
  <c r="C116" i="12"/>
  <c r="G131" i="11"/>
  <c r="H130" i="11"/>
  <c r="H131" i="11" s="1"/>
  <c r="H133" i="11"/>
  <c r="H134" i="11" s="1"/>
  <c r="I10" i="11"/>
  <c r="F27" i="7"/>
  <c r="P51" i="7"/>
  <c r="I8" i="11"/>
  <c r="I4" i="11"/>
  <c r="I33" i="11" l="1"/>
  <c r="I28" i="11"/>
  <c r="J26" i="11"/>
  <c r="I31" i="11"/>
  <c r="C130" i="12"/>
  <c r="C131" i="12" s="1"/>
  <c r="C132" i="12" s="1"/>
  <c r="C133" i="12" s="1"/>
  <c r="C134" i="12" s="1"/>
  <c r="C135" i="12" s="1"/>
  <c r="C136" i="12" s="1"/>
  <c r="C137" i="12" s="1"/>
  <c r="C138" i="12" s="1"/>
  <c r="C139" i="12" s="1"/>
  <c r="C140" i="12" s="1"/>
  <c r="C141" i="12" s="1"/>
  <c r="C142" i="12" s="1"/>
  <c r="C143" i="12" s="1"/>
  <c r="C144" i="12" s="1"/>
  <c r="C145" i="12" s="1"/>
  <c r="C146" i="12" s="1"/>
  <c r="C147" i="12" s="1"/>
  <c r="C148" i="12" s="1"/>
  <c r="C149" i="12" s="1"/>
  <c r="C150" i="12" s="1"/>
  <c r="C151" i="12" s="1"/>
  <c r="C152" i="12" s="1"/>
  <c r="C153" i="12" s="1"/>
  <c r="C154" i="12" s="1"/>
  <c r="C155" i="12" s="1"/>
  <c r="C156" i="12" s="1"/>
  <c r="C157" i="12" s="1"/>
  <c r="C158" i="12" s="1"/>
  <c r="G48" i="7"/>
  <c r="J9" i="11"/>
  <c r="J8" i="11"/>
  <c r="I130" i="11"/>
  <c r="I133" i="11"/>
  <c r="I134" i="11" s="1"/>
  <c r="J10" i="11"/>
  <c r="J4" i="11"/>
  <c r="J33" i="11" l="1"/>
  <c r="J28" i="11"/>
  <c r="K26" i="11"/>
  <c r="J31" i="11"/>
  <c r="K9" i="11"/>
  <c r="K8" i="11"/>
  <c r="J130" i="11"/>
  <c r="I131" i="11"/>
  <c r="J133" i="11"/>
  <c r="J134" i="11" s="1"/>
  <c r="K10" i="11"/>
  <c r="K4" i="11"/>
  <c r="K33" i="11" l="1"/>
  <c r="K28" i="11"/>
  <c r="L26" i="11"/>
  <c r="K31" i="11"/>
  <c r="L9" i="11"/>
  <c r="L8" i="11"/>
  <c r="K130" i="11"/>
  <c r="J131" i="11"/>
  <c r="K133" i="11"/>
  <c r="K134" i="11" s="1"/>
  <c r="L10" i="11"/>
  <c r="L4" i="11"/>
  <c r="L33" i="11" l="1"/>
  <c r="L28" i="11"/>
  <c r="M26" i="11"/>
  <c r="L31" i="11"/>
  <c r="M9" i="11"/>
  <c r="M8" i="11"/>
  <c r="L130" i="11"/>
  <c r="K131" i="11"/>
  <c r="L133" i="11"/>
  <c r="L134" i="11" s="1"/>
  <c r="M10" i="11"/>
  <c r="M4" i="11"/>
  <c r="M33" i="11" l="1"/>
  <c r="M28" i="11"/>
  <c r="N26" i="11"/>
  <c r="M31" i="11"/>
  <c r="N9" i="11"/>
  <c r="N8" i="11"/>
  <c r="M130" i="11"/>
  <c r="L131" i="11"/>
  <c r="M133" i="11"/>
  <c r="M134" i="11" s="1"/>
  <c r="N10" i="11"/>
  <c r="N4" i="11"/>
  <c r="N33" i="11" l="1"/>
  <c r="N28" i="11"/>
  <c r="O26" i="11"/>
  <c r="N31" i="11"/>
  <c r="O9" i="11"/>
  <c r="O8" i="11"/>
  <c r="N130" i="11"/>
  <c r="M131" i="11"/>
  <c r="N133" i="11"/>
  <c r="N134" i="11" s="1"/>
  <c r="O10" i="11"/>
  <c r="O4" i="11"/>
  <c r="O33" i="11" l="1"/>
  <c r="O28" i="11"/>
  <c r="P26" i="11"/>
  <c r="O31" i="11"/>
  <c r="P9" i="11"/>
  <c r="P8" i="11"/>
  <c r="O130" i="11"/>
  <c r="N131" i="11"/>
  <c r="O133" i="11"/>
  <c r="O134" i="11" s="1"/>
  <c r="P10" i="11"/>
  <c r="P4" i="11"/>
  <c r="P33" i="11" l="1"/>
  <c r="P28" i="11"/>
  <c r="Q26" i="11"/>
  <c r="P31" i="11"/>
  <c r="Q9" i="11"/>
  <c r="R9" i="11" s="1"/>
  <c r="S9" i="11" s="1"/>
  <c r="T9" i="11" s="1"/>
  <c r="U9" i="11" s="1"/>
  <c r="V9" i="11" s="1"/>
  <c r="W9" i="11" s="1"/>
  <c r="X9" i="11" s="1"/>
  <c r="Y9" i="11" s="1"/>
  <c r="Z9" i="11" s="1"/>
  <c r="AA9" i="11" s="1"/>
  <c r="AB9" i="11" s="1"/>
  <c r="AC9" i="11" s="1"/>
  <c r="AD9" i="11" s="1"/>
  <c r="AE9" i="11" s="1"/>
  <c r="AF9" i="11" s="1"/>
  <c r="AG9" i="11" s="1"/>
  <c r="AH9" i="11" s="1"/>
  <c r="AI9" i="11" s="1"/>
  <c r="AJ9" i="11" s="1"/>
  <c r="O131" i="11"/>
  <c r="P130" i="11"/>
  <c r="Q8" i="11"/>
  <c r="P133" i="11"/>
  <c r="P134" i="11" s="1"/>
  <c r="Q10" i="11"/>
  <c r="R10" i="11" s="1"/>
  <c r="S10" i="11" s="1"/>
  <c r="T10" i="11" s="1"/>
  <c r="U10" i="11" s="1"/>
  <c r="V10" i="11" s="1"/>
  <c r="W10" i="11" s="1"/>
  <c r="X10" i="11" s="1"/>
  <c r="Y10" i="11" s="1"/>
  <c r="Z10" i="11" s="1"/>
  <c r="AA10" i="11" s="1"/>
  <c r="AB10" i="11" s="1"/>
  <c r="AC10" i="11" s="1"/>
  <c r="AD10" i="11" s="1"/>
  <c r="AE10" i="11" s="1"/>
  <c r="AF10" i="11" s="1"/>
  <c r="AG10" i="11" s="1"/>
  <c r="AH10" i="11" s="1"/>
  <c r="AI10" i="11" s="1"/>
  <c r="AJ10" i="11" s="1"/>
  <c r="Q4" i="11"/>
  <c r="Q33" i="11" l="1"/>
  <c r="Q28" i="11"/>
  <c r="R26" i="11"/>
  <c r="Q31" i="11"/>
  <c r="P131" i="11"/>
  <c r="Q130" i="11"/>
  <c r="R8" i="11"/>
  <c r="Q133" i="11"/>
  <c r="Q134" i="11" s="1"/>
  <c r="R4" i="11"/>
  <c r="R33" i="11" l="1"/>
  <c r="R28" i="11"/>
  <c r="S26" i="11"/>
  <c r="R31" i="11"/>
  <c r="Q131" i="11"/>
  <c r="R130" i="11"/>
  <c r="S8" i="11"/>
  <c r="R133" i="11"/>
  <c r="R134" i="11" s="1"/>
  <c r="S4" i="11"/>
  <c r="S33" i="11" l="1"/>
  <c r="S28" i="11"/>
  <c r="T26" i="11"/>
  <c r="S31" i="11"/>
  <c r="R131" i="11"/>
  <c r="S130" i="11"/>
  <c r="T8" i="11"/>
  <c r="S133" i="11"/>
  <c r="S134" i="11" s="1"/>
  <c r="T4" i="11"/>
  <c r="T33" i="11" l="1"/>
  <c r="T28" i="11"/>
  <c r="U26" i="11"/>
  <c r="T31" i="11"/>
  <c r="S131" i="11"/>
  <c r="T130" i="11"/>
  <c r="U8" i="11"/>
  <c r="T133" i="11"/>
  <c r="T134" i="11" s="1"/>
  <c r="U4" i="11"/>
  <c r="U33" i="11" l="1"/>
  <c r="U28" i="11"/>
  <c r="V26" i="11"/>
  <c r="U31" i="11"/>
  <c r="T131" i="11"/>
  <c r="U130" i="11"/>
  <c r="V8" i="11"/>
  <c r="U133" i="11"/>
  <c r="U134" i="11" s="1"/>
  <c r="V4" i="11"/>
  <c r="V33" i="11" l="1"/>
  <c r="V28" i="11"/>
  <c r="W26" i="11"/>
  <c r="V31" i="11"/>
  <c r="V130" i="11"/>
  <c r="U131" i="11"/>
  <c r="W8" i="11"/>
  <c r="V133" i="11"/>
  <c r="V134" i="11" s="1"/>
  <c r="W4" i="11"/>
  <c r="W33" i="11" l="1"/>
  <c r="W28" i="11"/>
  <c r="X26" i="11"/>
  <c r="W31" i="11"/>
  <c r="V131" i="11"/>
  <c r="W130" i="11"/>
  <c r="X8" i="11"/>
  <c r="W133" i="11"/>
  <c r="W134" i="11" s="1"/>
  <c r="X4" i="11"/>
  <c r="X33" i="11" l="1"/>
  <c r="X28" i="11"/>
  <c r="Y26" i="11"/>
  <c r="X31" i="11"/>
  <c r="W131" i="11"/>
  <c r="X130" i="11"/>
  <c r="Y8" i="11"/>
  <c r="X133" i="11"/>
  <c r="X134" i="11" s="1"/>
  <c r="Y4" i="11"/>
  <c r="Y33" i="11" l="1"/>
  <c r="Y28" i="11"/>
  <c r="Z26" i="11"/>
  <c r="Y31" i="11"/>
  <c r="Y130" i="11"/>
  <c r="X131" i="11"/>
  <c r="Z8" i="11"/>
  <c r="Y133" i="11"/>
  <c r="Z4" i="11"/>
  <c r="Z33" i="11" l="1"/>
  <c r="Z28" i="11"/>
  <c r="AA26" i="11"/>
  <c r="Z31" i="11"/>
  <c r="Y134" i="11"/>
  <c r="Z133" i="11"/>
  <c r="Y131" i="11"/>
  <c r="Z130" i="11"/>
  <c r="AA8" i="11"/>
  <c r="AA4" i="11"/>
  <c r="AA33" i="11" l="1"/>
  <c r="AA28" i="11"/>
  <c r="AB26" i="11"/>
  <c r="AA31" i="11"/>
  <c r="Z131" i="11"/>
  <c r="AA130" i="11"/>
  <c r="Z134" i="11"/>
  <c r="AA133" i="11"/>
  <c r="AB8" i="11"/>
  <c r="AB4" i="11"/>
  <c r="AB33" i="11" l="1"/>
  <c r="AB28" i="11"/>
  <c r="AC26" i="11"/>
  <c r="AB31" i="11"/>
  <c r="AA134" i="11"/>
  <c r="AB133" i="11"/>
  <c r="AB130" i="11"/>
  <c r="AA131" i="11"/>
  <c r="AC8" i="11"/>
  <c r="AC4" i="11"/>
  <c r="AC33" i="11" l="1"/>
  <c r="AC28" i="11"/>
  <c r="AD26" i="11"/>
  <c r="AC31" i="11"/>
  <c r="AB134" i="11"/>
  <c r="AC133" i="11"/>
  <c r="AC130" i="11"/>
  <c r="AB131" i="11"/>
  <c r="AD8" i="11"/>
  <c r="AD4" i="11"/>
  <c r="AD33" i="11" l="1"/>
  <c r="AD28" i="11"/>
  <c r="AE26" i="11"/>
  <c r="AD31" i="11"/>
  <c r="AC134" i="11"/>
  <c r="AD133" i="11"/>
  <c r="AC131" i="11"/>
  <c r="AD130" i="11"/>
  <c r="AE8" i="11"/>
  <c r="AE4" i="11"/>
  <c r="AE33" i="11" l="1"/>
  <c r="AE28" i="11"/>
  <c r="AF26" i="11"/>
  <c r="AE31" i="11"/>
  <c r="AE130" i="11"/>
  <c r="AD131" i="11"/>
  <c r="AD134" i="11"/>
  <c r="AE133" i="11"/>
  <c r="AF8" i="11"/>
  <c r="AG8" i="11" s="1"/>
  <c r="AH8" i="11" s="1"/>
  <c r="AI8" i="11" s="1"/>
  <c r="AJ8" i="11" s="1"/>
  <c r="AF4" i="11"/>
  <c r="AG26" i="11" l="1"/>
  <c r="AF31" i="11"/>
  <c r="AE134" i="11"/>
  <c r="AF133" i="11"/>
  <c r="AF130" i="11"/>
  <c r="AE131" i="11"/>
  <c r="AG4" i="11"/>
  <c r="AH26" i="11" l="1"/>
  <c r="AG31" i="11"/>
  <c r="AF134" i="11"/>
  <c r="AG133" i="11"/>
  <c r="AF131" i="11"/>
  <c r="AG130" i="11"/>
  <c r="AH4" i="11"/>
  <c r="AI26" i="11" l="1"/>
  <c r="AH31" i="11"/>
  <c r="AH130" i="11"/>
  <c r="AG131" i="11"/>
  <c r="AG134" i="11"/>
  <c r="AH133" i="11"/>
  <c r="AI4" i="11"/>
  <c r="AJ26" i="11" l="1"/>
  <c r="AI31" i="11"/>
  <c r="AH134" i="11"/>
  <c r="AI133" i="11"/>
  <c r="AI130" i="11"/>
  <c r="AH131" i="11"/>
  <c r="AJ4" i="11"/>
  <c r="AJ31" i="11" l="1"/>
  <c r="AI134" i="11"/>
  <c r="AJ133" i="11"/>
  <c r="AJ134" i="11" s="1"/>
  <c r="AI131" i="11"/>
  <c r="AJ130" i="11"/>
  <c r="AJ131" i="11" s="1"/>
  <c r="B80" i="12" l="1"/>
  <c r="B34" i="9"/>
  <c r="B31" i="9"/>
  <c r="B30" i="9"/>
  <c r="D35" i="9"/>
  <c r="D31" i="9"/>
  <c r="D32" i="9"/>
  <c r="B35" i="9"/>
  <c r="B22" i="9"/>
  <c r="D19" i="9"/>
  <c r="D22" i="9"/>
  <c r="D17" i="9"/>
  <c r="D30" i="9"/>
  <c r="G78" i="7"/>
  <c r="D34" i="9" l="1"/>
  <c r="D33" i="9"/>
  <c r="D37" i="9"/>
  <c r="D36" i="9"/>
  <c r="AF5" i="11"/>
  <c r="AF21" i="11" s="1"/>
  <c r="AH5" i="11"/>
  <c r="AH21" i="11" s="1"/>
  <c r="AJ5" i="11"/>
  <c r="AJ21" i="11" s="1"/>
  <c r="AG5" i="11"/>
  <c r="AG21" i="11" s="1"/>
  <c r="AI5" i="11"/>
  <c r="AI21" i="11" s="1"/>
  <c r="H5" i="11"/>
  <c r="I5" i="11"/>
  <c r="J5" i="11"/>
  <c r="K5" i="11"/>
  <c r="L5" i="11"/>
  <c r="M5" i="11"/>
  <c r="N5" i="11"/>
  <c r="O5" i="11"/>
  <c r="P5" i="11"/>
  <c r="Q5" i="11"/>
  <c r="R5" i="11"/>
  <c r="S5" i="11"/>
  <c r="T5" i="11"/>
  <c r="U5" i="11"/>
  <c r="V5" i="11"/>
  <c r="V21" i="11" s="1"/>
  <c r="W5" i="11"/>
  <c r="W21" i="11" s="1"/>
  <c r="X5" i="11"/>
  <c r="X21" i="11" s="1"/>
  <c r="Y5" i="11"/>
  <c r="Y21" i="11" s="1"/>
  <c r="Z5" i="11"/>
  <c r="Z21" i="11" s="1"/>
  <c r="AA5" i="11"/>
  <c r="AA21" i="11" s="1"/>
  <c r="AB5" i="11"/>
  <c r="AB21" i="11" s="1"/>
  <c r="AC5" i="11"/>
  <c r="AC21" i="11" s="1"/>
  <c r="AD5" i="11"/>
  <c r="AD21" i="11" s="1"/>
  <c r="AE5" i="11"/>
  <c r="AE21" i="11" s="1"/>
  <c r="G5" i="11"/>
  <c r="G21" i="11" l="1"/>
  <c r="G178" i="11"/>
  <c r="P21" i="11"/>
  <c r="P178" i="11"/>
  <c r="P180" i="11" s="1"/>
  <c r="N21" i="11"/>
  <c r="N178" i="11"/>
  <c r="N180" i="11" s="1"/>
  <c r="L21" i="11"/>
  <c r="L178" i="11"/>
  <c r="L180" i="11" s="1"/>
  <c r="J21" i="11"/>
  <c r="J178" i="11"/>
  <c r="H21" i="11"/>
  <c r="H178" i="11"/>
  <c r="O21" i="11"/>
  <c r="O178" i="11"/>
  <c r="O180" i="11" s="1"/>
  <c r="M21" i="11"/>
  <c r="M178" i="11"/>
  <c r="M180" i="11" s="1"/>
  <c r="K21" i="11"/>
  <c r="K178" i="11"/>
  <c r="I21" i="11"/>
  <c r="I178" i="11"/>
  <c r="U29" i="11"/>
  <c r="U21" i="11"/>
  <c r="S29" i="11"/>
  <c r="S21" i="11"/>
  <c r="Q29" i="11"/>
  <c r="Q21" i="11"/>
  <c r="T29" i="11"/>
  <c r="T21" i="11"/>
  <c r="R29" i="11"/>
  <c r="R21" i="11"/>
  <c r="AG29" i="11"/>
  <c r="AG17" i="11"/>
  <c r="AG19" i="11"/>
  <c r="AI29" i="11"/>
  <c r="AI19" i="11"/>
  <c r="AI17" i="11"/>
  <c r="AJ29" i="11"/>
  <c r="AJ19" i="11"/>
  <c r="AJ17" i="11"/>
  <c r="AF29" i="11"/>
  <c r="AF17" i="11"/>
  <c r="AF19" i="11"/>
  <c r="AH29" i="11"/>
  <c r="AH17" i="11"/>
  <c r="AH19" i="11"/>
  <c r="AE29" i="11"/>
  <c r="AE17" i="11"/>
  <c r="AA29" i="11"/>
  <c r="AA17" i="11"/>
  <c r="AD29" i="11"/>
  <c r="AD17" i="11"/>
  <c r="AB29" i="11"/>
  <c r="AB17" i="11"/>
  <c r="AC29" i="11"/>
  <c r="AC17" i="11"/>
  <c r="O29" i="11"/>
  <c r="K29" i="11"/>
  <c r="P29" i="11"/>
  <c r="N29" i="11"/>
  <c r="L29" i="11"/>
  <c r="J29" i="11"/>
  <c r="H29" i="11"/>
  <c r="G29" i="11"/>
  <c r="M29" i="11"/>
  <c r="I29" i="11"/>
  <c r="Z17" i="11"/>
  <c r="Z29" i="11"/>
  <c r="X17" i="11"/>
  <c r="X29" i="11"/>
  <c r="V17" i="11"/>
  <c r="V29" i="11"/>
  <c r="Y17" i="11"/>
  <c r="Y29" i="11"/>
  <c r="W17" i="11"/>
  <c r="W29" i="11"/>
  <c r="AE19" i="11"/>
  <c r="AC19" i="11"/>
  <c r="AA19" i="11"/>
  <c r="AD19" i="11"/>
  <c r="AB19" i="11"/>
  <c r="Z19" i="11"/>
  <c r="X19" i="11"/>
  <c r="V19" i="11"/>
  <c r="T19" i="11"/>
  <c r="P19" i="11"/>
  <c r="N19" i="11"/>
  <c r="L19" i="11"/>
  <c r="J19" i="11"/>
  <c r="H19" i="11"/>
  <c r="Y19" i="11"/>
  <c r="W19" i="11"/>
  <c r="U19" i="11"/>
  <c r="S19" i="11"/>
  <c r="Q19" i="11"/>
  <c r="O19" i="11"/>
  <c r="M19" i="11"/>
  <c r="K19" i="11"/>
  <c r="I19" i="11"/>
  <c r="G19" i="11"/>
  <c r="R19" i="11"/>
  <c r="B105" i="12"/>
  <c r="F25" i="7" l="1"/>
  <c r="B55" i="12"/>
  <c r="B30" i="12"/>
  <c r="B5" i="12"/>
  <c r="AH86" i="11" l="1"/>
  <c r="AJ86" i="11"/>
  <c r="AH87" i="11"/>
  <c r="AJ87" i="11"/>
  <c r="AG86" i="11"/>
  <c r="AI86" i="11"/>
  <c r="AG87" i="11"/>
  <c r="AI87" i="11"/>
  <c r="AG92" i="11" l="1"/>
  <c r="AG46" i="11"/>
  <c r="AI43" i="11"/>
  <c r="AI85" i="11"/>
  <c r="F35" i="10" s="1"/>
  <c r="AH92" i="11"/>
  <c r="AH46" i="11"/>
  <c r="AJ43" i="11"/>
  <c r="AJ85" i="11"/>
  <c r="F36" i="10" s="1"/>
  <c r="AI92" i="11"/>
  <c r="AI46" i="11"/>
  <c r="AG43" i="11"/>
  <c r="AG85" i="11"/>
  <c r="F33" i="10" s="1"/>
  <c r="AJ92" i="11"/>
  <c r="AJ46" i="11"/>
  <c r="AH43" i="11"/>
  <c r="AH85" i="11"/>
  <c r="F34" i="10" s="1"/>
  <c r="U200" i="11" l="1"/>
  <c r="U47" i="11" s="1"/>
  <c r="G21" i="10" s="1"/>
  <c r="J215" i="11" l="1"/>
  <c r="N215" i="11" s="1"/>
  <c r="N205" i="11" l="1"/>
  <c r="N206" i="11" s="1"/>
  <c r="N207" i="11" s="1"/>
  <c r="N208" i="11" s="1"/>
  <c r="N209" i="11" s="1"/>
  <c r="N210" i="11" s="1"/>
  <c r="N211" i="11" s="1"/>
  <c r="N212" i="11" s="1"/>
  <c r="N213" i="11" s="1"/>
  <c r="N214" i="11" s="1"/>
  <c r="S204" i="11" l="1"/>
  <c r="R204" i="11"/>
  <c r="G72" i="11" l="1"/>
  <c r="G12" i="11" s="1"/>
  <c r="G13" i="11" l="1"/>
  <c r="H13" i="11" s="1"/>
  <c r="I13" i="11" s="1"/>
  <c r="J13" i="11" s="1"/>
  <c r="K13" i="11" s="1"/>
  <c r="L13" i="11" s="1"/>
  <c r="M13" i="11" s="1"/>
  <c r="N13" i="11" s="1"/>
  <c r="O13" i="11" s="1"/>
  <c r="P13" i="11" s="1"/>
  <c r="Q13" i="11" s="1"/>
  <c r="R13" i="11" s="1"/>
  <c r="S13" i="11" s="1"/>
  <c r="T13" i="11" s="1"/>
  <c r="U13" i="11" s="1"/>
  <c r="V13" i="11" s="1"/>
  <c r="W13" i="11" s="1"/>
  <c r="X13" i="11" s="1"/>
  <c r="Y13" i="11" s="1"/>
  <c r="Z13" i="11" s="1"/>
  <c r="AA13" i="11" s="1"/>
  <c r="AB13" i="11" s="1"/>
  <c r="AC13" i="11" s="1"/>
  <c r="AD13" i="11" s="1"/>
  <c r="AE13" i="11" s="1"/>
  <c r="AF13" i="11" s="1"/>
  <c r="AG13" i="11" s="1"/>
  <c r="AH13" i="11" s="1"/>
  <c r="AI13" i="11" s="1"/>
  <c r="AJ13" i="11" s="1"/>
  <c r="D7" i="9"/>
  <c r="H12" i="11"/>
  <c r="I12" i="11" s="1"/>
  <c r="G14" i="11" l="1"/>
  <c r="C7" i="10" s="1"/>
  <c r="H14" i="11"/>
  <c r="C8" i="10" s="1"/>
  <c r="I14" i="11"/>
  <c r="J12" i="11"/>
  <c r="G15" i="11" l="1"/>
  <c r="G34" i="11" s="1"/>
  <c r="G43" i="7" s="1"/>
  <c r="H15" i="11"/>
  <c r="H34" i="11" s="1"/>
  <c r="K12" i="11"/>
  <c r="J14" i="11"/>
  <c r="I15" i="11"/>
  <c r="C9" i="10"/>
  <c r="I34" i="11" l="1"/>
  <c r="L12" i="11"/>
  <c r="K14" i="11"/>
  <c r="J15" i="11"/>
  <c r="J34" i="11" s="1"/>
  <c r="C10" i="10"/>
  <c r="M12" i="11" l="1"/>
  <c r="L14" i="11"/>
  <c r="K15" i="11"/>
  <c r="K34" i="11" s="1"/>
  <c r="C11" i="10"/>
  <c r="L15" i="11" l="1"/>
  <c r="L34" i="11" s="1"/>
  <c r="C12" i="10"/>
  <c r="N12" i="11"/>
  <c r="M14" i="11"/>
  <c r="C13" i="10" l="1"/>
  <c r="M15" i="11"/>
  <c r="M34" i="11" s="1"/>
  <c r="O12" i="11"/>
  <c r="N14" i="11"/>
  <c r="C14" i="10" l="1"/>
  <c r="N15" i="11"/>
  <c r="N34" i="11" s="1"/>
  <c r="O14" i="11"/>
  <c r="P12" i="11"/>
  <c r="P14" i="11" l="1"/>
  <c r="Q12" i="11"/>
  <c r="C15" i="10"/>
  <c r="O15" i="11"/>
  <c r="O34" i="11" s="1"/>
  <c r="P15" i="11" l="1"/>
  <c r="P34" i="11" s="1"/>
  <c r="C16" i="10"/>
  <c r="Q14" i="11"/>
  <c r="R12" i="11"/>
  <c r="S12" i="11" l="1"/>
  <c r="R14" i="11"/>
  <c r="C17" i="10"/>
  <c r="Q15" i="11"/>
  <c r="Q34" i="11" s="1"/>
  <c r="C18" i="10" l="1"/>
  <c r="R15" i="11"/>
  <c r="R34" i="11" s="1"/>
  <c r="T12" i="11"/>
  <c r="S14" i="11"/>
  <c r="U12" i="11" l="1"/>
  <c r="T14" i="11"/>
  <c r="C19" i="10"/>
  <c r="S15" i="11"/>
  <c r="S34" i="11" s="1"/>
  <c r="T15" i="11" l="1"/>
  <c r="T34" i="11" s="1"/>
  <c r="C20" i="10"/>
  <c r="V12" i="11"/>
  <c r="U14" i="11"/>
  <c r="V14" i="11" l="1"/>
  <c r="W12" i="11"/>
  <c r="U15" i="11"/>
  <c r="U34" i="11" s="1"/>
  <c r="C21" i="10"/>
  <c r="V15" i="11" l="1"/>
  <c r="V34" i="11" s="1"/>
  <c r="C22" i="10"/>
  <c r="W14" i="11"/>
  <c r="X12" i="11"/>
  <c r="X14" i="11" l="1"/>
  <c r="Y12" i="11"/>
  <c r="W15" i="11"/>
  <c r="W34" i="11" s="1"/>
  <c r="C23" i="10"/>
  <c r="X15" i="11" l="1"/>
  <c r="X34" i="11" s="1"/>
  <c r="C24" i="10"/>
  <c r="Y14" i="11"/>
  <c r="Z12" i="11"/>
  <c r="Y15" i="11" l="1"/>
  <c r="Y34" i="11" s="1"/>
  <c r="C25" i="10"/>
  <c r="AA12" i="11"/>
  <c r="Z14" i="11"/>
  <c r="AA14" i="11" l="1"/>
  <c r="AB12" i="11"/>
  <c r="Z15" i="11"/>
  <c r="Z34" i="11" s="1"/>
  <c r="C26" i="10"/>
  <c r="AC12" i="11" l="1"/>
  <c r="AB14" i="11"/>
  <c r="C27" i="10"/>
  <c r="AA15" i="11"/>
  <c r="AA34" i="11" s="1"/>
  <c r="AB15" i="11" l="1"/>
  <c r="AB34" i="11" s="1"/>
  <c r="C28" i="10"/>
  <c r="AC14" i="11"/>
  <c r="AD12" i="11"/>
  <c r="AC15" i="11" l="1"/>
  <c r="AC34" i="11" s="1"/>
  <c r="C29" i="10"/>
  <c r="AE12" i="11"/>
  <c r="AD14" i="11"/>
  <c r="AE14" i="11" l="1"/>
  <c r="AE15" i="11" s="1"/>
  <c r="AE34" i="11" s="1"/>
  <c r="AF12" i="11"/>
  <c r="AD15" i="11"/>
  <c r="AD34" i="11" s="1"/>
  <c r="C30" i="10"/>
  <c r="C31" i="10" l="1"/>
  <c r="AF14" i="11"/>
  <c r="AG12" i="11"/>
  <c r="AH12" i="11" l="1"/>
  <c r="AG14" i="11"/>
  <c r="AF15" i="11"/>
  <c r="AF34" i="11" s="1"/>
  <c r="C32" i="10"/>
  <c r="AD194" i="11"/>
  <c r="AD200" i="11" s="1"/>
  <c r="AD47" i="11" s="1"/>
  <c r="G30" i="10" s="1"/>
  <c r="C33" i="10" l="1"/>
  <c r="AG15" i="11"/>
  <c r="AG34" i="11" s="1"/>
  <c r="AI12" i="11"/>
  <c r="AH14" i="11"/>
  <c r="AF86" i="11"/>
  <c r="AE86" i="11"/>
  <c r="AD86" i="11"/>
  <c r="AB87" i="11"/>
  <c r="AF87" i="11"/>
  <c r="AC86" i="11"/>
  <c r="AA87" i="11"/>
  <c r="AE87" i="11"/>
  <c r="AB86" i="11"/>
  <c r="AD87" i="11"/>
  <c r="AA86" i="11"/>
  <c r="AC87" i="11"/>
  <c r="AJ12" i="11" l="1"/>
  <c r="AJ14" i="11" s="1"/>
  <c r="AI14" i="11"/>
  <c r="C34" i="10"/>
  <c r="AH15" i="11"/>
  <c r="AH34" i="11" s="1"/>
  <c r="AA43" i="11"/>
  <c r="AA85" i="11"/>
  <c r="F27" i="10" s="1"/>
  <c r="AB85" i="11"/>
  <c r="F28" i="10" s="1"/>
  <c r="AB43" i="11"/>
  <c r="AA92" i="11"/>
  <c r="AA46" i="11"/>
  <c r="AF46" i="11"/>
  <c r="AF92" i="11"/>
  <c r="AD85" i="11"/>
  <c r="F30" i="10" s="1"/>
  <c r="AD43" i="11"/>
  <c r="AF85" i="11"/>
  <c r="F32" i="10" s="1"/>
  <c r="AF43" i="11"/>
  <c r="AC92" i="11"/>
  <c r="AC46" i="11"/>
  <c r="AD46" i="11"/>
  <c r="AD92" i="11"/>
  <c r="AE92" i="11"/>
  <c r="AE46" i="11"/>
  <c r="AC43" i="11"/>
  <c r="AC85" i="11"/>
  <c r="F29" i="10" s="1"/>
  <c r="AB92" i="11"/>
  <c r="AB46" i="11"/>
  <c r="AE85" i="11"/>
  <c r="F31" i="10" s="1"/>
  <c r="AE43" i="11"/>
  <c r="D14" i="9" l="1"/>
  <c r="C36" i="10"/>
  <c r="AJ15" i="11"/>
  <c r="C35" i="10"/>
  <c r="AI15" i="11"/>
  <c r="AI34" i="11" s="1"/>
  <c r="H193" i="11"/>
  <c r="H200" i="11" s="1"/>
  <c r="H47" i="11" s="1"/>
  <c r="G8" i="10" s="1"/>
  <c r="AG193" i="11"/>
  <c r="AG200" i="11" s="1"/>
  <c r="AG47" i="11" s="1"/>
  <c r="AF193" i="11"/>
  <c r="AF200" i="11" s="1"/>
  <c r="AF47" i="11" s="1"/>
  <c r="G32" i="10" s="1"/>
  <c r="G33" i="10"/>
  <c r="AJ34" i="11" l="1"/>
  <c r="P27" i="10"/>
  <c r="P32" i="10" l="1"/>
  <c r="P28" i="10"/>
  <c r="P29" i="10" l="1"/>
  <c r="P30" i="10" l="1"/>
  <c r="P31" i="10" l="1"/>
  <c r="G193" i="11" l="1"/>
  <c r="Z194" i="11" l="1"/>
  <c r="Z200" i="11" s="1"/>
  <c r="Z47" i="11" s="1"/>
  <c r="G26" i="10" s="1"/>
  <c r="Y86" i="11" l="1"/>
  <c r="Y43" i="11" s="1"/>
  <c r="Z87" i="11"/>
  <c r="Z92" i="11" s="1"/>
  <c r="Z86" i="11"/>
  <c r="Z43" i="11" s="1"/>
  <c r="Y87" i="11"/>
  <c r="Y46" i="11" s="1"/>
  <c r="Z46" i="11" l="1"/>
  <c r="Z85" i="11"/>
  <c r="F26" i="10" s="1"/>
  <c r="Y92" i="11"/>
  <c r="Y85" i="11"/>
  <c r="F25" i="10" s="1"/>
  <c r="AA193" i="11" l="1"/>
  <c r="AA200" i="11" s="1"/>
  <c r="AA47" i="11" s="1"/>
  <c r="G27" i="10" s="1"/>
  <c r="P26" i="10" l="1"/>
  <c r="P25" i="10"/>
  <c r="AI30" i="11" l="1"/>
  <c r="AI35" i="11" s="1"/>
  <c r="AH30" i="11"/>
  <c r="AH35" i="11" s="1"/>
  <c r="AG30" i="11"/>
  <c r="AG35" i="11" s="1"/>
  <c r="AF30" i="11"/>
  <c r="AF35" i="11" s="1"/>
  <c r="AJ30" i="11"/>
  <c r="AJ35" i="11" s="1"/>
  <c r="AJ37" i="11" l="1"/>
  <c r="AJ36" i="11"/>
  <c r="E36" i="10"/>
  <c r="AG37" i="11"/>
  <c r="E33" i="10"/>
  <c r="S33" i="10" s="1"/>
  <c r="AG36" i="11"/>
  <c r="AI36" i="11"/>
  <c r="AI37" i="11"/>
  <c r="E35" i="10"/>
  <c r="S35" i="10" s="1"/>
  <c r="E32" i="10"/>
  <c r="S32" i="10" s="1"/>
  <c r="AF37" i="11"/>
  <c r="AF36" i="11"/>
  <c r="E34" i="10"/>
  <c r="S34" i="10" s="1"/>
  <c r="AH36" i="11"/>
  <c r="AH37" i="11"/>
  <c r="G36" i="10" l="1"/>
  <c r="S36" i="10" s="1"/>
  <c r="G194" i="11"/>
  <c r="G200" i="11" s="1"/>
  <c r="G47" i="11" s="1"/>
  <c r="G7" i="10" s="1"/>
  <c r="AJ194" i="11" l="1"/>
  <c r="AJ200" i="11" s="1"/>
  <c r="AJ47" i="11" s="1"/>
  <c r="AF136" i="11"/>
  <c r="AG136" i="11"/>
  <c r="AH136" i="11"/>
  <c r="AJ136" i="11"/>
  <c r="AI136" i="11"/>
  <c r="AI57" i="11" l="1"/>
  <c r="AI138" i="11"/>
  <c r="AH57" i="11"/>
  <c r="AH138" i="11"/>
  <c r="AF57" i="11"/>
  <c r="AF138" i="11"/>
  <c r="AJ57" i="11"/>
  <c r="AJ138" i="11"/>
  <c r="AG57" i="11"/>
  <c r="AG138" i="11"/>
  <c r="AF197" i="11" l="1"/>
  <c r="AG192" i="11" s="1"/>
  <c r="AG197" i="11" l="1"/>
  <c r="AH192" i="11" s="1"/>
  <c r="D32" i="10" l="1"/>
  <c r="AG199" i="11"/>
  <c r="AG22" i="11" s="1"/>
  <c r="AG23" i="11" s="1"/>
  <c r="AH197" i="11"/>
  <c r="AI192" i="11" s="1"/>
  <c r="AG39" i="11" l="1"/>
  <c r="AG44" i="11" s="1"/>
  <c r="D33" i="10"/>
  <c r="H33" i="10" s="1"/>
  <c r="AH199" i="11"/>
  <c r="AH22" i="11" s="1"/>
  <c r="AH23" i="11" s="1"/>
  <c r="AI197" i="11"/>
  <c r="AJ192" i="11" s="1"/>
  <c r="AJ197" i="11" s="1"/>
  <c r="AJ199" i="11" s="1"/>
  <c r="AJ22" i="11" s="1"/>
  <c r="AJ23" i="11" s="1"/>
  <c r="H32" i="10"/>
  <c r="AI199" i="11" l="1"/>
  <c r="AI22" i="11" s="1"/>
  <c r="AI23" i="11" s="1"/>
  <c r="AI39" i="11" s="1"/>
  <c r="AI44" i="11" s="1"/>
  <c r="AJ39" i="11"/>
  <c r="AJ44" i="11" s="1"/>
  <c r="D36" i="10"/>
  <c r="AG49" i="11"/>
  <c r="AG53" i="11" s="1"/>
  <c r="AG54" i="11" s="1"/>
  <c r="AG58" i="11"/>
  <c r="AG143" i="11" s="1"/>
  <c r="D35" i="10"/>
  <c r="D34" i="10"/>
  <c r="AH39" i="11"/>
  <c r="AH44" i="11" s="1"/>
  <c r="H35" i="10" l="1"/>
  <c r="H34" i="10"/>
  <c r="AI49" i="11"/>
  <c r="AI53" i="11" s="1"/>
  <c r="AI54" i="11" s="1"/>
  <c r="AI58" i="11"/>
  <c r="AI143" i="11" s="1"/>
  <c r="AG155" i="11"/>
  <c r="AG147" i="11"/>
  <c r="I32" i="10"/>
  <c r="AJ49" i="11"/>
  <c r="AJ53" i="11" s="1"/>
  <c r="AJ54" i="11" s="1"/>
  <c r="AJ58" i="11"/>
  <c r="AJ143" i="11" s="1"/>
  <c r="AH49" i="11"/>
  <c r="AH53" i="11" s="1"/>
  <c r="AH54" i="11" s="1"/>
  <c r="AH58" i="11"/>
  <c r="AH143" i="11" s="1"/>
  <c r="J32" i="10"/>
  <c r="H36" i="10"/>
  <c r="AH155" i="11" l="1"/>
  <c r="AH147" i="11"/>
  <c r="AJ155" i="11"/>
  <c r="AJ147" i="11"/>
  <c r="AI155" i="11"/>
  <c r="AI147" i="11"/>
  <c r="K32" i="10" l="1"/>
  <c r="R32" i="10" l="1"/>
  <c r="M32" i="10"/>
  <c r="AG148" i="11" l="1"/>
  <c r="AG151" i="11" s="1"/>
  <c r="AG60" i="11" s="1"/>
  <c r="AG156" i="11"/>
  <c r="I33" i="10" l="1"/>
  <c r="AG159" i="11"/>
  <c r="AG61" i="11" s="1"/>
  <c r="AH148" i="11" l="1"/>
  <c r="AH151" i="11" s="1"/>
  <c r="AH60" i="11" s="1"/>
  <c r="AH156" i="11"/>
  <c r="AH159" i="11" s="1"/>
  <c r="AH61" i="11" s="1"/>
  <c r="AG64" i="11"/>
  <c r="J33" i="10"/>
  <c r="AG183" i="11" l="1"/>
  <c r="AG63" i="11"/>
  <c r="I34" i="10"/>
  <c r="AH64" i="11"/>
  <c r="J34" i="10"/>
  <c r="AG187" i="11" l="1"/>
  <c r="AG66" i="11" s="1"/>
  <c r="L33" i="10" s="1"/>
  <c r="AG186" i="11"/>
  <c r="AI148" i="11"/>
  <c r="AI151" i="11" s="1"/>
  <c r="AI60" i="11" s="1"/>
  <c r="AI156" i="11"/>
  <c r="AH183" i="11"/>
  <c r="L34" i="10"/>
  <c r="AG169" i="11"/>
  <c r="K33" i="10"/>
  <c r="AH63" i="11"/>
  <c r="AH169" i="11" s="1"/>
  <c r="AH186" i="11" l="1"/>
  <c r="AH187" i="11"/>
  <c r="AH66" i="11" s="1"/>
  <c r="AG173" i="11"/>
  <c r="AG65" i="11" s="1"/>
  <c r="AG67" i="11" s="1"/>
  <c r="AG172" i="11"/>
  <c r="AH172" i="11"/>
  <c r="AH173" i="11"/>
  <c r="AH65" i="11" s="1"/>
  <c r="K34" i="10"/>
  <c r="R33" i="10"/>
  <c r="M33" i="10"/>
  <c r="AI159" i="11"/>
  <c r="AI61" i="11" s="1"/>
  <c r="I35" i="10"/>
  <c r="AH67" i="11" l="1"/>
  <c r="AI64" i="11"/>
  <c r="J35" i="10"/>
  <c r="AJ148" i="11"/>
  <c r="AJ151" i="11" s="1"/>
  <c r="AJ60" i="11" s="1"/>
  <c r="AJ156" i="11"/>
  <c r="AJ159" i="11" s="1"/>
  <c r="AJ61" i="11" s="1"/>
  <c r="R34" i="10"/>
  <c r="M34" i="10"/>
  <c r="AJ64" i="11" l="1"/>
  <c r="AJ63" i="11" s="1"/>
  <c r="AJ169" i="11" s="1"/>
  <c r="J36" i="10"/>
  <c r="AI183" i="11"/>
  <c r="L35" i="10"/>
  <c r="AI63" i="11"/>
  <c r="AI169" i="11" s="1"/>
  <c r="I36" i="10"/>
  <c r="AI186" i="11" l="1"/>
  <c r="AI187" i="11"/>
  <c r="AI66" i="11" s="1"/>
  <c r="AI173" i="11"/>
  <c r="AI65" i="11" s="1"/>
  <c r="AI172" i="11"/>
  <c r="AJ173" i="11"/>
  <c r="AJ65" i="11" s="1"/>
  <c r="AJ172" i="11"/>
  <c r="K36" i="10"/>
  <c r="K35" i="10"/>
  <c r="AJ183" i="11"/>
  <c r="L36" i="10"/>
  <c r="AI67" i="11" l="1"/>
  <c r="AJ186" i="11"/>
  <c r="AJ187" i="11"/>
  <c r="AJ66" i="11" s="1"/>
  <c r="AJ67" i="11" s="1"/>
  <c r="R35" i="10"/>
  <c r="M35" i="10"/>
  <c r="R36" i="10"/>
  <c r="M36" i="10"/>
  <c r="L32" i="10"/>
  <c r="O36" i="10"/>
  <c r="O35" i="10"/>
  <c r="O33" i="10"/>
  <c r="O34" i="10"/>
  <c r="O32" i="10"/>
  <c r="H177" i="11" l="1"/>
  <c r="H180" i="11" s="1"/>
  <c r="J177" i="11"/>
  <c r="J180" i="11" s="1"/>
  <c r="I177" i="11"/>
  <c r="I180" i="11" s="1"/>
  <c r="K177" i="11"/>
  <c r="K180" i="11" s="1"/>
  <c r="G177" i="11"/>
  <c r="G180" i="11" l="1"/>
  <c r="Q37" i="7"/>
  <c r="G25" i="7"/>
  <c r="G37" i="7" l="1"/>
  <c r="AB30" i="11" l="1"/>
  <c r="AB35" i="11" s="1"/>
  <c r="AD30" i="11"/>
  <c r="AD35" i="11" s="1"/>
  <c r="U30" i="11"/>
  <c r="U35" i="11" s="1"/>
  <c r="AE30" i="11"/>
  <c r="AE35" i="11" s="1"/>
  <c r="AA30" i="11"/>
  <c r="AA35" i="11" s="1"/>
  <c r="W30" i="11"/>
  <c r="W35" i="11" s="1"/>
  <c r="P30" i="11"/>
  <c r="P35" i="11" s="1"/>
  <c r="L30" i="11"/>
  <c r="L35" i="11" s="1"/>
  <c r="S30" i="11"/>
  <c r="S35" i="11" s="1"/>
  <c r="O30" i="11"/>
  <c r="O35" i="11" s="1"/>
  <c r="K30" i="11"/>
  <c r="K35" i="11" s="1"/>
  <c r="X30" i="11"/>
  <c r="X35" i="11" s="1"/>
  <c r="Q30" i="11"/>
  <c r="Q35" i="11" s="1"/>
  <c r="Z30" i="11"/>
  <c r="Z35" i="11" s="1"/>
  <c r="M30" i="11"/>
  <c r="M35" i="11" s="1"/>
  <c r="AC30" i="11"/>
  <c r="AC35" i="11" s="1"/>
  <c r="Y30" i="11"/>
  <c r="Y35" i="11" s="1"/>
  <c r="T30" i="11"/>
  <c r="T35" i="11" s="1"/>
  <c r="I30" i="11"/>
  <c r="I35" i="11" s="1"/>
  <c r="H30" i="11"/>
  <c r="H35" i="11" s="1"/>
  <c r="V30" i="11"/>
  <c r="V35" i="11" s="1"/>
  <c r="R30" i="11"/>
  <c r="R35" i="11" s="1"/>
  <c r="N30" i="11"/>
  <c r="N35" i="11" s="1"/>
  <c r="J30" i="11"/>
  <c r="J35" i="11" s="1"/>
  <c r="G30" i="11"/>
  <c r="G35" i="11" s="1"/>
  <c r="G36" i="11" l="1"/>
  <c r="E7" i="10"/>
  <c r="G37" i="11"/>
  <c r="D28" i="9" s="1"/>
  <c r="E14" i="10"/>
  <c r="N36" i="11"/>
  <c r="N37" i="11"/>
  <c r="E22" i="10"/>
  <c r="V36" i="11"/>
  <c r="V37" i="11"/>
  <c r="E9" i="10"/>
  <c r="I36" i="11"/>
  <c r="I37" i="11"/>
  <c r="Y36" i="11"/>
  <c r="Y37" i="11"/>
  <c r="E25" i="10"/>
  <c r="M36" i="11"/>
  <c r="E13" i="10"/>
  <c r="M37" i="11"/>
  <c r="Q36" i="11"/>
  <c r="E17" i="10"/>
  <c r="Q37" i="11"/>
  <c r="K36" i="11"/>
  <c r="E11" i="10"/>
  <c r="K37" i="11"/>
  <c r="S36" i="11"/>
  <c r="S37" i="11"/>
  <c r="E19" i="10"/>
  <c r="E16" i="10"/>
  <c r="P37" i="11"/>
  <c r="P36" i="11"/>
  <c r="AA36" i="11"/>
  <c r="AA37" i="11"/>
  <c r="E27" i="10"/>
  <c r="S27" i="10" s="1"/>
  <c r="U36" i="11"/>
  <c r="U37" i="11"/>
  <c r="E21" i="10"/>
  <c r="AB36" i="11"/>
  <c r="E28" i="10"/>
  <c r="S28" i="10" s="1"/>
  <c r="AB37" i="11"/>
  <c r="J36" i="11"/>
  <c r="J37" i="11"/>
  <c r="E10" i="10"/>
  <c r="R36" i="11"/>
  <c r="R37" i="11"/>
  <c r="E18" i="10"/>
  <c r="E8" i="10"/>
  <c r="H37" i="11"/>
  <c r="H36" i="11"/>
  <c r="T36" i="11"/>
  <c r="T37" i="11"/>
  <c r="E20" i="10"/>
  <c r="E29" i="10"/>
  <c r="S29" i="10" s="1"/>
  <c r="AC36" i="11"/>
  <c r="AC37" i="11"/>
  <c r="E26" i="10"/>
  <c r="S26" i="10" s="1"/>
  <c r="Z36" i="11"/>
  <c r="Z37" i="11"/>
  <c r="X36" i="11"/>
  <c r="E24" i="10"/>
  <c r="X37" i="11"/>
  <c r="E15" i="10"/>
  <c r="O36" i="11"/>
  <c r="O37" i="11"/>
  <c r="E12" i="10"/>
  <c r="L36" i="11"/>
  <c r="L37" i="11"/>
  <c r="W37" i="11"/>
  <c r="W36" i="11"/>
  <c r="E23" i="10"/>
  <c r="AE37" i="11"/>
  <c r="AE36" i="11"/>
  <c r="E31" i="10"/>
  <c r="AD36" i="11"/>
  <c r="E30" i="10"/>
  <c r="S30" i="10" s="1"/>
  <c r="AD37" i="11"/>
  <c r="Q66" i="7" l="1"/>
  <c r="F194" i="11" s="1"/>
  <c r="AE194" i="11" s="1"/>
  <c r="AE200" i="11" s="1"/>
  <c r="AE47" i="11" s="1"/>
  <c r="G31" i="10" s="1"/>
  <c r="S31" i="10" s="1"/>
  <c r="F80" i="11"/>
  <c r="F82" i="11" s="1"/>
  <c r="V86" i="11" s="1"/>
  <c r="V43" i="11" s="1"/>
  <c r="W87" i="11" l="1"/>
  <c r="W46" i="11" s="1"/>
  <c r="S87" i="11"/>
  <c r="O87" i="11"/>
  <c r="K87" i="11"/>
  <c r="G67" i="7"/>
  <c r="U87" i="11"/>
  <c r="U46" i="11" s="1"/>
  <c r="Q87" i="11"/>
  <c r="Q46" i="11" s="1"/>
  <c r="M87" i="11"/>
  <c r="M46" i="11" s="1"/>
  <c r="I87" i="11"/>
  <c r="I46" i="11" s="1"/>
  <c r="F91" i="11"/>
  <c r="F93" i="11" s="1"/>
  <c r="G90" i="11" s="1"/>
  <c r="X87" i="11"/>
  <c r="X46" i="11" s="1"/>
  <c r="V87" i="11"/>
  <c r="V46" i="11" s="1"/>
  <c r="T87" i="11"/>
  <c r="T46" i="11" s="1"/>
  <c r="R87" i="11"/>
  <c r="R46" i="11" s="1"/>
  <c r="P87" i="11"/>
  <c r="P46" i="11" s="1"/>
  <c r="N87" i="11"/>
  <c r="N46" i="11" s="1"/>
  <c r="L87" i="11"/>
  <c r="L46" i="11" s="1"/>
  <c r="J87" i="11"/>
  <c r="J46" i="11" s="1"/>
  <c r="H87" i="11"/>
  <c r="H46" i="11" s="1"/>
  <c r="X86" i="11"/>
  <c r="W86" i="11"/>
  <c r="G86" i="11"/>
  <c r="M86" i="11"/>
  <c r="N86" i="11"/>
  <c r="O86" i="11"/>
  <c r="P86" i="11"/>
  <c r="Q86" i="11"/>
  <c r="R86" i="11"/>
  <c r="S86" i="11"/>
  <c r="T86" i="11"/>
  <c r="U86" i="11"/>
  <c r="G87" i="11"/>
  <c r="H86" i="11"/>
  <c r="I86" i="11"/>
  <c r="J86" i="11"/>
  <c r="K86" i="11"/>
  <c r="L86" i="11"/>
  <c r="Q92" i="11" l="1"/>
  <c r="V92" i="11"/>
  <c r="U92" i="11"/>
  <c r="W92" i="11"/>
  <c r="V85" i="11"/>
  <c r="F22" i="10" s="1"/>
  <c r="S22" i="10" s="1"/>
  <c r="I92" i="11"/>
  <c r="M92" i="11"/>
  <c r="N92" i="11"/>
  <c r="K46" i="11"/>
  <c r="K92" i="11"/>
  <c r="S46" i="11"/>
  <c r="S92" i="11"/>
  <c r="J92" i="11"/>
  <c r="R92" i="11"/>
  <c r="O46" i="11"/>
  <c r="O92" i="11"/>
  <c r="H92" i="11"/>
  <c r="L92" i="11"/>
  <c r="P92" i="11"/>
  <c r="T92" i="11"/>
  <c r="X92" i="11"/>
  <c r="L43" i="11"/>
  <c r="L85" i="11"/>
  <c r="F12" i="10" s="1"/>
  <c r="S12" i="10" s="1"/>
  <c r="H43" i="11"/>
  <c r="H85" i="11"/>
  <c r="F8" i="10" s="1"/>
  <c r="S8" i="10" s="1"/>
  <c r="S43" i="11"/>
  <c r="S85" i="11"/>
  <c r="F19" i="10" s="1"/>
  <c r="S19" i="10" s="1"/>
  <c r="K43" i="11"/>
  <c r="K85" i="11"/>
  <c r="F11" i="10" s="1"/>
  <c r="S11" i="10" s="1"/>
  <c r="I43" i="11"/>
  <c r="I85" i="11"/>
  <c r="F9" i="10" s="1"/>
  <c r="S9" i="10" s="1"/>
  <c r="G46" i="11"/>
  <c r="G92" i="11"/>
  <c r="G93" i="11" s="1"/>
  <c r="H90" i="11" s="1"/>
  <c r="H93" i="11" s="1"/>
  <c r="I90" i="11" s="1"/>
  <c r="T43" i="11"/>
  <c r="T85" i="11"/>
  <c r="F20" i="10" s="1"/>
  <c r="S20" i="10" s="1"/>
  <c r="R43" i="11"/>
  <c r="R85" i="11"/>
  <c r="F18" i="10" s="1"/>
  <c r="S18" i="10" s="1"/>
  <c r="P43" i="11"/>
  <c r="P85" i="11"/>
  <c r="F16" i="10" s="1"/>
  <c r="S16" i="10" s="1"/>
  <c r="N43" i="11"/>
  <c r="N85" i="11"/>
  <c r="F14" i="10" s="1"/>
  <c r="S14" i="10" s="1"/>
  <c r="G85" i="11"/>
  <c r="G43" i="11"/>
  <c r="X43" i="11"/>
  <c r="X85" i="11"/>
  <c r="F24" i="10" s="1"/>
  <c r="S24" i="10" s="1"/>
  <c r="J43" i="11"/>
  <c r="J85" i="11"/>
  <c r="F10" i="10" s="1"/>
  <c r="S10" i="10" s="1"/>
  <c r="U43" i="11"/>
  <c r="U85" i="11"/>
  <c r="F21" i="10" s="1"/>
  <c r="S21" i="10" s="1"/>
  <c r="Q43" i="11"/>
  <c r="Q85" i="11"/>
  <c r="F17" i="10" s="1"/>
  <c r="S17" i="10" s="1"/>
  <c r="O43" i="11"/>
  <c r="O85" i="11"/>
  <c r="F15" i="10" s="1"/>
  <c r="S15" i="10" s="1"/>
  <c r="M43" i="11"/>
  <c r="M85" i="11"/>
  <c r="F13" i="10" s="1"/>
  <c r="S13" i="10" s="1"/>
  <c r="W43" i="11"/>
  <c r="W85" i="11"/>
  <c r="F23" i="10" s="1"/>
  <c r="S23" i="10" s="1"/>
  <c r="I93" i="11" l="1"/>
  <c r="J90" i="11" s="1"/>
  <c r="J93" i="11" s="1"/>
  <c r="K90" i="11" s="1"/>
  <c r="K93" i="11" s="1"/>
  <c r="L90" i="11" s="1"/>
  <c r="L93" i="11" s="1"/>
  <c r="M90" i="11" s="1"/>
  <c r="M93" i="11" s="1"/>
  <c r="N90" i="11" s="1"/>
  <c r="N93" i="11" s="1"/>
  <c r="O90" i="11" s="1"/>
  <c r="O93" i="11" s="1"/>
  <c r="P90" i="11" s="1"/>
  <c r="P93" i="11" s="1"/>
  <c r="Q90" i="11" s="1"/>
  <c r="Q93" i="11" s="1"/>
  <c r="R90" i="11" s="1"/>
  <c r="R93" i="11" s="1"/>
  <c r="S90" i="11" s="1"/>
  <c r="S93" i="11" s="1"/>
  <c r="T90" i="11" s="1"/>
  <c r="T93" i="11" s="1"/>
  <c r="U90" i="11" s="1"/>
  <c r="U93" i="11" s="1"/>
  <c r="V90" i="11" s="1"/>
  <c r="V93" i="11" s="1"/>
  <c r="W90" i="11" s="1"/>
  <c r="W93" i="11" s="1"/>
  <c r="X90" i="11" s="1"/>
  <c r="X93" i="11" s="1"/>
  <c r="Y90" i="11" s="1"/>
  <c r="Y93" i="11" s="1"/>
  <c r="Z90" i="11" s="1"/>
  <c r="Z93" i="11" s="1"/>
  <c r="AA90" i="11" s="1"/>
  <c r="AA93" i="11" s="1"/>
  <c r="AB90" i="11" s="1"/>
  <c r="AB93" i="11" s="1"/>
  <c r="AC90" i="11" s="1"/>
  <c r="AC93" i="11" s="1"/>
  <c r="AD90" i="11" s="1"/>
  <c r="AD93" i="11" s="1"/>
  <c r="AE90" i="11" s="1"/>
  <c r="AE93" i="11" s="1"/>
  <c r="AF90" i="11" s="1"/>
  <c r="AF93" i="11" s="1"/>
  <c r="AG90" i="11" s="1"/>
  <c r="AG93" i="11" s="1"/>
  <c r="AH90" i="11" s="1"/>
  <c r="AH93" i="11" s="1"/>
  <c r="AI90" i="11" s="1"/>
  <c r="AI93" i="11" s="1"/>
  <c r="AJ90" i="11" s="1"/>
  <c r="AJ93" i="11" s="1"/>
  <c r="Q63" i="7"/>
  <c r="F7" i="10"/>
  <c r="S7" i="10" s="1"/>
  <c r="F193" i="11" l="1"/>
  <c r="G24" i="7"/>
  <c r="C109" i="12"/>
  <c r="C100" i="11" l="1"/>
  <c r="C102" i="11"/>
  <c r="C104" i="11"/>
  <c r="C106" i="11"/>
  <c r="C99" i="11"/>
  <c r="C101" i="11"/>
  <c r="C103" i="11"/>
  <c r="C105" i="11"/>
  <c r="C108" i="11"/>
  <c r="G26" i="7"/>
  <c r="C110" i="12"/>
  <c r="D110" i="12" s="1"/>
  <c r="N120" i="12"/>
  <c r="N121" i="12" s="1"/>
  <c r="F197" i="11"/>
  <c r="G192" i="11" s="1"/>
  <c r="Y193" i="11"/>
  <c r="Y200" i="11" s="1"/>
  <c r="Y47" i="11" s="1"/>
  <c r="G25" i="10" s="1"/>
  <c r="S25" i="10" s="1"/>
  <c r="H164" i="11" l="1"/>
  <c r="H166" i="11" s="1"/>
  <c r="G164" i="11"/>
  <c r="L164" i="11"/>
  <c r="L166" i="11" s="1"/>
  <c r="K164" i="11"/>
  <c r="K166" i="11" s="1"/>
  <c r="M164" i="11"/>
  <c r="M166" i="11" s="1"/>
  <c r="O164" i="11"/>
  <c r="O166" i="11" s="1"/>
  <c r="I164" i="11"/>
  <c r="I166" i="11" s="1"/>
  <c r="N164" i="11"/>
  <c r="N166" i="11" s="1"/>
  <c r="P164" i="11"/>
  <c r="P166" i="11" s="1"/>
  <c r="J164" i="11"/>
  <c r="J166" i="11" s="1"/>
  <c r="C110" i="11"/>
  <c r="D108" i="11" s="1"/>
  <c r="Q23" i="7"/>
  <c r="G163" i="11" s="1"/>
  <c r="G197" i="11"/>
  <c r="H192" i="11" s="1"/>
  <c r="C120" i="12"/>
  <c r="C121" i="12" s="1"/>
  <c r="D120" i="12"/>
  <c r="D121" i="12" s="1"/>
  <c r="F52" i="11"/>
  <c r="D25" i="9"/>
  <c r="D26" i="9" s="1"/>
  <c r="G27" i="7"/>
  <c r="G166" i="11" l="1"/>
  <c r="D106" i="11"/>
  <c r="D99" i="11"/>
  <c r="D100" i="11"/>
  <c r="D105" i="11"/>
  <c r="D103" i="11"/>
  <c r="D102" i="11"/>
  <c r="D101" i="11"/>
  <c r="G199" i="11"/>
  <c r="G22" i="11" s="1"/>
  <c r="G23" i="11" s="1"/>
  <c r="D7" i="10" s="1"/>
  <c r="D104" i="11"/>
  <c r="C112" i="11"/>
  <c r="H197" i="11"/>
  <c r="I192" i="11" s="1"/>
  <c r="C111" i="11"/>
  <c r="F54" i="11"/>
  <c r="G68" i="7"/>
  <c r="E101" i="11" l="1"/>
  <c r="J118" i="11" s="1"/>
  <c r="G39" i="11"/>
  <c r="G44" i="11" s="1"/>
  <c r="E104" i="11"/>
  <c r="G121" i="11" s="1"/>
  <c r="E103" i="11"/>
  <c r="H120" i="11" s="1"/>
  <c r="E108" i="11"/>
  <c r="E125" i="11" s="1"/>
  <c r="E107" i="11"/>
  <c r="G124" i="11" s="1"/>
  <c r="E100" i="11"/>
  <c r="N117" i="11" s="1"/>
  <c r="E99" i="11"/>
  <c r="H116" i="11" s="1"/>
  <c r="D110" i="11"/>
  <c r="D111" i="11" s="1"/>
  <c r="E106" i="11"/>
  <c r="G123" i="11" s="1"/>
  <c r="E102" i="11"/>
  <c r="N119" i="11" s="1"/>
  <c r="E105" i="11"/>
  <c r="I122" i="11" s="1"/>
  <c r="H199" i="11"/>
  <c r="H22" i="11" s="1"/>
  <c r="H23" i="11" s="1"/>
  <c r="D8" i="10" s="1"/>
  <c r="G70" i="7"/>
  <c r="F68" i="7" s="1"/>
  <c r="F67" i="11"/>
  <c r="I197" i="11"/>
  <c r="J192" i="11" s="1"/>
  <c r="H7" i="10"/>
  <c r="N121" i="11" l="1"/>
  <c r="G119" i="11"/>
  <c r="G41" i="11"/>
  <c r="P7" i="10" s="1"/>
  <c r="AD118" i="11"/>
  <c r="N118" i="11"/>
  <c r="R118" i="11"/>
  <c r="AF118" i="11"/>
  <c r="AJ118" i="11"/>
  <c r="V118" i="11"/>
  <c r="AI118" i="11"/>
  <c r="Z118" i="11"/>
  <c r="K118" i="11"/>
  <c r="H124" i="11"/>
  <c r="AG118" i="11"/>
  <c r="AE118" i="11"/>
  <c r="AA118" i="11"/>
  <c r="W118" i="11"/>
  <c r="S118" i="11"/>
  <c r="O118" i="11"/>
  <c r="L118" i="11"/>
  <c r="H118" i="11"/>
  <c r="AB118" i="11"/>
  <c r="X118" i="11"/>
  <c r="T118" i="11"/>
  <c r="P118" i="11"/>
  <c r="G118" i="11"/>
  <c r="I118" i="11"/>
  <c r="AH118" i="11"/>
  <c r="AC118" i="11"/>
  <c r="Y118" i="11"/>
  <c r="U118" i="11"/>
  <c r="Q118" i="11"/>
  <c r="M118" i="11"/>
  <c r="AB121" i="11"/>
  <c r="Y119" i="11"/>
  <c r="P117" i="11"/>
  <c r="AD117" i="11"/>
  <c r="H39" i="11"/>
  <c r="H41" i="11" s="1"/>
  <c r="J117" i="11"/>
  <c r="H121" i="11"/>
  <c r="T119" i="11"/>
  <c r="AG117" i="11"/>
  <c r="AH121" i="11"/>
  <c r="X119" i="11"/>
  <c r="Y117" i="11"/>
  <c r="AI121" i="11"/>
  <c r="K121" i="11"/>
  <c r="Q121" i="11"/>
  <c r="AJ119" i="11"/>
  <c r="I119" i="11"/>
  <c r="X117" i="11"/>
  <c r="Z117" i="11"/>
  <c r="T117" i="11"/>
  <c r="G117" i="11"/>
  <c r="V121" i="11"/>
  <c r="L121" i="11"/>
  <c r="R121" i="11"/>
  <c r="AG119" i="11"/>
  <c r="AC119" i="11"/>
  <c r="J119" i="11"/>
  <c r="P119" i="11"/>
  <c r="W117" i="11"/>
  <c r="S117" i="11"/>
  <c r="AE121" i="11"/>
  <c r="AB119" i="11"/>
  <c r="O119" i="11"/>
  <c r="AJ117" i="11"/>
  <c r="AC117" i="11"/>
  <c r="I117" i="11"/>
  <c r="O117" i="11"/>
  <c r="AF121" i="11"/>
  <c r="AA121" i="11"/>
  <c r="U121" i="11"/>
  <c r="M121" i="11"/>
  <c r="W119" i="11"/>
  <c r="V119" i="11"/>
  <c r="S119" i="11"/>
  <c r="AI117" i="11"/>
  <c r="AF117" i="11"/>
  <c r="AE117" i="11"/>
  <c r="AA117" i="11"/>
  <c r="K117" i="11"/>
  <c r="U117" i="11"/>
  <c r="Q117" i="11"/>
  <c r="M117" i="11"/>
  <c r="AJ121" i="11"/>
  <c r="W121" i="11"/>
  <c r="AC121" i="11"/>
  <c r="Y121" i="11"/>
  <c r="I121" i="11"/>
  <c r="S121" i="11"/>
  <c r="O121" i="11"/>
  <c r="AI119" i="11"/>
  <c r="AF119" i="11"/>
  <c r="AD119" i="11"/>
  <c r="Z119" i="11"/>
  <c r="K119" i="11"/>
  <c r="U119" i="11"/>
  <c r="Q119" i="11"/>
  <c r="M119" i="11"/>
  <c r="AH117" i="11"/>
  <c r="V117" i="11"/>
  <c r="AB117" i="11"/>
  <c r="L117" i="11"/>
  <c r="H117" i="11"/>
  <c r="R117" i="11"/>
  <c r="AG121" i="11"/>
  <c r="X121" i="11"/>
  <c r="AD121" i="11"/>
  <c r="Z121" i="11"/>
  <c r="J121" i="11"/>
  <c r="T121" i="11"/>
  <c r="P121" i="11"/>
  <c r="AH119" i="11"/>
  <c r="AE119" i="11"/>
  <c r="AA119" i="11"/>
  <c r="L119" i="11"/>
  <c r="H119" i="11"/>
  <c r="R119" i="11"/>
  <c r="AD120" i="11"/>
  <c r="AF123" i="11"/>
  <c r="G116" i="11"/>
  <c r="V120" i="11"/>
  <c r="U123" i="11"/>
  <c r="AB116" i="11"/>
  <c r="K120" i="11"/>
  <c r="Z123" i="11"/>
  <c r="M123" i="11"/>
  <c r="AI116" i="11"/>
  <c r="T116" i="11"/>
  <c r="AJ120" i="11"/>
  <c r="Z120" i="11"/>
  <c r="R120" i="11"/>
  <c r="AB124" i="11"/>
  <c r="AF116" i="11"/>
  <c r="X116" i="11"/>
  <c r="P116" i="11"/>
  <c r="I116" i="11"/>
  <c r="N120" i="11"/>
  <c r="AI124" i="11"/>
  <c r="T124" i="11"/>
  <c r="AF124" i="11"/>
  <c r="X124" i="11"/>
  <c r="P124" i="11"/>
  <c r="L124" i="11"/>
  <c r="AI123" i="11"/>
  <c r="AD123" i="11"/>
  <c r="K123" i="11"/>
  <c r="Q123" i="11"/>
  <c r="AJ116" i="11"/>
  <c r="AD116" i="11"/>
  <c r="Z116" i="11"/>
  <c r="V116" i="11"/>
  <c r="R116" i="11"/>
  <c r="N116" i="11"/>
  <c r="K116" i="11"/>
  <c r="AI120" i="11"/>
  <c r="AF120" i="11"/>
  <c r="AB120" i="11"/>
  <c r="X120" i="11"/>
  <c r="T120" i="11"/>
  <c r="P120" i="11"/>
  <c r="G120" i="11"/>
  <c r="I120" i="11"/>
  <c r="AJ124" i="11"/>
  <c r="AD124" i="11"/>
  <c r="Z124" i="11"/>
  <c r="V124" i="11"/>
  <c r="R124" i="11"/>
  <c r="N124" i="11"/>
  <c r="J124" i="11"/>
  <c r="AJ123" i="11"/>
  <c r="W123" i="11"/>
  <c r="AB123" i="11"/>
  <c r="V123" i="11"/>
  <c r="I123" i="11"/>
  <c r="S123" i="11"/>
  <c r="O123" i="11"/>
  <c r="AG116" i="11"/>
  <c r="AH116" i="11"/>
  <c r="AE116" i="11"/>
  <c r="AC116" i="11"/>
  <c r="AA116" i="11"/>
  <c r="Y116" i="11"/>
  <c r="W116" i="11"/>
  <c r="U116" i="11"/>
  <c r="S116" i="11"/>
  <c r="Q116" i="11"/>
  <c r="O116" i="11"/>
  <c r="M116" i="11"/>
  <c r="L116" i="11"/>
  <c r="J116" i="11"/>
  <c r="AG120" i="11"/>
  <c r="AH120" i="11"/>
  <c r="AE120" i="11"/>
  <c r="AC120" i="11"/>
  <c r="AA120" i="11"/>
  <c r="Y120" i="11"/>
  <c r="W120" i="11"/>
  <c r="U120" i="11"/>
  <c r="S120" i="11"/>
  <c r="Q120" i="11"/>
  <c r="O120" i="11"/>
  <c r="M120" i="11"/>
  <c r="L120" i="11"/>
  <c r="J120" i="11"/>
  <c r="AG124" i="11"/>
  <c r="AH124" i="11"/>
  <c r="AE124" i="11"/>
  <c r="AC124" i="11"/>
  <c r="AA124" i="11"/>
  <c r="Y124" i="11"/>
  <c r="W124" i="11"/>
  <c r="U124" i="11"/>
  <c r="S124" i="11"/>
  <c r="Q124" i="11"/>
  <c r="O124" i="11"/>
  <c r="M124" i="11"/>
  <c r="K124" i="11"/>
  <c r="I124" i="11"/>
  <c r="U122" i="11"/>
  <c r="AC122" i="11"/>
  <c r="M122" i="11"/>
  <c r="AH122" i="11"/>
  <c r="Y122" i="11"/>
  <c r="Q122" i="11"/>
  <c r="J122" i="11"/>
  <c r="AG122" i="11"/>
  <c r="AE122" i="11"/>
  <c r="AA122" i="11"/>
  <c r="W122" i="11"/>
  <c r="S122" i="11"/>
  <c r="O122" i="11"/>
  <c r="L122" i="11"/>
  <c r="H122" i="11"/>
  <c r="AG123" i="11"/>
  <c r="AH123" i="11"/>
  <c r="X123" i="11"/>
  <c r="AE123" i="11"/>
  <c r="AC123" i="11"/>
  <c r="AA123" i="11"/>
  <c r="Y123" i="11"/>
  <c r="L123" i="11"/>
  <c r="J123" i="11"/>
  <c r="H123" i="11"/>
  <c r="T123" i="11"/>
  <c r="R123" i="11"/>
  <c r="P123" i="11"/>
  <c r="N123" i="11"/>
  <c r="E110" i="11"/>
  <c r="E111" i="11" s="1"/>
  <c r="AI122" i="11"/>
  <c r="AJ122" i="11"/>
  <c r="AF122" i="11"/>
  <c r="AD122" i="11"/>
  <c r="AB122" i="11"/>
  <c r="Z122" i="11"/>
  <c r="X122" i="11"/>
  <c r="V122" i="11"/>
  <c r="T122" i="11"/>
  <c r="R122" i="11"/>
  <c r="P122" i="11"/>
  <c r="N122" i="11"/>
  <c r="G122" i="11"/>
  <c r="K122" i="11"/>
  <c r="J197" i="11"/>
  <c r="K192" i="11" s="1"/>
  <c r="M6" i="10"/>
  <c r="N6" i="10" s="1"/>
  <c r="F69" i="7"/>
  <c r="F67" i="7"/>
  <c r="G63" i="7" s="1"/>
  <c r="I199" i="11"/>
  <c r="I22" i="11" s="1"/>
  <c r="I23" i="11" s="1"/>
  <c r="G49" i="11"/>
  <c r="G53" i="11" s="1"/>
  <c r="G54" i="11" s="1"/>
  <c r="H8" i="10"/>
  <c r="E118" i="11" l="1"/>
  <c r="H44" i="11"/>
  <c r="H49" i="11" s="1"/>
  <c r="H53" i="11" s="1"/>
  <c r="H54" i="11" s="1"/>
  <c r="I136" i="11"/>
  <c r="I57" i="11" s="1"/>
  <c r="E119" i="11"/>
  <c r="E121" i="11"/>
  <c r="E117" i="11"/>
  <c r="G136" i="11"/>
  <c r="G138" i="11" s="1"/>
  <c r="U136" i="11"/>
  <c r="U57" i="11" s="1"/>
  <c r="E123" i="11"/>
  <c r="M136" i="11"/>
  <c r="M138" i="11" s="1"/>
  <c r="K136" i="11"/>
  <c r="K138" i="11" s="1"/>
  <c r="N136" i="11"/>
  <c r="N138" i="11" s="1"/>
  <c r="R136" i="11"/>
  <c r="R138" i="11" s="1"/>
  <c r="V136" i="11"/>
  <c r="V57" i="11" s="1"/>
  <c r="Z136" i="11"/>
  <c r="Z57" i="11" s="1"/>
  <c r="AD136" i="11"/>
  <c r="AD57" i="11" s="1"/>
  <c r="J136" i="11"/>
  <c r="J138" i="11" s="1"/>
  <c r="Y136" i="11"/>
  <c r="Y57" i="11" s="1"/>
  <c r="AC136" i="11"/>
  <c r="AC57" i="11" s="1"/>
  <c r="H136" i="11"/>
  <c r="H57" i="11" s="1"/>
  <c r="E124" i="11"/>
  <c r="E120" i="11"/>
  <c r="AA136" i="11"/>
  <c r="AA138" i="11" s="1"/>
  <c r="Q136" i="11"/>
  <c r="Q57" i="11" s="1"/>
  <c r="AB136" i="11"/>
  <c r="AB138" i="11" s="1"/>
  <c r="L136" i="11"/>
  <c r="L57" i="11" s="1"/>
  <c r="O136" i="11"/>
  <c r="O138" i="11" s="1"/>
  <c r="S136" i="11"/>
  <c r="S57" i="11" s="1"/>
  <c r="W136" i="11"/>
  <c r="W57" i="11" s="1"/>
  <c r="AE136" i="11"/>
  <c r="AE57" i="11" s="1"/>
  <c r="E116" i="11"/>
  <c r="P136" i="11"/>
  <c r="P138" i="11" s="1"/>
  <c r="T136" i="11"/>
  <c r="T138" i="11" s="1"/>
  <c r="X136" i="11"/>
  <c r="X138" i="11" s="1"/>
  <c r="E122" i="11"/>
  <c r="G55" i="11"/>
  <c r="P8" i="10"/>
  <c r="K197" i="11"/>
  <c r="L192" i="11" s="1"/>
  <c r="I39" i="11"/>
  <c r="D9" i="10"/>
  <c r="J199" i="11"/>
  <c r="J22" i="11" s="1"/>
  <c r="J23" i="11" s="1"/>
  <c r="Q138" i="11" l="1"/>
  <c r="J57" i="11"/>
  <c r="H58" i="11"/>
  <c r="I138" i="11"/>
  <c r="X57" i="11"/>
  <c r="M57" i="11"/>
  <c r="G57" i="11"/>
  <c r="G58" i="11" s="1"/>
  <c r="G143" i="11" s="1"/>
  <c r="U138" i="11"/>
  <c r="AC138" i="11"/>
  <c r="R57" i="11"/>
  <c r="Z138" i="11"/>
  <c r="K57" i="11"/>
  <c r="V138" i="11"/>
  <c r="AA57" i="11"/>
  <c r="E126" i="11"/>
  <c r="F126" i="11" s="1"/>
  <c r="Y138" i="11"/>
  <c r="H138" i="11"/>
  <c r="N57" i="11"/>
  <c r="L138" i="11"/>
  <c r="AD138" i="11"/>
  <c r="P57" i="11"/>
  <c r="AE138" i="11"/>
  <c r="S138" i="11"/>
  <c r="T57" i="11"/>
  <c r="W138" i="11"/>
  <c r="O57" i="11"/>
  <c r="AB57" i="11"/>
  <c r="K199" i="11"/>
  <c r="K22" i="11" s="1"/>
  <c r="K23" i="11" s="1"/>
  <c r="K39" i="11" s="1"/>
  <c r="I44" i="11"/>
  <c r="I41" i="11"/>
  <c r="L197" i="11"/>
  <c r="M192" i="11" s="1"/>
  <c r="H55" i="11"/>
  <c r="J39" i="11"/>
  <c r="D10" i="10"/>
  <c r="H9" i="10"/>
  <c r="D11" i="10" l="1"/>
  <c r="H11" i="10" s="1"/>
  <c r="H143" i="11"/>
  <c r="H147" i="11" s="1"/>
  <c r="L199" i="11"/>
  <c r="L22" i="11" s="1"/>
  <c r="L23" i="11" s="1"/>
  <c r="L39" i="11" s="1"/>
  <c r="K44" i="11"/>
  <c r="K41" i="11"/>
  <c r="J44" i="11"/>
  <c r="J41" i="11"/>
  <c r="H10" i="10"/>
  <c r="M197" i="11"/>
  <c r="N192" i="11" s="1"/>
  <c r="P9" i="10"/>
  <c r="G156" i="11"/>
  <c r="G147" i="11"/>
  <c r="G155" i="11"/>
  <c r="G148" i="11"/>
  <c r="I58" i="11"/>
  <c r="I49" i="11"/>
  <c r="I53" i="11" s="1"/>
  <c r="I54" i="11" s="1"/>
  <c r="H155" i="11" l="1"/>
  <c r="D12" i="10"/>
  <c r="H12" i="10" s="1"/>
  <c r="G157" i="11"/>
  <c r="H154" i="11" s="1"/>
  <c r="G151" i="11"/>
  <c r="G60" i="11" s="1"/>
  <c r="I7" i="10" s="1"/>
  <c r="G159" i="11"/>
  <c r="G61" i="11" s="1"/>
  <c r="G64" i="11" s="1"/>
  <c r="G149" i="11"/>
  <c r="H146" i="11" s="1"/>
  <c r="J58" i="11"/>
  <c r="J49" i="11"/>
  <c r="J53" i="11" s="1"/>
  <c r="J54" i="11" s="1"/>
  <c r="J55" i="11" s="1"/>
  <c r="K58" i="11"/>
  <c r="K49" i="11"/>
  <c r="K53" i="11" s="1"/>
  <c r="K54" i="11" s="1"/>
  <c r="M199" i="11"/>
  <c r="M22" i="11" s="1"/>
  <c r="M23" i="11" s="1"/>
  <c r="I55" i="11"/>
  <c r="I143" i="11"/>
  <c r="L44" i="11"/>
  <c r="L41" i="11"/>
  <c r="N197" i="11"/>
  <c r="O192" i="11" s="1"/>
  <c r="P10" i="10"/>
  <c r="P11" i="10"/>
  <c r="G183" i="11" l="1"/>
  <c r="J7" i="10"/>
  <c r="G63" i="11"/>
  <c r="G169" i="11" s="1"/>
  <c r="H156" i="11"/>
  <c r="H157" i="11" s="1"/>
  <c r="I154" i="11" s="1"/>
  <c r="H148" i="11"/>
  <c r="H151" i="11" s="1"/>
  <c r="H60" i="11" s="1"/>
  <c r="K55" i="11"/>
  <c r="O197" i="11"/>
  <c r="P192" i="11" s="1"/>
  <c r="P12" i="10"/>
  <c r="I147" i="11"/>
  <c r="I155" i="11"/>
  <c r="K143" i="11"/>
  <c r="J143" i="11"/>
  <c r="L58" i="11"/>
  <c r="L49" i="11"/>
  <c r="L53" i="11" s="1"/>
  <c r="L54" i="11" s="1"/>
  <c r="M39" i="11"/>
  <c r="D13" i="10"/>
  <c r="N199" i="11"/>
  <c r="N22" i="11" s="1"/>
  <c r="N23" i="11" s="1"/>
  <c r="G187" i="11" l="1"/>
  <c r="G66" i="11" s="1"/>
  <c r="L7" i="10" s="1"/>
  <c r="G186" i="11"/>
  <c r="I8" i="10"/>
  <c r="G172" i="11"/>
  <c r="G173" i="11"/>
  <c r="G65" i="11" s="1"/>
  <c r="H149" i="11"/>
  <c r="I146" i="11" s="1"/>
  <c r="H159" i="11"/>
  <c r="H61" i="11" s="1"/>
  <c r="H13" i="10"/>
  <c r="L55" i="11"/>
  <c r="J147" i="11"/>
  <c r="J155" i="11"/>
  <c r="P197" i="11"/>
  <c r="Q192" i="11" s="1"/>
  <c r="N39" i="11"/>
  <c r="D14" i="10"/>
  <c r="M44" i="11"/>
  <c r="M41" i="11"/>
  <c r="L143" i="11"/>
  <c r="K147" i="11"/>
  <c r="K155" i="11"/>
  <c r="O199" i="11"/>
  <c r="O22" i="11" s="1"/>
  <c r="O23" i="11" s="1"/>
  <c r="G188" i="11" l="1"/>
  <c r="H185" i="11" s="1"/>
  <c r="H64" i="11"/>
  <c r="J8" i="10"/>
  <c r="G67" i="11"/>
  <c r="K7" i="10"/>
  <c r="G174" i="11"/>
  <c r="I148" i="11"/>
  <c r="I151" i="11" s="1"/>
  <c r="I60" i="11" s="1"/>
  <c r="I156" i="11"/>
  <c r="I157" i="11" s="1"/>
  <c r="J154" i="11" s="1"/>
  <c r="P199" i="11"/>
  <c r="P22" i="11" s="1"/>
  <c r="P23" i="11" s="1"/>
  <c r="P39" i="11" s="1"/>
  <c r="L147" i="11"/>
  <c r="L155" i="11"/>
  <c r="M58" i="11"/>
  <c r="M49" i="11"/>
  <c r="M53" i="11" s="1"/>
  <c r="M54" i="11" s="1"/>
  <c r="N44" i="11"/>
  <c r="N41" i="11"/>
  <c r="O39" i="11"/>
  <c r="D15" i="10"/>
  <c r="P13" i="10"/>
  <c r="H14" i="10"/>
  <c r="Q197" i="11"/>
  <c r="R192" i="11" s="1"/>
  <c r="G68" i="11" l="1"/>
  <c r="O7" i="10" s="1"/>
  <c r="H183" i="11"/>
  <c r="H63" i="11"/>
  <c r="H169" i="11" s="1"/>
  <c r="H172" i="11" s="1"/>
  <c r="I9" i="10"/>
  <c r="H171" i="11"/>
  <c r="M7" i="10"/>
  <c r="N7" i="10" s="1"/>
  <c r="R7" i="10"/>
  <c r="I149" i="11"/>
  <c r="I159" i="11"/>
  <c r="I61" i="11" s="1"/>
  <c r="D16" i="10"/>
  <c r="H16" i="10" s="1"/>
  <c r="R197" i="11"/>
  <c r="S192" i="11" s="1"/>
  <c r="H15" i="10"/>
  <c r="P14" i="10"/>
  <c r="M55" i="11"/>
  <c r="O44" i="11"/>
  <c r="O41" i="11"/>
  <c r="P44" i="11"/>
  <c r="P41" i="11"/>
  <c r="N58" i="11"/>
  <c r="N49" i="11"/>
  <c r="N53" i="11" s="1"/>
  <c r="N54" i="11" s="1"/>
  <c r="M143" i="11"/>
  <c r="Q199" i="11"/>
  <c r="Q22" i="11" s="1"/>
  <c r="Q23" i="11" s="1"/>
  <c r="H173" i="11" l="1"/>
  <c r="H65" i="11" s="1"/>
  <c r="K8" i="10" s="1"/>
  <c r="I64" i="11"/>
  <c r="J9" i="10"/>
  <c r="H187" i="11"/>
  <c r="H66" i="11" s="1"/>
  <c r="L8" i="10" s="1"/>
  <c r="H186" i="11"/>
  <c r="J146" i="11"/>
  <c r="J148" i="11"/>
  <c r="J156" i="11"/>
  <c r="J159" i="11" s="1"/>
  <c r="J61" i="11" s="1"/>
  <c r="N55" i="11"/>
  <c r="P16" i="10"/>
  <c r="P15" i="10"/>
  <c r="S197" i="11"/>
  <c r="T192" i="11" s="1"/>
  <c r="Q39" i="11"/>
  <c r="D17" i="10"/>
  <c r="M155" i="11"/>
  <c r="M147" i="11"/>
  <c r="N143" i="11"/>
  <c r="P58" i="11"/>
  <c r="P49" i="11"/>
  <c r="P53" i="11" s="1"/>
  <c r="P54" i="11" s="1"/>
  <c r="O58" i="11"/>
  <c r="O49" i="11"/>
  <c r="O53" i="11" s="1"/>
  <c r="O54" i="11" s="1"/>
  <c r="R199" i="11"/>
  <c r="R22" i="11" s="1"/>
  <c r="R23" i="11" s="1"/>
  <c r="H174" i="11" l="1"/>
  <c r="I171" i="11" s="1"/>
  <c r="H188" i="11"/>
  <c r="I185" i="11" s="1"/>
  <c r="J10" i="10"/>
  <c r="J64" i="11"/>
  <c r="H67" i="11"/>
  <c r="I183" i="11"/>
  <c r="I63" i="11"/>
  <c r="M8" i="10"/>
  <c r="N8" i="10" s="1"/>
  <c r="R8" i="10"/>
  <c r="J149" i="11"/>
  <c r="J151" i="11"/>
  <c r="J60" i="11" s="1"/>
  <c r="J157" i="11"/>
  <c r="K154" i="11" s="1"/>
  <c r="S199" i="11"/>
  <c r="S22" i="11" s="1"/>
  <c r="S23" i="11" s="1"/>
  <c r="S39" i="11" s="1"/>
  <c r="O55" i="11"/>
  <c r="P55" i="11"/>
  <c r="N155" i="11"/>
  <c r="N147" i="11"/>
  <c r="Q44" i="11"/>
  <c r="Q41" i="11"/>
  <c r="R39" i="11"/>
  <c r="D18" i="10"/>
  <c r="O143" i="11"/>
  <c r="P143" i="11"/>
  <c r="H17" i="10"/>
  <c r="T197" i="11"/>
  <c r="U192" i="11" s="1"/>
  <c r="H68" i="11" l="1"/>
  <c r="O8" i="10" s="1"/>
  <c r="I169" i="11"/>
  <c r="I186" i="11"/>
  <c r="I187" i="11"/>
  <c r="I66" i="11" s="1"/>
  <c r="L9" i="10" s="1"/>
  <c r="J183" i="11"/>
  <c r="I10" i="10"/>
  <c r="J63" i="11"/>
  <c r="K156" i="11"/>
  <c r="K159" i="11" s="1"/>
  <c r="K61" i="11" s="1"/>
  <c r="K146" i="11"/>
  <c r="K148" i="11"/>
  <c r="K151" i="11" s="1"/>
  <c r="K60" i="11" s="1"/>
  <c r="D19" i="10"/>
  <c r="H19" i="10" s="1"/>
  <c r="U197" i="11"/>
  <c r="V192" i="11" s="1"/>
  <c r="P155" i="11"/>
  <c r="P147" i="11"/>
  <c r="H18" i="10"/>
  <c r="P17" i="10"/>
  <c r="O155" i="11"/>
  <c r="O147" i="11"/>
  <c r="R44" i="11"/>
  <c r="R41" i="11"/>
  <c r="S44" i="11"/>
  <c r="S41" i="11"/>
  <c r="Q58" i="11"/>
  <c r="Q49" i="11"/>
  <c r="Q53" i="11" s="1"/>
  <c r="Q54" i="11" s="1"/>
  <c r="T199" i="11"/>
  <c r="T22" i="11" s="1"/>
  <c r="T23" i="11" s="1"/>
  <c r="I188" i="11" l="1"/>
  <c r="J185" i="11" s="1"/>
  <c r="J187" i="11"/>
  <c r="J66" i="11" s="1"/>
  <c r="L10" i="10" s="1"/>
  <c r="J186" i="11"/>
  <c r="K64" i="11"/>
  <c r="K63" i="11" s="1"/>
  <c r="J11" i="10"/>
  <c r="I172" i="11"/>
  <c r="I173" i="11"/>
  <c r="I65" i="11" s="1"/>
  <c r="I11" i="10"/>
  <c r="J169" i="11"/>
  <c r="K149" i="11"/>
  <c r="L146" i="11" s="1"/>
  <c r="K157" i="11"/>
  <c r="L154" i="11" s="1"/>
  <c r="Q55" i="11"/>
  <c r="P19" i="10"/>
  <c r="T39" i="11"/>
  <c r="D20" i="10"/>
  <c r="Q143" i="11"/>
  <c r="S58" i="11"/>
  <c r="S49" i="11"/>
  <c r="S53" i="11" s="1"/>
  <c r="S54" i="11" s="1"/>
  <c r="R58" i="11"/>
  <c r="R49" i="11"/>
  <c r="R53" i="11" s="1"/>
  <c r="R54" i="11" s="1"/>
  <c r="U199" i="11"/>
  <c r="U22" i="11" s="1"/>
  <c r="U23" i="11" s="1"/>
  <c r="P18" i="10"/>
  <c r="V197" i="11"/>
  <c r="W192" i="11" s="1"/>
  <c r="J188" i="11" l="1"/>
  <c r="K185" i="11" s="1"/>
  <c r="I174" i="11"/>
  <c r="J171" i="11" s="1"/>
  <c r="I67" i="11"/>
  <c r="K9" i="10"/>
  <c r="K183" i="11"/>
  <c r="J172" i="11"/>
  <c r="J173" i="11"/>
  <c r="J65" i="11" s="1"/>
  <c r="K169" i="11"/>
  <c r="L156" i="11"/>
  <c r="L159" i="11" s="1"/>
  <c r="L61" i="11" s="1"/>
  <c r="L148" i="11"/>
  <c r="L151" i="11" s="1"/>
  <c r="L60" i="11" s="1"/>
  <c r="U39" i="11"/>
  <c r="D21" i="10"/>
  <c r="R55" i="11"/>
  <c r="S55" i="11"/>
  <c r="Q155" i="11"/>
  <c r="Q147" i="11"/>
  <c r="T44" i="11"/>
  <c r="T41" i="11"/>
  <c r="V199" i="11"/>
  <c r="V22" i="11" s="1"/>
  <c r="V23" i="11" s="1"/>
  <c r="W197" i="11"/>
  <c r="X192" i="11" s="1"/>
  <c r="R143" i="11"/>
  <c r="S143" i="11"/>
  <c r="H20" i="10"/>
  <c r="I68" i="11" l="1"/>
  <c r="O9" i="10" s="1"/>
  <c r="L64" i="11"/>
  <c r="L63" i="11" s="1"/>
  <c r="J12" i="10"/>
  <c r="K187" i="11"/>
  <c r="K66" i="11" s="1"/>
  <c r="L11" i="10" s="1"/>
  <c r="K186" i="11"/>
  <c r="M9" i="10"/>
  <c r="N9" i="10" s="1"/>
  <c r="R9" i="10"/>
  <c r="I12" i="10"/>
  <c r="K172" i="11"/>
  <c r="J67" i="11"/>
  <c r="J68" i="11" s="1"/>
  <c r="O10" i="10" s="1"/>
  <c r="K10" i="10"/>
  <c r="J174" i="11"/>
  <c r="K171" i="11" s="1"/>
  <c r="L149" i="11"/>
  <c r="M146" i="11" s="1"/>
  <c r="L157" i="11"/>
  <c r="M154" i="11" s="1"/>
  <c r="W199" i="11"/>
  <c r="W22" i="11" s="1"/>
  <c r="W23" i="11" s="1"/>
  <c r="D23" i="10" s="1"/>
  <c r="R155" i="11"/>
  <c r="R147" i="11"/>
  <c r="P20" i="10"/>
  <c r="S155" i="11"/>
  <c r="S147" i="11"/>
  <c r="X197" i="11"/>
  <c r="Y192" i="11" s="1"/>
  <c r="V39" i="11"/>
  <c r="D22" i="10"/>
  <c r="T58" i="11"/>
  <c r="T49" i="11"/>
  <c r="T53" i="11" s="1"/>
  <c r="T54" i="11" s="1"/>
  <c r="U44" i="11"/>
  <c r="U41" i="11"/>
  <c r="H21" i="10"/>
  <c r="K188" i="11" l="1"/>
  <c r="L185" i="11" s="1"/>
  <c r="L183" i="11"/>
  <c r="K173" i="11"/>
  <c r="K65" i="11" s="1"/>
  <c r="K67" i="11" s="1"/>
  <c r="K68" i="11" s="1"/>
  <c r="O11" i="10" s="1"/>
  <c r="M10" i="10"/>
  <c r="N10" i="10" s="1"/>
  <c r="R10" i="10"/>
  <c r="L169" i="11"/>
  <c r="M156" i="11"/>
  <c r="M157" i="11" s="1"/>
  <c r="N154" i="11" s="1"/>
  <c r="M148" i="11"/>
  <c r="M151" i="11" s="1"/>
  <c r="M60" i="11" s="1"/>
  <c r="W39" i="11"/>
  <c r="W41" i="11" s="1"/>
  <c r="X199" i="11"/>
  <c r="X22" i="11" s="1"/>
  <c r="X23" i="11" s="1"/>
  <c r="D24" i="10" s="1"/>
  <c r="P21" i="10"/>
  <c r="T55" i="11"/>
  <c r="H22" i="10"/>
  <c r="H23" i="10"/>
  <c r="U58" i="11"/>
  <c r="U49" i="11"/>
  <c r="U53" i="11" s="1"/>
  <c r="U54" i="11" s="1"/>
  <c r="T143" i="11"/>
  <c r="V44" i="11"/>
  <c r="V41" i="11"/>
  <c r="Y197" i="11"/>
  <c r="Z192" i="11" s="1"/>
  <c r="K11" i="10" l="1"/>
  <c r="R11" i="10" s="1"/>
  <c r="L187" i="11"/>
  <c r="L66" i="11" s="1"/>
  <c r="L12" i="10" s="1"/>
  <c r="L186" i="11"/>
  <c r="K174" i="11"/>
  <c r="L171" i="11" s="1"/>
  <c r="I13" i="10"/>
  <c r="L172" i="11"/>
  <c r="L173" i="11"/>
  <c r="L65" i="11" s="1"/>
  <c r="M159" i="11"/>
  <c r="M61" i="11" s="1"/>
  <c r="M149" i="11"/>
  <c r="N156" i="11" s="1"/>
  <c r="X39" i="11"/>
  <c r="X44" i="11" s="1"/>
  <c r="W44" i="11"/>
  <c r="W49" i="11" s="1"/>
  <c r="W53" i="11" s="1"/>
  <c r="W54" i="11" s="1"/>
  <c r="P23" i="10"/>
  <c r="Z197" i="11"/>
  <c r="AA192" i="11" s="1"/>
  <c r="P22" i="10"/>
  <c r="T155" i="11"/>
  <c r="T147" i="11"/>
  <c r="U143" i="11"/>
  <c r="H24" i="10"/>
  <c r="V58" i="11"/>
  <c r="V49" i="11"/>
  <c r="V53" i="11" s="1"/>
  <c r="V54" i="11" s="1"/>
  <c r="U55" i="11"/>
  <c r="Y199" i="11"/>
  <c r="Y22" i="11" s="1"/>
  <c r="Y23" i="11" s="1"/>
  <c r="L188" i="11" l="1"/>
  <c r="M185" i="11" s="1"/>
  <c r="M11" i="10"/>
  <c r="N11" i="10" s="1"/>
  <c r="M64" i="11"/>
  <c r="J13" i="10"/>
  <c r="K12" i="10"/>
  <c r="L67" i="11"/>
  <c r="L174" i="11"/>
  <c r="M171" i="11" s="1"/>
  <c r="N146" i="11"/>
  <c r="N148" i="11"/>
  <c r="N151" i="11" s="1"/>
  <c r="N60" i="11" s="1"/>
  <c r="N157" i="11"/>
  <c r="O154" i="11" s="1"/>
  <c r="N159" i="11"/>
  <c r="N61" i="11" s="1"/>
  <c r="W58" i="11"/>
  <c r="X41" i="11"/>
  <c r="F41" i="11" s="1"/>
  <c r="X42" i="11" s="1"/>
  <c r="V55" i="11"/>
  <c r="W55" i="11"/>
  <c r="Y39" i="11"/>
  <c r="Y44" i="11" s="1"/>
  <c r="D25" i="10"/>
  <c r="X58" i="11"/>
  <c r="X49" i="11"/>
  <c r="X53" i="11" s="1"/>
  <c r="X54" i="11" s="1"/>
  <c r="V143" i="11"/>
  <c r="AA197" i="11"/>
  <c r="AB192" i="11" s="1"/>
  <c r="U155" i="11"/>
  <c r="U147" i="11"/>
  <c r="Z199" i="11"/>
  <c r="Z22" i="11" s="1"/>
  <c r="Z23" i="11" s="1"/>
  <c r="N64" i="11" l="1"/>
  <c r="N63" i="11" s="1"/>
  <c r="J14" i="10"/>
  <c r="M183" i="11"/>
  <c r="M63" i="11"/>
  <c r="M169" i="11" s="1"/>
  <c r="M172" i="11" s="1"/>
  <c r="I14" i="10"/>
  <c r="L68" i="11"/>
  <c r="O12" i="10" s="1"/>
  <c r="M12" i="10"/>
  <c r="N12" i="10" s="1"/>
  <c r="R12" i="10"/>
  <c r="N149" i="11"/>
  <c r="O156" i="11" s="1"/>
  <c r="O159" i="11" s="1"/>
  <c r="O61" i="11" s="1"/>
  <c r="W143" i="11"/>
  <c r="W155" i="11" s="1"/>
  <c r="P24" i="10"/>
  <c r="E41" i="11"/>
  <c r="G59" i="7" s="1"/>
  <c r="G60" i="7" s="1"/>
  <c r="X55" i="11"/>
  <c r="H25" i="10"/>
  <c r="Z42" i="11"/>
  <c r="AB42" i="11"/>
  <c r="AD42" i="11"/>
  <c r="AF42" i="11"/>
  <c r="AH42" i="11"/>
  <c r="AJ42" i="11"/>
  <c r="Y42" i="11"/>
  <c r="AA42" i="11"/>
  <c r="AC42" i="11"/>
  <c r="AE42" i="11"/>
  <c r="AG42" i="11"/>
  <c r="AI42" i="11"/>
  <c r="G56" i="7"/>
  <c r="G57" i="7" s="1"/>
  <c r="G42" i="11"/>
  <c r="H42" i="11"/>
  <c r="I42" i="11"/>
  <c r="J42" i="11"/>
  <c r="K42" i="11"/>
  <c r="L42" i="11"/>
  <c r="M42" i="11"/>
  <c r="N42" i="11"/>
  <c r="P42" i="11"/>
  <c r="O42" i="11"/>
  <c r="Q42" i="11"/>
  <c r="S42" i="11"/>
  <c r="R42" i="11"/>
  <c r="T42" i="11"/>
  <c r="U42" i="11"/>
  <c r="W42" i="11"/>
  <c r="V42" i="11"/>
  <c r="AB197" i="11"/>
  <c r="AC192" i="11" s="1"/>
  <c r="Z39" i="11"/>
  <c r="Z44" i="11" s="1"/>
  <c r="D26" i="10"/>
  <c r="V155" i="11"/>
  <c r="V147" i="11"/>
  <c r="X143" i="11"/>
  <c r="Y58" i="11"/>
  <c r="Y49" i="11"/>
  <c r="Y53" i="11" s="1"/>
  <c r="Y54" i="11" s="1"/>
  <c r="AA199" i="11"/>
  <c r="AA22" i="11" s="1"/>
  <c r="AA23" i="11" s="1"/>
  <c r="D11" i="9" l="1"/>
  <c r="D10" i="9"/>
  <c r="M173" i="11"/>
  <c r="M65" i="11" s="1"/>
  <c r="K13" i="10" s="1"/>
  <c r="J15" i="10"/>
  <c r="O64" i="11"/>
  <c r="M187" i="11"/>
  <c r="M66" i="11" s="1"/>
  <c r="L13" i="10" s="1"/>
  <c r="M186" i="11"/>
  <c r="N183" i="11"/>
  <c r="N169" i="11"/>
  <c r="O148" i="11"/>
  <c r="O151" i="11" s="1"/>
  <c r="O60" i="11" s="1"/>
  <c r="O146" i="11"/>
  <c r="O157" i="11"/>
  <c r="P154" i="11" s="1"/>
  <c r="W147" i="11"/>
  <c r="AB199" i="11"/>
  <c r="AB22" i="11" s="1"/>
  <c r="AB23" i="11" s="1"/>
  <c r="D28" i="10" s="1"/>
  <c r="Z58" i="11"/>
  <c r="Z49" i="11"/>
  <c r="Z53" i="11" s="1"/>
  <c r="Z54" i="11" s="1"/>
  <c r="F56" i="7"/>
  <c r="Y55" i="11"/>
  <c r="X147" i="11"/>
  <c r="X155" i="11"/>
  <c r="AA39" i="11"/>
  <c r="AA44" i="11" s="1"/>
  <c r="D27" i="10"/>
  <c r="Y143" i="11"/>
  <c r="H26" i="10"/>
  <c r="AC197" i="11"/>
  <c r="AD192" i="11" s="1"/>
  <c r="M188" i="11" l="1"/>
  <c r="N185" i="11" s="1"/>
  <c r="M67" i="11"/>
  <c r="M68" i="11" s="1"/>
  <c r="O13" i="10" s="1"/>
  <c r="M174" i="11"/>
  <c r="N171" i="11" s="1"/>
  <c r="N186" i="11"/>
  <c r="O183" i="11"/>
  <c r="R13" i="10"/>
  <c r="M13" i="10"/>
  <c r="N13" i="10" s="1"/>
  <c r="I15" i="10"/>
  <c r="O63" i="11"/>
  <c r="N172" i="11"/>
  <c r="N173" i="11"/>
  <c r="N65" i="11" s="1"/>
  <c r="O149" i="11"/>
  <c r="P146" i="11" s="1"/>
  <c r="AB39" i="11"/>
  <c r="AB44" i="11" s="1"/>
  <c r="AB49" i="11" s="1"/>
  <c r="AB53" i="11" s="1"/>
  <c r="AB54" i="11" s="1"/>
  <c r="AC199" i="11"/>
  <c r="AC22" i="11" s="1"/>
  <c r="AC23" i="11" s="1"/>
  <c r="D29" i="10" s="1"/>
  <c r="Z143" i="11"/>
  <c r="Y155" i="11"/>
  <c r="Y147" i="11"/>
  <c r="H27" i="10"/>
  <c r="AD197" i="11"/>
  <c r="AE192" i="11" s="1"/>
  <c r="AA58" i="11"/>
  <c r="AA49" i="11"/>
  <c r="AA53" i="11" s="1"/>
  <c r="AA54" i="11" s="1"/>
  <c r="H28" i="10"/>
  <c r="Z55" i="11"/>
  <c r="N187" i="11" l="1"/>
  <c r="N66" i="11" s="1"/>
  <c r="L14" i="10" s="1"/>
  <c r="O186" i="11"/>
  <c r="K14" i="10"/>
  <c r="N174" i="11"/>
  <c r="O171" i="11" s="1"/>
  <c r="O169" i="11"/>
  <c r="P156" i="11"/>
  <c r="P159" i="11" s="1"/>
  <c r="P61" i="11" s="1"/>
  <c r="P148" i="11"/>
  <c r="P151" i="11" s="1"/>
  <c r="P60" i="11" s="1"/>
  <c r="AB58" i="11"/>
  <c r="AC39" i="11"/>
  <c r="AC44" i="11" s="1"/>
  <c r="AC58" i="11" s="1"/>
  <c r="AD199" i="11"/>
  <c r="AD22" i="11" s="1"/>
  <c r="AD23" i="11" s="1"/>
  <c r="AD39" i="11" s="1"/>
  <c r="AD44" i="11" s="1"/>
  <c r="AA143" i="11"/>
  <c r="Z155" i="11"/>
  <c r="Z147" i="11"/>
  <c r="AB55" i="11"/>
  <c r="AA55" i="11"/>
  <c r="AE197" i="11"/>
  <c r="AF192" i="11" s="1"/>
  <c r="AF199" i="11" s="1"/>
  <c r="AF22" i="11" s="1"/>
  <c r="AF23" i="11" s="1"/>
  <c r="AF39" i="11" s="1"/>
  <c r="AF44" i="11" s="1"/>
  <c r="H29" i="10"/>
  <c r="N67" i="11" l="1"/>
  <c r="N68" i="11" s="1"/>
  <c r="O14" i="10" s="1"/>
  <c r="N188" i="11"/>
  <c r="O185" i="11" s="1"/>
  <c r="P64" i="11"/>
  <c r="P63" i="11" s="1"/>
  <c r="J16" i="10"/>
  <c r="I16" i="10"/>
  <c r="O172" i="11"/>
  <c r="O173" i="11"/>
  <c r="O65" i="11" s="1"/>
  <c r="R14" i="10"/>
  <c r="M14" i="10"/>
  <c r="N14" i="10" s="1"/>
  <c r="P157" i="11"/>
  <c r="Q154" i="11" s="1"/>
  <c r="P149" i="11"/>
  <c r="AC49" i="11"/>
  <c r="AC53" i="11" s="1"/>
  <c r="AC54" i="11" s="1"/>
  <c r="AC55" i="11" s="1"/>
  <c r="AB143" i="11"/>
  <c r="AB155" i="11" s="1"/>
  <c r="D30" i="10"/>
  <c r="H30" i="10" s="1"/>
  <c r="AF58" i="11"/>
  <c r="AF49" i="11"/>
  <c r="AF53" i="11" s="1"/>
  <c r="AF54" i="11" s="1"/>
  <c r="AC143" i="11"/>
  <c r="AD58" i="11"/>
  <c r="AD49" i="11"/>
  <c r="AD53" i="11" s="1"/>
  <c r="AD54" i="11" s="1"/>
  <c r="AA155" i="11"/>
  <c r="AA147" i="11"/>
  <c r="AE199" i="11"/>
  <c r="AE22" i="11" s="1"/>
  <c r="AE23" i="11" s="1"/>
  <c r="O187" i="11" l="1"/>
  <c r="O66" i="11" s="1"/>
  <c r="L15" i="10" s="1"/>
  <c r="P183" i="11"/>
  <c r="O174" i="11"/>
  <c r="P171" i="11" s="1"/>
  <c r="K15" i="10"/>
  <c r="P169" i="11"/>
  <c r="Q148" i="11"/>
  <c r="Q151" i="11" s="1"/>
  <c r="Q60" i="11" s="1"/>
  <c r="Q146" i="11"/>
  <c r="Q156" i="11"/>
  <c r="AB147" i="11"/>
  <c r="AD143" i="11"/>
  <c r="AE39" i="11"/>
  <c r="AE44" i="11" s="1"/>
  <c r="D31" i="10"/>
  <c r="AD55" i="11"/>
  <c r="AC155" i="11"/>
  <c r="AC147" i="11"/>
  <c r="AF143" i="11"/>
  <c r="O67" i="11" l="1"/>
  <c r="O68" i="11" s="1"/>
  <c r="O15" i="10" s="1"/>
  <c r="O188" i="11"/>
  <c r="P185" i="11" s="1"/>
  <c r="P186" i="11"/>
  <c r="I17" i="10"/>
  <c r="P172" i="11"/>
  <c r="P173" i="11"/>
  <c r="P65" i="11" s="1"/>
  <c r="R15" i="10"/>
  <c r="M15" i="10"/>
  <c r="N15" i="10" s="1"/>
  <c r="Q149" i="11"/>
  <c r="Q159" i="11"/>
  <c r="Q61" i="11" s="1"/>
  <c r="Q157" i="11"/>
  <c r="R154" i="11" s="1"/>
  <c r="H31" i="10"/>
  <c r="AF155" i="11"/>
  <c r="AF147" i="11"/>
  <c r="AE58" i="11"/>
  <c r="AE49" i="11"/>
  <c r="AE53" i="11" s="1"/>
  <c r="AE54" i="11" s="1"/>
  <c r="AD155" i="11"/>
  <c r="AD147" i="11"/>
  <c r="P187" i="11" l="1"/>
  <c r="P66" i="11" s="1"/>
  <c r="L16" i="10" s="1"/>
  <c r="J17" i="10"/>
  <c r="Q64" i="11"/>
  <c r="K16" i="10"/>
  <c r="P174" i="11"/>
  <c r="Q171" i="11" s="1"/>
  <c r="R146" i="11"/>
  <c r="R156" i="11"/>
  <c r="R159" i="11" s="1"/>
  <c r="R61" i="11" s="1"/>
  <c r="R148" i="11"/>
  <c r="R151" i="11" s="1"/>
  <c r="R60" i="11" s="1"/>
  <c r="AE143" i="11"/>
  <c r="AE55" i="11"/>
  <c r="D70" i="11"/>
  <c r="AJ55" i="11"/>
  <c r="AI55" i="11"/>
  <c r="AF55" i="11"/>
  <c r="AG55" i="11"/>
  <c r="AH55" i="11"/>
  <c r="P67" i="11" l="1"/>
  <c r="P188" i="11"/>
  <c r="Q185" i="11" s="1"/>
  <c r="Q183" i="11"/>
  <c r="Q63" i="11"/>
  <c r="Q169" i="11" s="1"/>
  <c r="Q172" i="11" s="1"/>
  <c r="J18" i="10"/>
  <c r="R64" i="11"/>
  <c r="I18" i="10"/>
  <c r="P68" i="11"/>
  <c r="O16" i="10" s="1"/>
  <c r="R16" i="10"/>
  <c r="M16" i="10"/>
  <c r="N16" i="10" s="1"/>
  <c r="R149" i="11"/>
  <c r="S146" i="11" s="1"/>
  <c r="R157" i="11"/>
  <c r="S154" i="11" s="1"/>
  <c r="AE155" i="11"/>
  <c r="AE147" i="11"/>
  <c r="Q173" i="11" l="1"/>
  <c r="Q65" i="11" s="1"/>
  <c r="K17" i="10" s="1"/>
  <c r="R183" i="11"/>
  <c r="R186" i="11" s="1"/>
  <c r="Q186" i="11"/>
  <c r="Q187" i="11"/>
  <c r="Q66" i="11" s="1"/>
  <c r="L17" i="10" s="1"/>
  <c r="R63" i="11"/>
  <c r="R169" i="11" s="1"/>
  <c r="S156" i="11"/>
  <c r="S159" i="11" s="1"/>
  <c r="S61" i="11" s="1"/>
  <c r="S148" i="11"/>
  <c r="S151" i="11" s="1"/>
  <c r="S60" i="11" s="1"/>
  <c r="Q174" i="11" l="1"/>
  <c r="R171" i="11" s="1"/>
  <c r="Q188" i="11"/>
  <c r="R187" i="11" s="1"/>
  <c r="R66" i="11" s="1"/>
  <c r="L18" i="10" s="1"/>
  <c r="S64" i="11"/>
  <c r="S63" i="11" s="1"/>
  <c r="J19" i="10"/>
  <c r="Q67" i="11"/>
  <c r="Q68" i="11" s="1"/>
  <c r="O17" i="10" s="1"/>
  <c r="I19" i="10"/>
  <c r="R17" i="10"/>
  <c r="M17" i="10"/>
  <c r="N17" i="10" s="1"/>
  <c r="R172" i="11"/>
  <c r="S149" i="11"/>
  <c r="T156" i="11" s="1"/>
  <c r="T159" i="11" s="1"/>
  <c r="T61" i="11" s="1"/>
  <c r="S157" i="11"/>
  <c r="T154" i="11" s="1"/>
  <c r="R185" i="11" l="1"/>
  <c r="R188" i="11" s="1"/>
  <c r="S185" i="11" s="1"/>
  <c r="R173" i="11"/>
  <c r="R65" i="11" s="1"/>
  <c r="K18" i="10" s="1"/>
  <c r="T64" i="11"/>
  <c r="J20" i="10"/>
  <c r="S183" i="11"/>
  <c r="S169" i="11"/>
  <c r="T146" i="11"/>
  <c r="T148" i="11"/>
  <c r="T151" i="11" s="1"/>
  <c r="T60" i="11" s="1"/>
  <c r="T157" i="11"/>
  <c r="U154" i="11" s="1"/>
  <c r="R174" i="11" l="1"/>
  <c r="S171" i="11" s="1"/>
  <c r="R67" i="11"/>
  <c r="S186" i="11"/>
  <c r="S187" i="11"/>
  <c r="S66" i="11" s="1"/>
  <c r="L19" i="10" s="1"/>
  <c r="T183" i="11"/>
  <c r="T149" i="11"/>
  <c r="U146" i="11" s="1"/>
  <c r="I20" i="10"/>
  <c r="T63" i="11"/>
  <c r="S172" i="11"/>
  <c r="M18" i="10"/>
  <c r="N18" i="10" s="1"/>
  <c r="R18" i="10"/>
  <c r="R68" i="11"/>
  <c r="O18" i="10" s="1"/>
  <c r="U148" i="11" l="1"/>
  <c r="U151" i="11" s="1"/>
  <c r="U60" i="11" s="1"/>
  <c r="I21" i="10" s="1"/>
  <c r="U156" i="11"/>
  <c r="U159" i="11" s="1"/>
  <c r="U61" i="11" s="1"/>
  <c r="U64" i="11" s="1"/>
  <c r="S173" i="11"/>
  <c r="S65" i="11" s="1"/>
  <c r="S67" i="11" s="1"/>
  <c r="S188" i="11"/>
  <c r="T185" i="11" s="1"/>
  <c r="T186" i="11"/>
  <c r="T169" i="11"/>
  <c r="J21" i="10" l="1"/>
  <c r="U157" i="11"/>
  <c r="V154" i="11" s="1"/>
  <c r="U149" i="11"/>
  <c r="V146" i="11" s="1"/>
  <c r="K19" i="10"/>
  <c r="M19" i="10" s="1"/>
  <c r="N19" i="10" s="1"/>
  <c r="S174" i="11"/>
  <c r="T171" i="11" s="1"/>
  <c r="T187" i="11"/>
  <c r="T66" i="11" s="1"/>
  <c r="L20" i="10" s="1"/>
  <c r="U183" i="11"/>
  <c r="U63" i="11"/>
  <c r="U169" i="11" s="1"/>
  <c r="T172" i="11"/>
  <c r="S68" i="11"/>
  <c r="O19" i="10" s="1"/>
  <c r="T173" i="11" l="1"/>
  <c r="T65" i="11" s="1"/>
  <c r="T67" i="11" s="1"/>
  <c r="V156" i="11"/>
  <c r="V159" i="11" s="1"/>
  <c r="V61" i="11" s="1"/>
  <c r="V64" i="11" s="1"/>
  <c r="R19" i="10"/>
  <c r="V148" i="11"/>
  <c r="V151" i="11" s="1"/>
  <c r="V60" i="11" s="1"/>
  <c r="I22" i="10" s="1"/>
  <c r="T188" i="11"/>
  <c r="U185" i="11" s="1"/>
  <c r="U186" i="11"/>
  <c r="K20" i="10"/>
  <c r="U172" i="11"/>
  <c r="T174" i="11" l="1"/>
  <c r="U171" i="11" s="1"/>
  <c r="J22" i="10"/>
  <c r="V157" i="11"/>
  <c r="W154" i="11" s="1"/>
  <c r="V63" i="11"/>
  <c r="V169" i="11" s="1"/>
  <c r="V149" i="11"/>
  <c r="W146" i="11" s="1"/>
  <c r="U187" i="11"/>
  <c r="U66" i="11" s="1"/>
  <c r="L21" i="10" s="1"/>
  <c r="V183" i="11"/>
  <c r="M20" i="10"/>
  <c r="N20" i="10" s="1"/>
  <c r="R20" i="10"/>
  <c r="T68" i="11"/>
  <c r="O20" i="10" s="1"/>
  <c r="U173" i="11" l="1"/>
  <c r="U65" i="11" s="1"/>
  <c r="K21" i="10" s="1"/>
  <c r="R21" i="10" s="1"/>
  <c r="W148" i="11"/>
  <c r="W151" i="11" s="1"/>
  <c r="W60" i="11" s="1"/>
  <c r="W156" i="11"/>
  <c r="W159" i="11" s="1"/>
  <c r="W61" i="11" s="1"/>
  <c r="J23" i="10" s="1"/>
  <c r="U188" i="11"/>
  <c r="V185" i="11" s="1"/>
  <c r="V186" i="11"/>
  <c r="V172" i="11"/>
  <c r="I23" i="10"/>
  <c r="W149" i="11"/>
  <c r="X146" i="11" s="1"/>
  <c r="M21" i="10" l="1"/>
  <c r="N21" i="10" s="1"/>
  <c r="U174" i="11"/>
  <c r="V171" i="11" s="1"/>
  <c r="U67" i="11"/>
  <c r="U68" i="11" s="1"/>
  <c r="O21" i="10" s="1"/>
  <c r="W64" i="11"/>
  <c r="W63" i="11" s="1"/>
  <c r="W169" i="11" s="1"/>
  <c r="W157" i="11"/>
  <c r="X154" i="11" s="1"/>
  <c r="V173" i="11"/>
  <c r="V65" i="11" s="1"/>
  <c r="K22" i="10" s="1"/>
  <c r="V187" i="11"/>
  <c r="V66" i="11" s="1"/>
  <c r="L22" i="10" s="1"/>
  <c r="X156" i="11"/>
  <c r="X159" i="11" s="1"/>
  <c r="X61" i="11" s="1"/>
  <c r="X148" i="11"/>
  <c r="X151" i="11" s="1"/>
  <c r="X60" i="11" s="1"/>
  <c r="W183" i="11" l="1"/>
  <c r="W186" i="11" s="1"/>
  <c r="V174" i="11"/>
  <c r="W171" i="11" s="1"/>
  <c r="V67" i="11"/>
  <c r="V68" i="11" s="1"/>
  <c r="O22" i="10" s="1"/>
  <c r="V188" i="11"/>
  <c r="W185" i="11" s="1"/>
  <c r="X64" i="11"/>
  <c r="J24" i="10"/>
  <c r="X157" i="11"/>
  <c r="Y154" i="11" s="1"/>
  <c r="I24" i="10"/>
  <c r="R22" i="10"/>
  <c r="M22" i="10"/>
  <c r="N22" i="10" s="1"/>
  <c r="W172" i="11"/>
  <c r="W173" i="11"/>
  <c r="W65" i="11" s="1"/>
  <c r="X149" i="11"/>
  <c r="Y146" i="11" s="1"/>
  <c r="W187" i="11" l="1"/>
  <c r="W66" i="11" s="1"/>
  <c r="L23" i="10" s="1"/>
  <c r="X183" i="11"/>
  <c r="X63" i="11"/>
  <c r="X169" i="11" s="1"/>
  <c r="K23" i="10"/>
  <c r="W174" i="11"/>
  <c r="X171" i="11" s="1"/>
  <c r="Y156" i="11"/>
  <c r="Y157" i="11" s="1"/>
  <c r="Z154" i="11" s="1"/>
  <c r="Y148" i="11"/>
  <c r="Y151" i="11" s="1"/>
  <c r="Y60" i="11" s="1"/>
  <c r="W67" i="11" l="1"/>
  <c r="W68" i="11" s="1"/>
  <c r="O23" i="10" s="1"/>
  <c r="W188" i="11"/>
  <c r="X185" i="11" s="1"/>
  <c r="X186" i="11"/>
  <c r="X187" i="11"/>
  <c r="X66" i="11" s="1"/>
  <c r="L24" i="10" s="1"/>
  <c r="Y159" i="11"/>
  <c r="Y61" i="11" s="1"/>
  <c r="I25" i="10"/>
  <c r="M23" i="10"/>
  <c r="N23" i="10" s="1"/>
  <c r="R23" i="10"/>
  <c r="X172" i="11"/>
  <c r="X173" i="11"/>
  <c r="X65" i="11" s="1"/>
  <c r="Y149" i="11"/>
  <c r="Z156" i="11" s="1"/>
  <c r="Z159" i="11" s="1"/>
  <c r="Z61" i="11" s="1"/>
  <c r="Z64" i="11" l="1"/>
  <c r="J26" i="10"/>
  <c r="J25" i="10"/>
  <c r="Y64" i="11"/>
  <c r="X188" i="11"/>
  <c r="X174" i="11"/>
  <c r="Y171" i="11" s="1"/>
  <c r="K24" i="10"/>
  <c r="X67" i="11"/>
  <c r="Z148" i="11"/>
  <c r="Z151" i="11" s="1"/>
  <c r="Z60" i="11" s="1"/>
  <c r="Z157" i="11"/>
  <c r="AA154" i="11" s="1"/>
  <c r="Z146" i="11"/>
  <c r="Y185" i="11" l="1"/>
  <c r="Y183" i="11"/>
  <c r="Y186" i="11" s="1"/>
  <c r="Y63" i="11"/>
  <c r="Y169" i="11" s="1"/>
  <c r="Y172" i="11" s="1"/>
  <c r="Z183" i="11"/>
  <c r="Z186" i="11" s="1"/>
  <c r="X68" i="11"/>
  <c r="O24" i="10" s="1"/>
  <c r="M24" i="10"/>
  <c r="N24" i="10" s="1"/>
  <c r="R24" i="10"/>
  <c r="I26" i="10"/>
  <c r="Z63" i="11"/>
  <c r="Z149" i="11"/>
  <c r="AA148" i="11" s="1"/>
  <c r="AA151" i="11" s="1"/>
  <c r="AA60" i="11" s="1"/>
  <c r="Y173" i="11" l="1"/>
  <c r="Y65" i="11" s="1"/>
  <c r="K25" i="10" s="1"/>
  <c r="Y187" i="11"/>
  <c r="Y66" i="11" s="1"/>
  <c r="L25" i="10" s="1"/>
  <c r="AA156" i="11"/>
  <c r="AA157" i="11" s="1"/>
  <c r="AB154" i="11" s="1"/>
  <c r="I27" i="10"/>
  <c r="AA146" i="11"/>
  <c r="AA149" i="11" s="1"/>
  <c r="AB148" i="11" s="1"/>
  <c r="AB151" i="11" s="1"/>
  <c r="AB60" i="11" s="1"/>
  <c r="Z169" i="11"/>
  <c r="Y174" i="11" l="1"/>
  <c r="Z171" i="11" s="1"/>
  <c r="Y67" i="11"/>
  <c r="Y68" i="11" s="1"/>
  <c r="O25" i="10" s="1"/>
  <c r="AA159" i="11"/>
  <c r="AA61" i="11" s="1"/>
  <c r="AA64" i="11" s="1"/>
  <c r="Y188" i="11"/>
  <c r="AB156" i="11"/>
  <c r="AB159" i="11" s="1"/>
  <c r="AB61" i="11" s="1"/>
  <c r="AB146" i="11"/>
  <c r="AB149" i="11" s="1"/>
  <c r="AC146" i="11" s="1"/>
  <c r="Z172" i="11"/>
  <c r="Z173" i="11"/>
  <c r="Z65" i="11" s="1"/>
  <c r="I28" i="10"/>
  <c r="M25" i="10"/>
  <c r="N25" i="10" s="1"/>
  <c r="R25" i="10"/>
  <c r="J27" i="10" l="1"/>
  <c r="AC156" i="11"/>
  <c r="AC159" i="11" s="1"/>
  <c r="AC61" i="11" s="1"/>
  <c r="J29" i="10" s="1"/>
  <c r="AC148" i="11"/>
  <c r="AC151" i="11" s="1"/>
  <c r="AC60" i="11" s="1"/>
  <c r="I29" i="10" s="1"/>
  <c r="AB157" i="11"/>
  <c r="AC154" i="11" s="1"/>
  <c r="AB64" i="11"/>
  <c r="J28" i="10"/>
  <c r="Z187" i="11"/>
  <c r="Z66" i="11" s="1"/>
  <c r="L26" i="10" s="1"/>
  <c r="Z185" i="11"/>
  <c r="AA183" i="11"/>
  <c r="AA63" i="11"/>
  <c r="AA169" i="11" s="1"/>
  <c r="AA172" i="11" s="1"/>
  <c r="K26" i="10"/>
  <c r="Z174" i="11"/>
  <c r="AA171" i="11" s="1"/>
  <c r="AC149" i="11" l="1"/>
  <c r="AC157" i="11"/>
  <c r="AD154" i="11" s="1"/>
  <c r="AC64" i="11"/>
  <c r="AC63" i="11" s="1"/>
  <c r="AC169" i="11" s="1"/>
  <c r="Z188" i="11"/>
  <c r="AA185" i="11" s="1"/>
  <c r="AA186" i="11"/>
  <c r="Z67" i="11"/>
  <c r="Z68" i="11" s="1"/>
  <c r="O26" i="10" s="1"/>
  <c r="AB183" i="11"/>
  <c r="AB63" i="11"/>
  <c r="AB169" i="11" s="1"/>
  <c r="AB172" i="11" s="1"/>
  <c r="AA173" i="11"/>
  <c r="AA65" i="11" s="1"/>
  <c r="R26" i="10"/>
  <c r="M26" i="10"/>
  <c r="N26" i="10" s="1"/>
  <c r="AD148" i="11"/>
  <c r="AD151" i="11" s="1"/>
  <c r="AD60" i="11" s="1"/>
  <c r="AD146" i="11"/>
  <c r="AD156" i="11"/>
  <c r="AC183" i="11" l="1"/>
  <c r="AA187" i="11"/>
  <c r="AA66" i="11" s="1"/>
  <c r="L27" i="10" s="1"/>
  <c r="AB186" i="11"/>
  <c r="AC186" i="11"/>
  <c r="I30" i="10"/>
  <c r="AC172" i="11"/>
  <c r="K27" i="10"/>
  <c r="AA174" i="11"/>
  <c r="AD157" i="11"/>
  <c r="AE154" i="11" s="1"/>
  <c r="AD159" i="11"/>
  <c r="AD61" i="11" s="1"/>
  <c r="AD149" i="11"/>
  <c r="AA67" i="11" l="1"/>
  <c r="AA68" i="11" s="1"/>
  <c r="O27" i="10" s="1"/>
  <c r="AA188" i="11"/>
  <c r="AD64" i="11"/>
  <c r="J30" i="10"/>
  <c r="AB171" i="11"/>
  <c r="AB173" i="11"/>
  <c r="AB65" i="11" s="1"/>
  <c r="R27" i="10"/>
  <c r="M27" i="10"/>
  <c r="N27" i="10" s="1"/>
  <c r="AE148" i="11"/>
  <c r="AE151" i="11" s="1"/>
  <c r="AE60" i="11" s="1"/>
  <c r="AE146" i="11"/>
  <c r="AE156" i="11"/>
  <c r="AE159" i="11" s="1"/>
  <c r="AE61" i="11" s="1"/>
  <c r="AB185" i="11" l="1"/>
  <c r="AB187" i="11"/>
  <c r="AB66" i="11" s="1"/>
  <c r="L28" i="10" s="1"/>
  <c r="AE64" i="11"/>
  <c r="AE63" i="11" s="1"/>
  <c r="J31" i="10"/>
  <c r="AD183" i="11"/>
  <c r="AD63" i="11"/>
  <c r="AD169" i="11" s="1"/>
  <c r="AD172" i="11" s="1"/>
  <c r="K28" i="10"/>
  <c r="I31" i="10"/>
  <c r="AB174" i="11"/>
  <c r="AE149" i="11"/>
  <c r="AE157" i="11"/>
  <c r="AF154" i="11" s="1"/>
  <c r="AB67" i="11" l="1"/>
  <c r="AB68" i="11" s="1"/>
  <c r="O28" i="10" s="1"/>
  <c r="AB188" i="11"/>
  <c r="AC187" i="11" s="1"/>
  <c r="AC66" i="11" s="1"/>
  <c r="L29" i="10" s="1"/>
  <c r="AC185" i="11"/>
  <c r="AD186" i="11"/>
  <c r="AE183" i="11"/>
  <c r="AC171" i="11"/>
  <c r="AC173" i="11"/>
  <c r="AC65" i="11" s="1"/>
  <c r="AE169" i="11"/>
  <c r="M28" i="10"/>
  <c r="N28" i="10" s="1"/>
  <c r="R28" i="10"/>
  <c r="AF146" i="11"/>
  <c r="AF156" i="11"/>
  <c r="AF159" i="11" s="1"/>
  <c r="AF61" i="11" s="1"/>
  <c r="AF64" i="11" s="1"/>
  <c r="AF183" i="11" s="1"/>
  <c r="AF148" i="11"/>
  <c r="AF151" i="11" s="1"/>
  <c r="AF60" i="11" s="1"/>
  <c r="AC188" i="11" l="1"/>
  <c r="AE186" i="11"/>
  <c r="AF186" i="11"/>
  <c r="AF63" i="11"/>
  <c r="AF169" i="11" s="1"/>
  <c r="AF172" i="11" s="1"/>
  <c r="AE172" i="11"/>
  <c r="AC67" i="11"/>
  <c r="K29" i="10"/>
  <c r="AC174" i="11"/>
  <c r="AF149" i="11"/>
  <c r="AG146" i="11" s="1"/>
  <c r="AG149" i="11" s="1"/>
  <c r="AH146" i="11" s="1"/>
  <c r="AH149" i="11" s="1"/>
  <c r="AI146" i="11" s="1"/>
  <c r="AI149" i="11" s="1"/>
  <c r="AJ146" i="11" s="1"/>
  <c r="AJ149" i="11" s="1"/>
  <c r="AF157" i="11"/>
  <c r="AG154" i="11" s="1"/>
  <c r="AG157" i="11" s="1"/>
  <c r="AH154" i="11" s="1"/>
  <c r="AH157" i="11" s="1"/>
  <c r="AI154" i="11" s="1"/>
  <c r="AI157" i="11" s="1"/>
  <c r="AJ154" i="11" s="1"/>
  <c r="AJ157" i="11" s="1"/>
  <c r="AD185" i="11" l="1"/>
  <c r="AD187" i="11"/>
  <c r="AD66" i="11" s="1"/>
  <c r="L30" i="10" s="1"/>
  <c r="AC68" i="11"/>
  <c r="O29" i="10" s="1"/>
  <c r="R29" i="10"/>
  <c r="M29" i="10"/>
  <c r="N29" i="10" s="1"/>
  <c r="AD171" i="11"/>
  <c r="AD173" i="11"/>
  <c r="AD65" i="11" s="1"/>
  <c r="AD188" i="11" l="1"/>
  <c r="AD67" i="11"/>
  <c r="K30" i="10"/>
  <c r="AD174" i="11"/>
  <c r="AE185" i="11" l="1"/>
  <c r="AE187" i="11"/>
  <c r="AE66" i="11" s="1"/>
  <c r="L31" i="10" s="1"/>
  <c r="M30" i="10"/>
  <c r="N30" i="10" s="1"/>
  <c r="R30" i="10"/>
  <c r="AE171" i="11"/>
  <c r="AE173" i="11"/>
  <c r="AE65" i="11" s="1"/>
  <c r="AD68" i="11"/>
  <c r="O30" i="10" s="1"/>
  <c r="AE188" i="11" l="1"/>
  <c r="K31" i="10"/>
  <c r="AE67" i="11"/>
  <c r="AE68" i="11" s="1"/>
  <c r="O31" i="10" s="1"/>
  <c r="AE174" i="11"/>
  <c r="AF185" i="11" l="1"/>
  <c r="AF187" i="11"/>
  <c r="AF66" i="11" s="1"/>
  <c r="AF171" i="11"/>
  <c r="AF173" i="11"/>
  <c r="AF65" i="11" s="1"/>
  <c r="R31" i="10"/>
  <c r="M31" i="10"/>
  <c r="N31" i="10" s="1"/>
  <c r="N32" i="10" s="1"/>
  <c r="N33" i="10" s="1"/>
  <c r="N34" i="10" s="1"/>
  <c r="N35" i="10" s="1"/>
  <c r="N36" i="10" s="1"/>
  <c r="AF67" i="11" l="1"/>
  <c r="AF188" i="11"/>
  <c r="AG185" i="11" s="1"/>
  <c r="AG188" i="11" s="1"/>
  <c r="AH185" i="11" s="1"/>
  <c r="AH188" i="11" s="1"/>
  <c r="AI185" i="11" s="1"/>
  <c r="AI188" i="11" s="1"/>
  <c r="AJ185" i="11" s="1"/>
  <c r="AJ188" i="11" s="1"/>
  <c r="AF174" i="11"/>
  <c r="AG171" i="11" s="1"/>
  <c r="AG174" i="11" s="1"/>
  <c r="AH171" i="11" s="1"/>
  <c r="AH174" i="11" s="1"/>
  <c r="AI171" i="11" s="1"/>
  <c r="AI174" i="11" s="1"/>
  <c r="AJ171" i="11" s="1"/>
  <c r="AJ174" i="11" s="1"/>
  <c r="AG68" i="11" l="1"/>
  <c r="D72" i="11"/>
  <c r="O204" i="11" s="1"/>
  <c r="AF68" i="11"/>
  <c r="AJ68" i="11"/>
  <c r="AH68" i="11"/>
  <c r="AI68" i="11"/>
  <c r="D71" i="11"/>
  <c r="K204" i="11" l="1"/>
  <c r="G204"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Jason Gifford</author>
  </authors>
  <commentList>
    <comment ref="D23" authorId="0" shapeId="0" xr:uid="{00000000-0006-0000-0000-000001000000}">
      <text>
        <r>
          <rPr>
            <b/>
            <sz val="14"/>
            <color indexed="81"/>
            <rFont val="Tahoma"/>
            <family val="2"/>
          </rPr>
          <t>Note:</t>
        </r>
        <r>
          <rPr>
            <sz val="14"/>
            <color indexed="81"/>
            <rFont val="Tahoma"/>
            <family val="2"/>
          </rPr>
          <t xml:space="preserve">
The user is strongly encouraged to review all of these comments in order to understand key features of the CREST model.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Jason Gifford</author>
    <author>Tyler Leeds</author>
  </authors>
  <commentList>
    <comment ref="AD2" authorId="0" shapeId="0" xr:uid="{00000000-0006-0000-0100-000001000000}">
      <text>
        <r>
          <rPr>
            <b/>
            <sz val="12"/>
            <color indexed="81"/>
            <rFont val="Tahoma"/>
            <family val="2"/>
          </rPr>
          <t>Note:</t>
        </r>
        <r>
          <rPr>
            <sz val="12"/>
            <color indexed="81"/>
            <rFont val="Tahoma"/>
            <family val="2"/>
          </rPr>
          <t xml:space="preserve">
Individual project capacity factors will vary based on site-specific conditions.</t>
        </r>
      </text>
    </comment>
    <comment ref="C4" authorId="0" shapeId="0" xr:uid="{00000000-0006-0000-0100-000002000000}">
      <text>
        <r>
          <rPr>
            <sz val="14"/>
            <color indexed="81"/>
            <rFont val="Tahoma"/>
            <family val="2"/>
          </rPr>
          <t xml:space="preserve">The "Check" column evaluates whether or not values have been enterred in all required fields.  Green denotes an accepted entry in a required field or a calculation for which the minimum required precedents have been satisfied.  Red denotes the absence of an entry in a required field, or a calculation for which the minimum required precendents have NOT been satisfied.
</t>
        </r>
        <r>
          <rPr>
            <b/>
            <sz val="14"/>
            <color indexed="81"/>
            <rFont val="Tahoma"/>
            <family val="2"/>
          </rPr>
          <t>Please note</t>
        </r>
        <r>
          <rPr>
            <sz val="14"/>
            <color indexed="81"/>
            <rFont val="Tahoma"/>
            <family val="2"/>
          </rPr>
          <t xml:space="preserve"> that while the "Check" column ensures the population of all required fields, this column does NOT validate the magnitude of such entries.  It is the model user's responsibility to provide inputs which accurately represent the project being modeled.  In some cases, a range of typical values for a specified input are provided in that input's "Notes" cell.
</t>
        </r>
      </text>
    </comment>
    <comment ref="I4" authorId="0" shapeId="0" xr:uid="{00000000-0006-0000-0100-000003000000}">
      <text>
        <r>
          <rPr>
            <sz val="14"/>
            <color indexed="81"/>
            <rFont val="Tahoma"/>
            <family val="2"/>
          </rPr>
          <t xml:space="preserve">Each cell in the "Notes" column provides a brief description of the input in the corresponding row, its application within the model, and (in some cases) the range of values that might be expected to populate that  input cell.  It is the model user's responsibility, however, to research and validate the applicability of, and appropriate value for, each input.
</t>
        </r>
        <r>
          <rPr>
            <sz val="8"/>
            <color indexed="81"/>
            <rFont val="Tahoma"/>
            <family val="2"/>
          </rPr>
          <t xml:space="preserve">
</t>
        </r>
      </text>
    </comment>
    <comment ref="M4" authorId="0" shapeId="0" xr:uid="{00000000-0006-0000-0100-000004000000}">
      <text>
        <r>
          <rPr>
            <sz val="14"/>
            <color indexed="81"/>
            <rFont val="Tahoma"/>
            <family val="2"/>
          </rPr>
          <t xml:space="preserve">The "Check" column evaluates whether or not values have been enterred in all required fields.  Green denotes an accepted entry in a required field or a calculation for which the minimum required precedents have been satisfied.  Red denotes the absence of an entry in a required field, or a calculation for which the minimum required precendents have NOT been satisfied.
</t>
        </r>
        <r>
          <rPr>
            <b/>
            <sz val="14"/>
            <color indexed="81"/>
            <rFont val="Tahoma"/>
            <family val="2"/>
          </rPr>
          <t>Please note</t>
        </r>
        <r>
          <rPr>
            <sz val="14"/>
            <color indexed="81"/>
            <rFont val="Tahoma"/>
            <family val="2"/>
          </rPr>
          <t xml:space="preserve"> that while the "Check" column ensures the population of all required fields, this column does NOT validate the magnitude of such entries.  It is the model user's responsibility to provide inputs which accurately represent the project being modeled.  In some cases, a range of typical values for a specified input are provided in that input's "Notes" cell.
</t>
        </r>
      </text>
    </comment>
    <comment ref="S4" authorId="0" shapeId="0" xr:uid="{00000000-0006-0000-0100-000005000000}">
      <text>
        <r>
          <rPr>
            <sz val="14"/>
            <color indexed="81"/>
            <rFont val="Tahoma"/>
            <family val="2"/>
          </rPr>
          <t>Each cell in the "Notes" column provides a brief description of the input in the corresponding row, its application within the model, and (in some cases) the range of values that might be expected to populate that  input cell. It is the model user's responsibility, however, to research and validate the applicability of, and appropriate value for, each input.</t>
        </r>
        <r>
          <rPr>
            <sz val="8"/>
            <color indexed="81"/>
            <rFont val="Tahoma"/>
            <family val="2"/>
          </rPr>
          <t xml:space="preserve">
</t>
        </r>
      </text>
    </comment>
    <comment ref="AE4" authorId="0" shapeId="0" xr:uid="{00000000-0006-0000-0100-000006000000}">
      <text>
        <r>
          <rPr>
            <b/>
            <sz val="12"/>
            <color indexed="81"/>
            <rFont val="Tahoma"/>
            <family val="2"/>
          </rPr>
          <t>Note:</t>
        </r>
        <r>
          <rPr>
            <sz val="12"/>
            <color indexed="81"/>
            <rFont val="Tahoma"/>
            <family val="2"/>
          </rPr>
          <t xml:space="preserve">
The net capacity factor provided assumes fixed tilt, facing south at 25 degrees. Source = PV Watts</t>
        </r>
      </text>
    </comment>
    <comment ref="I5" authorId="1" shapeId="0" xr:uid="{00000000-0006-0000-0100-000007000000}">
      <text>
        <r>
          <rPr>
            <b/>
            <sz val="14"/>
            <color indexed="81"/>
            <rFont val="Tahoma"/>
            <family val="2"/>
          </rPr>
          <t xml:space="preserve">Note:
</t>
        </r>
        <r>
          <rPr>
            <sz val="14"/>
            <color indexed="81"/>
            <rFont val="Tahoma"/>
            <family val="2"/>
          </rPr>
          <t xml:space="preserve">Select either PV or Solar Thermal Electric in the drop-down menu to the right.
PV system capacity is modeled in DC and thermal system capacity is modeled in AC, the capacity factor input is modeled in AC for both. In general, the model user should take care to review the units column for each input prior to entering a value and ensure that all modeling inputs are consistent with the units shown for that cell.
</t>
        </r>
      </text>
    </comment>
    <comment ref="F7" authorId="0" shapeId="0" xr:uid="{00000000-0006-0000-0100-000008000000}">
      <text>
        <r>
          <rPr>
            <b/>
            <sz val="8"/>
            <color indexed="81"/>
            <rFont val="Tahoma"/>
            <family val="2"/>
          </rPr>
          <t>See "unit" definitions at the bottom of this worksheet.</t>
        </r>
        <r>
          <rPr>
            <sz val="8"/>
            <color indexed="81"/>
            <rFont val="Tahoma"/>
            <family val="2"/>
          </rPr>
          <t xml:space="preserve">
</t>
        </r>
      </text>
    </comment>
    <comment ref="P7" authorId="0" shapeId="0" xr:uid="{00000000-0006-0000-0100-000009000000}">
      <text>
        <r>
          <rPr>
            <b/>
            <sz val="8"/>
            <color indexed="81"/>
            <rFont val="Tahoma"/>
            <family val="2"/>
          </rPr>
          <t>See "unit" definitions at the bottom of this worksheet.</t>
        </r>
        <r>
          <rPr>
            <sz val="8"/>
            <color indexed="81"/>
            <rFont val="Tahoma"/>
            <family val="2"/>
          </rPr>
          <t xml:space="preserve">
</t>
        </r>
      </text>
    </comment>
    <comment ref="I8" authorId="1" shapeId="0" xr:uid="{00000000-0006-0000-0100-00000A000000}">
      <text>
        <r>
          <rPr>
            <b/>
            <sz val="14"/>
            <color indexed="81"/>
            <rFont val="Tahoma"/>
            <family val="2"/>
          </rPr>
          <t>Note:</t>
        </r>
        <r>
          <rPr>
            <sz val="14"/>
            <color indexed="81"/>
            <rFont val="Tahoma"/>
            <family val="2"/>
          </rPr>
          <t xml:space="preserve">
If the model is being used for PV and only kW AC is known, use the NREL derived conversion factor of 1.3x your known system size to determine your DC capacity. 
See PV Watts for more information: http://www.pvwatts.org/
*See bottom of introduction page for a list of links
Input must be greater than zero.
</t>
        </r>
      </text>
    </comment>
    <comment ref="S8" authorId="1" shapeId="0" xr:uid="{00000000-0006-0000-0100-00000B000000}">
      <text>
        <r>
          <rPr>
            <b/>
            <sz val="14"/>
            <color indexed="81"/>
            <rFont val="Tahoma"/>
            <family val="2"/>
          </rPr>
          <t xml:space="preserve">Note:
</t>
        </r>
        <r>
          <rPr>
            <sz val="14"/>
            <color indexed="81"/>
            <rFont val="Tahoma"/>
            <family val="2"/>
          </rPr>
          <t xml:space="preserve">The FIT contract length is the number of years for which the rate specified by this model is available. This term is established by policymakers and must be less than or equal to the project's useful life.  
The contract duration is also different than the debt tenor (if applicable), which is specified in the Permanent Financing section below.
</t>
        </r>
      </text>
    </comment>
    <comment ref="I9" authorId="1" shapeId="0" xr:uid="{00000000-0006-0000-0100-00000C000000}">
      <text>
        <r>
          <rPr>
            <b/>
            <sz val="14"/>
            <color indexed="81"/>
            <rFont val="Tahoma"/>
            <family val="2"/>
          </rPr>
          <t>Note:</t>
        </r>
        <r>
          <rPr>
            <sz val="14"/>
            <color indexed="81"/>
            <rFont val="Tahoma"/>
            <family val="2"/>
          </rPr>
          <t xml:space="preserve">
This input toggle allows the user to elect whether to provide his/her own Net Capacity Factor (the "Custom" option) or to select the state in which the project resides and allow the model to populate the Net Capacity Factor using a statewide average value provided by NREL (the "State Average" option).
If State Average is selected, it should be noted that individual project capacity factors will vary based on site-specific conditions.</t>
        </r>
      </text>
    </comment>
    <comment ref="S9" authorId="1" shapeId="0" xr:uid="{00000000-0006-0000-0100-00000D000000}">
      <text>
        <r>
          <rPr>
            <b/>
            <sz val="14"/>
            <color indexed="81"/>
            <rFont val="Tahoma"/>
            <family val="2"/>
          </rPr>
          <t xml:space="preserve">Note:
</t>
        </r>
        <r>
          <rPr>
            <sz val="14"/>
            <color indexed="81"/>
            <rFont val="Tahoma"/>
            <family val="2"/>
          </rPr>
          <t xml:space="preserve">This is the portion (%) of the tariff which is subject to annual escalation.  
Program administrators may determine that some or all of the tariff rate should be escalated to reflect the uncertainty associated with the future cost of owning and operating an electricity generating facility. This input is separate from the inflation assumed to apply to certain O&amp;M expenses, which is provided as an input in the O&amp;M section below.
Input must be between 0% and 100%.
</t>
        </r>
      </text>
    </comment>
    <comment ref="I10" authorId="1" shapeId="0" xr:uid="{00000000-0006-0000-0100-00000E000000}">
      <text>
        <r>
          <rPr>
            <b/>
            <sz val="14"/>
            <color indexed="81"/>
            <rFont val="Tahoma"/>
            <family val="2"/>
          </rPr>
          <t>Note:</t>
        </r>
        <r>
          <rPr>
            <sz val="14"/>
            <color indexed="81"/>
            <rFont val="Tahoma"/>
            <family val="2"/>
          </rPr>
          <t xml:space="preserve">
Select the state in which the project has been, or is expected to be, installed.
It should be noted that individual project capacity factors will vary based on site-specific conditions.
The net capacity factor provided assumes fixed tilt, facing south at 25 degrees. Source = PV Watts</t>
        </r>
      </text>
    </comment>
    <comment ref="S10" authorId="1" shapeId="0" xr:uid="{00000000-0006-0000-0100-00000F000000}">
      <text>
        <r>
          <rPr>
            <b/>
            <sz val="14"/>
            <color indexed="81"/>
            <rFont val="Tahoma"/>
            <family val="2"/>
          </rPr>
          <t xml:space="preserve">Note:
</t>
        </r>
        <r>
          <rPr>
            <sz val="14"/>
            <color indexed="81"/>
            <rFont val="Tahoma"/>
            <family val="2"/>
          </rPr>
          <t xml:space="preserve">To calculate a </t>
        </r>
        <r>
          <rPr>
            <b/>
            <sz val="14"/>
            <color indexed="81"/>
            <rFont val="Tahoma"/>
            <family val="2"/>
          </rPr>
          <t>nominal levelized tariff rate</t>
        </r>
        <r>
          <rPr>
            <sz val="14"/>
            <color indexed="81"/>
            <rFont val="Tahoma"/>
            <family val="2"/>
          </rPr>
          <t xml:space="preserve">, the "feed-in tariff escalation rate" field should be </t>
        </r>
        <r>
          <rPr>
            <b/>
            <sz val="14"/>
            <color indexed="81"/>
            <rFont val="Tahoma"/>
            <family val="2"/>
          </rPr>
          <t>set to zero</t>
        </r>
        <r>
          <rPr>
            <sz val="14"/>
            <color indexed="81"/>
            <rFont val="Tahoma"/>
            <family val="2"/>
          </rPr>
          <t>.</t>
        </r>
        <r>
          <rPr>
            <b/>
            <sz val="14"/>
            <color indexed="81"/>
            <rFont val="Tahoma"/>
            <family val="2"/>
          </rPr>
          <t xml:space="preserve">
</t>
        </r>
        <r>
          <rPr>
            <sz val="14"/>
            <color indexed="81"/>
            <rFont val="Tahoma"/>
            <family val="2"/>
          </rPr>
          <t xml:space="preserve">Where applied, tariff rate escalation is intended to serve as a risk mitigating tool, at least partially protecting the project investor from the uncertainty associated with the future cost of owning and operating the renewable energy facility. The escalation rate can be used to assume a year over year increase in all, or a portion, of the per unit payment provided to eligible generators. This concept is separate from inflationary adjustments to future operating cost assumptions -- which are input below.
This rate is applied annually.  Note that in this model, calendar years and tariff years are aligned.
</t>
        </r>
        <r>
          <rPr>
            <b/>
            <sz val="14"/>
            <color indexed="81"/>
            <rFont val="Tahoma"/>
            <family val="2"/>
          </rPr>
          <t>Caution:</t>
        </r>
        <r>
          <rPr>
            <sz val="14"/>
            <color indexed="81"/>
            <rFont val="Tahoma"/>
            <family val="2"/>
          </rPr>
          <t xml:space="preserve"> A value must be entered into this cell in order for the model to function properly. The input can be positive or negative (if the FIT value decreases over time), and a typical value may fall between 0% and 5%.  
</t>
        </r>
      </text>
    </comment>
    <comment ref="I11" authorId="1" shapeId="0" xr:uid="{00000000-0006-0000-0100-000010000000}">
      <text>
        <r>
          <rPr>
            <b/>
            <sz val="14"/>
            <color indexed="81"/>
            <rFont val="Tahoma"/>
            <family val="2"/>
          </rPr>
          <t>Note:</t>
        </r>
        <r>
          <rPr>
            <sz val="14"/>
            <color indexed="81"/>
            <rFont val="Tahoma"/>
            <family val="2"/>
          </rPr>
          <t xml:space="preserve">
If the "Custom" option is selected, then enter the projects (expected) Net Capacity Factor here.
</t>
        </r>
      </text>
    </comment>
    <comment ref="I12" authorId="1" shapeId="0" xr:uid="{00000000-0006-0000-0100-000011000000}">
      <text>
        <r>
          <rPr>
            <b/>
            <sz val="14"/>
            <color indexed="81"/>
            <rFont val="Tahoma"/>
            <family val="2"/>
          </rPr>
          <t>Note:</t>
        </r>
        <r>
          <rPr>
            <sz val="14"/>
            <color indexed="81"/>
            <rFont val="Tahoma"/>
            <family val="2"/>
          </rPr>
          <t xml:space="preserve">
Capacity Factor is the % representation of the actual production vs. the theoretical maximum annual production of an energy project. This model requires the input of a </t>
        </r>
        <r>
          <rPr>
            <b/>
            <sz val="14"/>
            <color indexed="81"/>
            <rFont val="Tahoma"/>
            <family val="2"/>
          </rPr>
          <t>Net Capacity Factor</t>
        </r>
        <r>
          <rPr>
            <sz val="14"/>
            <color indexed="81"/>
            <rFont val="Tahoma"/>
            <family val="2"/>
          </rPr>
          <t xml:space="preserve">, meaning that the estimate of actual energy production should take into account </t>
        </r>
        <r>
          <rPr>
            <b/>
            <u/>
            <sz val="14"/>
            <color indexed="81"/>
            <rFont val="Tahoma"/>
            <family val="2"/>
          </rPr>
          <t>ALL</t>
        </r>
        <r>
          <rPr>
            <sz val="14"/>
            <color indexed="81"/>
            <rFont val="Tahoma"/>
            <family val="2"/>
          </rPr>
          <t xml:space="preserve"> electricity losses (including not only inverter efficiency, but also losses incurred between the generating facility and the contract delivery point), scheduled and unscheduled maintenance, shading, forced outages, and any other factors that could reduce production.
When the "state average" is selected, the net capacity factor provided assumes fixed tilt, facing south at 25 degrees. Source = PV Watts.
Solar projects typically have a capacity factor between 10 and 20%. More information is available on the PV Watts website: http://www.pvwatts.org/. 
*See bottom of introduction page for a list of links
Input must be between 0% and 100%.
</t>
        </r>
      </text>
    </comment>
    <comment ref="S12" authorId="1" shapeId="0" xr:uid="{00000000-0006-0000-0100-000012000000}">
      <text>
        <r>
          <rPr>
            <b/>
            <sz val="14"/>
            <color indexed="81"/>
            <rFont val="Tahoma"/>
            <family val="2"/>
          </rPr>
          <t xml:space="preserve">Note:
</t>
        </r>
        <r>
          <rPr>
            <sz val="14"/>
            <color indexed="81"/>
            <rFont val="Tahoma"/>
            <family val="2"/>
          </rPr>
          <t>If the designated "FIT Contract Length" is less than the defined "Project Useful Life", then this grouping of inputs is used to calculate the project's market-based revenue during the period from FIT contract expiration to the end of the project's life.</t>
        </r>
        <r>
          <rPr>
            <b/>
            <sz val="14"/>
            <color indexed="81"/>
            <rFont val="Tahoma"/>
            <family val="2"/>
          </rPr>
          <t xml:space="preserve">
</t>
        </r>
        <r>
          <rPr>
            <sz val="14"/>
            <color indexed="81"/>
            <rFont val="Tahoma"/>
            <family val="2"/>
          </rPr>
          <t xml:space="preserve">
</t>
        </r>
      </text>
    </comment>
    <comment ref="I13" authorId="1" shapeId="0" xr:uid="{00000000-0006-0000-0100-000013000000}">
      <text>
        <r>
          <rPr>
            <b/>
            <sz val="14"/>
            <color indexed="81"/>
            <rFont val="Tahoma"/>
            <family val="2"/>
          </rPr>
          <t>Note:</t>
        </r>
        <r>
          <rPr>
            <sz val="14"/>
            <color indexed="81"/>
            <rFont val="Tahoma"/>
            <family val="2"/>
          </rPr>
          <t xml:space="preserve">
This is a calculation, based on the system size and capacity factor, provided above. 
</t>
        </r>
      </text>
    </comment>
    <comment ref="S13" authorId="1" shapeId="0" xr:uid="{00000000-0006-0000-0100-000014000000}">
      <text>
        <r>
          <rPr>
            <b/>
            <sz val="14"/>
            <color indexed="81"/>
            <rFont val="Tahoma"/>
            <family val="2"/>
          </rPr>
          <t xml:space="preserve">Note:
</t>
        </r>
        <r>
          <rPr>
            <sz val="14"/>
            <color indexed="81"/>
            <rFont val="Tahoma"/>
            <family val="2"/>
          </rPr>
          <t>Selecting "Year One" forecasts the total market value of production based on an estimate of that value in the project's first year of commercial operation and a user-defined escalation rate.  
Selecting "Year-by-Year" enables the user to enter unique annual values for the period after the FIT expires and before the end of the project's useful life.</t>
        </r>
        <r>
          <rPr>
            <b/>
            <sz val="14"/>
            <color indexed="81"/>
            <rFont val="Tahoma"/>
            <family val="2"/>
          </rPr>
          <t xml:space="preserve">
</t>
        </r>
        <r>
          <rPr>
            <sz val="14"/>
            <color indexed="81"/>
            <rFont val="Tahoma"/>
            <family val="2"/>
          </rPr>
          <t xml:space="preserve">
</t>
        </r>
      </text>
    </comment>
    <comment ref="I14" authorId="1" shapeId="0" xr:uid="{00000000-0006-0000-0100-000015000000}">
      <text>
        <r>
          <rPr>
            <b/>
            <sz val="14"/>
            <color indexed="81"/>
            <rFont val="Tahoma"/>
            <family val="2"/>
          </rPr>
          <t>Note:</t>
        </r>
        <r>
          <rPr>
            <sz val="14"/>
            <color indexed="81"/>
            <rFont val="Tahoma"/>
            <family val="2"/>
          </rPr>
          <t xml:space="preserve">
Studies have shown that solar projects experience annual degradation in production. For example, see NREL's 2002 study, Degradation Analysis of Weathered Crystalline-Silicon
PV Modules, which estimates between a 0.05% and 1.0% degradation per year. For more information, see: http://www.nrel.gov/docs/fy02osti/31455.pdf
*See bottom of introduction page for a list of links
Input must be =&gt; 0%.
</t>
        </r>
      </text>
    </comment>
    <comment ref="S14" authorId="1" shapeId="0" xr:uid="{00000000-0006-0000-0100-000016000000}">
      <text>
        <r>
          <rPr>
            <b/>
            <sz val="14"/>
            <color indexed="81"/>
            <rFont val="Tahoma"/>
            <family val="2"/>
          </rPr>
          <t xml:space="preserve">Note:
</t>
        </r>
        <r>
          <rPr>
            <sz val="14"/>
            <color indexed="81"/>
            <rFont val="Tahoma"/>
            <family val="2"/>
          </rPr>
          <t xml:space="preserve">This is the </t>
        </r>
        <r>
          <rPr>
            <b/>
            <sz val="14"/>
            <color indexed="81"/>
            <rFont val="Tahoma"/>
            <family val="2"/>
          </rPr>
          <t>combined</t>
        </r>
        <r>
          <rPr>
            <sz val="14"/>
            <color indexed="81"/>
            <rFont val="Tahoma"/>
            <family val="2"/>
          </rPr>
          <t xml:space="preserve"> (or "bundled") market value of energy + capacity + Renewable Energy Credtis (RECs) in the same year in which the project's first enters commercial operation.
This input must be greater than zero.
</t>
        </r>
      </text>
    </comment>
    <comment ref="I15" authorId="1" shapeId="0" xr:uid="{00000000-0006-0000-0100-000017000000}">
      <text>
        <r>
          <rPr>
            <b/>
            <sz val="14"/>
            <color indexed="81"/>
            <rFont val="Tahoma"/>
            <family val="2"/>
          </rPr>
          <t xml:space="preserve">Note:
</t>
        </r>
        <r>
          <rPr>
            <sz val="14"/>
            <color indexed="81"/>
            <rFont val="Tahoma"/>
            <family val="2"/>
          </rPr>
          <t xml:space="preserve">The Project Useful Life is the number of years that the project is expected to be fully operational, reliably delivering electricity to the grid, and generating revenue. This concept is different from the FIT Contract Length, which is administratively determined by policymakers. These two values may be the same if a FIT contract is offered for the project's entire expected useful life. This approach is likely to generate the lowest tariff rate, while successfully attracting investors to renewable energy projects.  
The CREST model is built for a maximum Project Useful Life of 30 years.
Input must be greater than 0 and less than or equal to 30.
</t>
        </r>
      </text>
    </comment>
    <comment ref="S15" authorId="1" shapeId="0" xr:uid="{00000000-0006-0000-0100-000018000000}">
      <text>
        <r>
          <rPr>
            <b/>
            <sz val="14"/>
            <color indexed="81"/>
            <rFont val="Tahoma"/>
            <family val="2"/>
          </rPr>
          <t xml:space="preserve">Note:
</t>
        </r>
        <r>
          <rPr>
            <sz val="14"/>
            <color indexed="81"/>
            <rFont val="Tahoma"/>
            <family val="2"/>
          </rPr>
          <t xml:space="preserve">When the "Year One" forecast methodology is selected, this is the user-defined escalation rate at which the market value of production is expected to change.
Input must be greater than zero.
</t>
        </r>
      </text>
    </comment>
    <comment ref="S16" authorId="1" shapeId="0" xr:uid="{00000000-0006-0000-0100-000019000000}">
      <text>
        <r>
          <rPr>
            <b/>
            <sz val="14"/>
            <color indexed="81"/>
            <rFont val="Tahoma"/>
            <family val="2"/>
          </rPr>
          <t xml:space="preserve">Note:
</t>
        </r>
        <r>
          <rPr>
            <sz val="14"/>
            <color indexed="81"/>
            <rFont val="Tahoma"/>
            <family val="2"/>
          </rPr>
          <t xml:space="preserve">When "Year-by-Year" market value of production forecast is selected, this link brings the user to another worksheet on which unique annual values may be entered.
</t>
        </r>
      </text>
    </comment>
    <comment ref="F17" authorId="0" shapeId="0" xr:uid="{00000000-0006-0000-0100-00001A000000}">
      <text>
        <r>
          <rPr>
            <b/>
            <sz val="8"/>
            <color indexed="81"/>
            <rFont val="Tahoma"/>
            <family val="2"/>
          </rPr>
          <t>See "unit" definitions at the bottom of this worksheet.</t>
        </r>
        <r>
          <rPr>
            <sz val="8"/>
            <color indexed="81"/>
            <rFont val="Tahoma"/>
            <family val="2"/>
          </rPr>
          <t xml:space="preserve">
</t>
        </r>
      </text>
    </comment>
    <comment ref="I18" authorId="1" shapeId="0" xr:uid="{00000000-0006-0000-0100-00001B000000}">
      <text>
        <r>
          <rPr>
            <b/>
            <sz val="14"/>
            <color indexed="81"/>
            <rFont val="Tahoma"/>
            <family val="2"/>
          </rPr>
          <t>Note:</t>
        </r>
        <r>
          <rPr>
            <sz val="14"/>
            <color indexed="81"/>
            <rFont val="Tahoma"/>
            <family val="2"/>
          </rPr>
          <t xml:space="preserve">
This model alllows the user to input system cost at 1 of 3 levels of detail: "simple", "intermediate" or "complex." Simple offers a single input in $/Watt, Intermediate offers five cost subcategories in total dollars, and Complex offers line-by-line project costing with user-defined categories and costs per line-item.  
Select your preferred method and use the cells below to enter your cost information. If you choose the "Complex" option, you will need to follow the link below to the "Complex Capital Costs" tab.</t>
        </r>
      </text>
    </comment>
    <comment ref="P18" authorId="0" shapeId="0" xr:uid="{00000000-0006-0000-0100-00001C000000}">
      <text>
        <r>
          <rPr>
            <b/>
            <sz val="8"/>
            <color indexed="81"/>
            <rFont val="Tahoma"/>
            <family val="2"/>
          </rPr>
          <t>See "unit" definitions at the bottom of this worksheet.</t>
        </r>
        <r>
          <rPr>
            <sz val="8"/>
            <color indexed="81"/>
            <rFont val="Tahoma"/>
            <family val="2"/>
          </rPr>
          <t xml:space="preserve">
</t>
        </r>
      </text>
    </comment>
    <comment ref="I19" authorId="1" shapeId="0" xr:uid="{00000000-0006-0000-0100-00001D000000}">
      <text>
        <r>
          <rPr>
            <b/>
            <sz val="14"/>
            <color indexed="81"/>
            <rFont val="Tahoma"/>
            <family val="2"/>
          </rPr>
          <t>Note:</t>
        </r>
        <r>
          <rPr>
            <sz val="14"/>
            <color indexed="81"/>
            <rFont val="Tahoma"/>
            <family val="2"/>
          </rPr>
          <t xml:space="preserve">
When "Simple" is selected in the Cost Level of Detail cell, this "Total Installed Cost" row represents the total expected all-in project cost, which should include all hardware, balance of plant, interconnection, design, construction, permitting, development (including developer fee), interest during construction and financing costs. This figure should not account for any tax incentives, grants, or other cash incentives, each of which will be addressed elsewhere in the model. This figure should, however, reflect any applicable sales tax or exemptions thereof.
Input must be greater than zero.
</t>
        </r>
      </text>
    </comment>
    <comment ref="S19" authorId="0" shapeId="0" xr:uid="{00000000-0006-0000-0100-00001E000000}">
      <text>
        <r>
          <rPr>
            <b/>
            <sz val="14"/>
            <color indexed="81"/>
            <rFont val="Tahoma"/>
            <family val="2"/>
          </rPr>
          <t xml:space="preserve">Note:
</t>
        </r>
        <r>
          <rPr>
            <sz val="14"/>
            <color indexed="81"/>
            <rFont val="Tahoma"/>
            <family val="2"/>
          </rPr>
          <t>This drop-down input cell allows the user to specify whether federal incentives are cost-based (e.g. an investment tax credit) or performance-based (e.g. a PTC). The magnitude and terms of these incentives are set in the cells below.
For more information, a useful resource for researching federal and state incentives online is:  
http://dsireusa.org/
*See bottom of introduction page for a list of links</t>
        </r>
      </text>
    </comment>
    <comment ref="I20" authorId="1" shapeId="0" xr:uid="{00000000-0006-0000-0100-00001F000000}">
      <text>
        <r>
          <rPr>
            <b/>
            <sz val="14"/>
            <color indexed="81"/>
            <rFont val="Tahoma"/>
            <family val="2"/>
          </rPr>
          <t>Note:</t>
        </r>
        <r>
          <rPr>
            <sz val="14"/>
            <color indexed="81"/>
            <rFont val="Tahoma"/>
            <family val="2"/>
          </rPr>
          <t xml:space="preserve">
"Generation Equipment" should include all hardware, such as panels and inverters. 
Caution: the model assumes that if "Intermediate" is selected as the level of detail section, the "Generation Equipment" row must have a value greater than zero. 
</t>
        </r>
      </text>
    </comment>
    <comment ref="S20" authorId="1" shapeId="0" xr:uid="{00000000-0006-0000-0100-000020000000}">
      <text>
        <r>
          <rPr>
            <b/>
            <sz val="14"/>
            <color indexed="81"/>
            <rFont val="Tahoma"/>
            <family val="2"/>
          </rPr>
          <t xml:space="preserve">Note:
</t>
        </r>
        <r>
          <rPr>
            <sz val="14"/>
            <color indexed="81"/>
            <rFont val="Tahoma"/>
            <family val="2"/>
          </rPr>
          <t xml:space="preserve">Some renewable energy projects may be eligible to take advantage of Federal incentives such as the Investment Tax Credit or a cash payment from the Treasury Grant in lieu of the ITC (under Section 1603). 
The CREST model assumes that the ITC or Section 1603 cash grant, as applicable, flows to the project's equity provider in the first commercial operation year - rather than reducing the project's assumed initial installed cost.  The exception to this rule occurs when "carried forward" is selected in the Tax section.  In this case, net operating losses are rolled forward while the tax benefits are used internally by the project.
Information on eligibility for funding opportunities such as these is available online at:
http://dsireusa.org/incentives/incentive.cfm?Incentive_Code=US02F&amp;re=1&amp;ee=1
*See bottom of introduction page for a list of links
</t>
        </r>
      </text>
    </comment>
    <comment ref="I21" authorId="1" shapeId="0" xr:uid="{00000000-0006-0000-0100-000021000000}">
      <text>
        <r>
          <rPr>
            <b/>
            <sz val="14"/>
            <color indexed="81"/>
            <rFont val="Tahoma"/>
            <family val="2"/>
          </rPr>
          <t>Note:</t>
        </r>
        <r>
          <rPr>
            <sz val="14"/>
            <color indexed="81"/>
            <rFont val="Tahoma"/>
            <family val="2"/>
          </rPr>
          <t xml:space="preserve">
Balance of Plant (also known as Balance of System) represents all infrastructure, site prep and labor supporting the installation of the generation equipment. BOP costs include foundations, mounting devices, other hardware, and labor not already accounted for in the "Generation Equipment" row.
Input cannot be less than zero.
</t>
        </r>
      </text>
    </comment>
    <comment ref="S21" authorId="0" shapeId="0" xr:uid="{00000000-0006-0000-0100-000022000000}">
      <text>
        <r>
          <rPr>
            <b/>
            <sz val="14"/>
            <color indexed="81"/>
            <rFont val="Tahoma"/>
            <family val="2"/>
          </rPr>
          <t xml:space="preserve">NOTE:
</t>
        </r>
        <r>
          <rPr>
            <sz val="14"/>
            <color indexed="81"/>
            <rFont val="Tahoma"/>
            <family val="2"/>
          </rPr>
          <t>The maximum potential Investment Tax Credit (ITC) benefit is assumed to be 30% of those project costs which are depreciable on the 5-year MACRS schedule.  This assumption is purposefully simplified for this analysis.  Project costs depreciated on other bases may also be eligible for the ITC.  Developers should consult with tax counsel for project-specific depreciation and ITC treatment of each project cost.</t>
        </r>
        <r>
          <rPr>
            <sz val="8"/>
            <color indexed="81"/>
            <rFont val="Tahoma"/>
            <family val="2"/>
          </rPr>
          <t xml:space="preserve">
</t>
        </r>
      </text>
    </comment>
    <comment ref="I22" authorId="1" shapeId="0" xr:uid="{00000000-0006-0000-0100-000023000000}">
      <text>
        <r>
          <rPr>
            <b/>
            <sz val="14"/>
            <color indexed="81"/>
            <rFont val="Tahoma"/>
            <family val="2"/>
          </rPr>
          <t>Note:</t>
        </r>
        <r>
          <rPr>
            <sz val="14"/>
            <color indexed="81"/>
            <rFont val="Tahoma"/>
            <family val="2"/>
          </rPr>
          <t xml:space="preserve">
The "Interconnection" row should account for all project costs relating to connecting to the grid, such as the construction of transmission lines, permitting costs with the utility, and start-up costs. This category will also include the cost of a new substation, if necessary.
Regulators wishing to explore the potential that interconnection costs may be recovered from ratepayers separately can elect to enter zeros in this cost category whenever "Intermediate" or "Complex" is selected.
Input cannot be less than zero.
</t>
        </r>
      </text>
    </comment>
    <comment ref="I23" authorId="1" shapeId="0" xr:uid="{00000000-0006-0000-0100-000024000000}">
      <text>
        <r>
          <rPr>
            <b/>
            <sz val="14"/>
            <color indexed="81"/>
            <rFont val="Tahoma"/>
            <family val="2"/>
          </rPr>
          <t>Note:</t>
        </r>
        <r>
          <rPr>
            <sz val="8"/>
            <color indexed="81"/>
            <rFont val="Tahoma"/>
            <family val="2"/>
          </rPr>
          <t xml:space="preserve">
</t>
        </r>
        <r>
          <rPr>
            <sz val="14"/>
            <color indexed="81"/>
            <rFont val="Tahoma"/>
            <family val="2"/>
          </rPr>
          <t xml:space="preserve">The "Development Costs" row should include all costs relating to project management, studies, engineering, permitting, contingencies, success fees, and other soft costs not accounted for elsewhere in the "Intermediate" cost breakdown. 
Input cannot be less than zero.
</t>
        </r>
      </text>
    </comment>
    <comment ref="S23" authorId="0" shapeId="0" xr:uid="{00000000-0006-0000-0100-000025000000}">
      <text>
        <r>
          <rPr>
            <b/>
            <sz val="14"/>
            <color indexed="81"/>
            <rFont val="Tahoma"/>
            <family val="2"/>
          </rPr>
          <t xml:space="preserve">Note:
</t>
        </r>
        <r>
          <rPr>
            <sz val="14"/>
            <color indexed="81"/>
            <rFont val="Tahoma"/>
            <family val="2"/>
          </rPr>
          <t xml:space="preserve">Calculates the dollar value of the Investment Tax Credit or Cash Grant, if applicable.
</t>
        </r>
      </text>
    </comment>
    <comment ref="I24" authorId="1" shapeId="0" xr:uid="{00000000-0006-0000-0100-000026000000}">
      <text>
        <r>
          <rPr>
            <b/>
            <sz val="14"/>
            <color indexed="81"/>
            <rFont val="Tahoma"/>
            <family val="2"/>
          </rPr>
          <t>Note:</t>
        </r>
        <r>
          <rPr>
            <sz val="14"/>
            <color indexed="81"/>
            <rFont val="Tahoma"/>
            <family val="2"/>
          </rPr>
          <t xml:space="preserve">
The "Reserves &amp; Financing Costs" row accounts for all costs relating to financing, such as lender fees, closing costs, legal fees, interest during construction, due diligence costs, and any other relevant, financing relating costs. The model calculates this field by aggregating G22 through G25, G51, G54, G63, G66, Q57 and Q60.
</t>
        </r>
      </text>
    </comment>
    <comment ref="S24" authorId="0" shapeId="0" xr:uid="{00000000-0006-0000-0100-000027000000}">
      <text>
        <r>
          <rPr>
            <b/>
            <sz val="14"/>
            <color indexed="81"/>
            <rFont val="Tahoma"/>
            <family val="2"/>
          </rPr>
          <t xml:space="preserve">Note: </t>
        </r>
        <r>
          <rPr>
            <sz val="14"/>
            <color indexed="81"/>
            <rFont val="Tahoma"/>
            <family val="2"/>
          </rPr>
          <t xml:space="preserve">
This input cell, the "Performance Based Incentive" or "PBI" is another potential incentive available to some specific projects. The PBI would be separate from a feed-in-tariff, but acts similarly in that it is per unit of production (typically kWh) income to a project.
Some examples of PBIs include the Federal Production Tax Credit (applicable to private projects with tax appetites) and the Federal Renewable Energy Production Incentive (REPI), historically available to some public projects.
</t>
        </r>
      </text>
    </comment>
    <comment ref="I25" authorId="1" shapeId="0" xr:uid="{00000000-0006-0000-0100-000028000000}">
      <text>
        <r>
          <rPr>
            <b/>
            <sz val="14"/>
            <color indexed="81"/>
            <rFont val="Tahoma"/>
            <family val="2"/>
          </rPr>
          <t>Note:</t>
        </r>
        <r>
          <rPr>
            <sz val="14"/>
            <color indexed="81"/>
            <rFont val="Tahoma"/>
            <family val="2"/>
          </rPr>
          <t xml:space="preserve">
If you wish to enter your project costs under the "Complex" format, select Complex from the drop-down menu and use the link to the left to access additional worksheets which provide the opportunitiy to add significant, additional detail on project costs. Once complete, the model will roll up the detailed costs and populate this row with the resultant final project cost. </t>
        </r>
      </text>
    </comment>
    <comment ref="S25" authorId="0" shapeId="0" xr:uid="{00000000-0006-0000-0100-000029000000}">
      <text>
        <r>
          <rPr>
            <b/>
            <sz val="14"/>
            <color indexed="81"/>
            <rFont val="Tahoma"/>
            <family val="2"/>
          </rPr>
          <t xml:space="preserve">Note: </t>
        </r>
        <r>
          <rPr>
            <sz val="14"/>
            <color indexed="81"/>
            <rFont val="Tahoma"/>
            <family val="2"/>
          </rPr>
          <t xml:space="preserve">
This cell denotes the value of the Performance Based Incentive applicable to the project's first year of commercial operation. In some cases, this value will need to be calculated external to the model if such PBI is derived from a "base year" and specified inflation index. The following cells can be used to account for inflation and the maximum term of eligibility.
Input cannot be less than zero.
</t>
        </r>
      </text>
    </comment>
    <comment ref="I26" authorId="1" shapeId="0" xr:uid="{00000000-0006-0000-0100-00002A000000}">
      <text>
        <r>
          <rPr>
            <b/>
            <sz val="14"/>
            <color indexed="81"/>
            <rFont val="Tahoma"/>
            <family val="2"/>
          </rPr>
          <t>Note:</t>
        </r>
        <r>
          <rPr>
            <sz val="14"/>
            <color indexed="81"/>
            <rFont val="Tahoma"/>
            <family val="2"/>
          </rPr>
          <t xml:space="preserve">
The total system cost is a calculation, based on the level of detail selected and the assocated inputs.
</t>
        </r>
      </text>
    </comment>
    <comment ref="I27" authorId="1" shapeId="0" xr:uid="{00000000-0006-0000-0100-00002B000000}">
      <text>
        <r>
          <rPr>
            <b/>
            <sz val="14"/>
            <color indexed="81"/>
            <rFont val="Tahoma"/>
            <family val="2"/>
          </rPr>
          <t>Note:</t>
        </r>
        <r>
          <rPr>
            <sz val="14"/>
            <color indexed="81"/>
            <rFont val="Tahoma"/>
            <family val="2"/>
          </rPr>
          <t xml:space="preserve">
Calculation based on the total system cost in the cell above and the system size reported. Typical costs (as of 2010) fall between $4/Watt and $10/Watt.</t>
        </r>
        <r>
          <rPr>
            <sz val="8"/>
            <color indexed="81"/>
            <rFont val="Tahoma"/>
            <family val="2"/>
          </rPr>
          <t xml:space="preserve">
</t>
        </r>
      </text>
    </comment>
    <comment ref="S27" authorId="0" shapeId="0" xr:uid="{00000000-0006-0000-0100-00002C000000}">
      <text>
        <r>
          <rPr>
            <b/>
            <sz val="14"/>
            <color indexed="81"/>
            <rFont val="Tahoma"/>
            <family val="2"/>
          </rPr>
          <t>Note:</t>
        </r>
        <r>
          <rPr>
            <sz val="14"/>
            <color indexed="81"/>
            <rFont val="Tahoma"/>
            <family val="2"/>
          </rPr>
          <t xml:space="preserve">
This is the length of time that a project would be eligible for any Performance Based Incentives outlined in the cell immediately above. For example, the Federal Renewable Energy Production Incentive and Production Tax Credit incentives are available for the first 10 years of project operation.
Input cannot be less than zero.
</t>
        </r>
      </text>
    </comment>
    <comment ref="S28" authorId="0" shapeId="0" xr:uid="{00000000-0006-0000-0100-00002D000000}">
      <text>
        <r>
          <rPr>
            <b/>
            <sz val="14"/>
            <color indexed="81"/>
            <rFont val="Tahoma"/>
            <family val="2"/>
          </rPr>
          <t xml:space="preserve">Note:
</t>
        </r>
        <r>
          <rPr>
            <sz val="14"/>
            <color indexed="81"/>
            <rFont val="Tahoma"/>
            <family val="2"/>
          </rPr>
          <t xml:space="preserve">Performance Based Incentives are often adjusted to account for inflation. For example, the Federal Production Tax Credit (PTC) is adjusted each year to account for changes in the GDP IPD index. This cell can be used as a proxy for the inflation that would apply to any PBI incentive entered above.
This input cannot be left blank.
</t>
        </r>
        <r>
          <rPr>
            <sz val="8"/>
            <color indexed="81"/>
            <rFont val="Tahoma"/>
            <family val="2"/>
          </rPr>
          <t xml:space="preserve">
</t>
        </r>
      </text>
    </comment>
    <comment ref="F29" authorId="0" shapeId="0" xr:uid="{00000000-0006-0000-0100-00002E000000}">
      <text>
        <r>
          <rPr>
            <b/>
            <sz val="8"/>
            <color indexed="81"/>
            <rFont val="Tahoma"/>
            <family val="2"/>
          </rPr>
          <t>See "unit" definitions at the bottom of this worksheet.</t>
        </r>
        <r>
          <rPr>
            <sz val="8"/>
            <color indexed="81"/>
            <rFont val="Tahoma"/>
            <family val="2"/>
          </rPr>
          <t xml:space="preserve">
</t>
        </r>
      </text>
    </comment>
    <comment ref="S29" authorId="1" shapeId="0" xr:uid="{00000000-0006-0000-0100-00002F000000}">
      <text>
        <r>
          <rPr>
            <b/>
            <sz val="14"/>
            <color indexed="81"/>
            <rFont val="Tahoma"/>
            <family val="2"/>
          </rPr>
          <t xml:space="preserve">Note:
</t>
        </r>
        <r>
          <rPr>
            <sz val="14"/>
            <color indexed="81"/>
            <rFont val="Tahoma"/>
            <family val="2"/>
          </rPr>
          <t xml:space="preserve">Some renewable energy projects may be eligible for other federal grants as well, such as funding from the U.S. Department of Agriculture. This input cell can be used to capture those funding opportunities, some of which are outlined online at:
http://dsireusa.org/incentives/index.cfm?state=us&amp;re=1&amp;EE=1
*See bottom of introduction page for a list of links
Input cannot be less than zero.
</t>
        </r>
      </text>
    </comment>
    <comment ref="I30" authorId="0" shapeId="0" xr:uid="{00000000-0006-0000-0100-000030000000}">
      <text>
        <r>
          <rPr>
            <b/>
            <sz val="14"/>
            <color indexed="81"/>
            <rFont val="Tahoma"/>
            <family val="2"/>
          </rPr>
          <t>Note:</t>
        </r>
        <r>
          <rPr>
            <sz val="14"/>
            <color indexed="81"/>
            <rFont val="Tahoma"/>
            <family val="2"/>
          </rPr>
          <t xml:space="preserve">
Select either "Simple" or "Intermediate" O&amp;M expense detail using the drop-down menu to the right.
</t>
        </r>
        <r>
          <rPr>
            <sz val="8"/>
            <color indexed="81"/>
            <rFont val="Tahoma"/>
            <family val="2"/>
          </rPr>
          <t xml:space="preserve">
</t>
        </r>
      </text>
    </comment>
    <comment ref="S30" authorId="0" shapeId="0" xr:uid="{00000000-0006-0000-0100-000031000000}">
      <text>
        <r>
          <rPr>
            <b/>
            <sz val="14"/>
            <color indexed="81"/>
            <rFont val="Tahoma"/>
            <family val="2"/>
          </rPr>
          <t xml:space="preserve">Note:
</t>
        </r>
        <r>
          <rPr>
            <sz val="14"/>
            <color indexed="81"/>
            <rFont val="Tahoma"/>
            <family val="2"/>
          </rPr>
          <t xml:space="preserve">Select here whether additional federal grants (other than the section 1603 payment in lieu of the ITC/PTC) are treated as taxable income. If no, depreciation basis is reduced. 
</t>
        </r>
      </text>
    </comment>
    <comment ref="I31" authorId="1" shapeId="0" xr:uid="{00000000-0006-0000-0100-000032000000}">
      <text>
        <r>
          <rPr>
            <b/>
            <sz val="14"/>
            <color indexed="81"/>
            <rFont val="Tahoma"/>
            <family val="2"/>
          </rPr>
          <t>Note:</t>
        </r>
        <r>
          <rPr>
            <sz val="14"/>
            <color indexed="81"/>
            <rFont val="Tahoma"/>
            <family val="2"/>
          </rPr>
          <t xml:space="preserve">
If "Simple" is selected in the cell above, then this input should reflect the </t>
        </r>
        <r>
          <rPr>
            <b/>
            <u/>
            <sz val="14"/>
            <color indexed="81"/>
            <rFont val="Tahoma"/>
            <family val="2"/>
          </rPr>
          <t>total</t>
        </r>
        <r>
          <rPr>
            <sz val="14"/>
            <color indexed="81"/>
            <rFont val="Tahoma"/>
            <family val="2"/>
          </rPr>
          <t xml:space="preserve"> expected </t>
        </r>
        <r>
          <rPr>
            <b/>
            <u/>
            <sz val="14"/>
            <color indexed="81"/>
            <rFont val="Tahoma"/>
            <family val="2"/>
          </rPr>
          <t>fixed</t>
        </r>
        <r>
          <rPr>
            <sz val="14"/>
            <color indexed="81"/>
            <rFont val="Tahoma"/>
            <family val="2"/>
          </rPr>
          <t xml:space="preserve"> cost of project operations and maintenance, in $/kW-yr.  This </t>
        </r>
        <r>
          <rPr>
            <u/>
            <sz val="14"/>
            <color indexed="81"/>
            <rFont val="Tahoma"/>
            <family val="2"/>
          </rPr>
          <t>includes</t>
        </r>
        <r>
          <rPr>
            <sz val="14"/>
            <color indexed="81"/>
            <rFont val="Tahoma"/>
            <family val="2"/>
          </rPr>
          <t xml:space="preserve"> the insurance, project management, property tax (or payment in lieu thereof), land lease, and royalty expenses which would have been broken out separately in the "Intermediate" case.  Other labor and spare parts should also be included in this estimate.
If the user has obtained O&amp;M expense estimates from a third-party, it is critical to understand which costs have been included.  If the user is not certain that all of the above-listed expenses are included in the fixed cost estimate, then the "Intermediate" approach should be used and these expenses should be entered separately.
If "Intermediate" is selected, then this input should reflect  the expected annual fixed O&amp;M cost before taking into account the additional listed expenses, which are entered below. 
In all cases, fixed O&amp;M would include - among others - the ongoing cost of obtaining daily, weekly or monthly production estimates based on weather and other factors.
Input value must be greater than zero. 
</t>
        </r>
      </text>
    </comment>
    <comment ref="I32" authorId="1" shapeId="0" xr:uid="{00000000-0006-0000-0100-000033000000}">
      <text>
        <r>
          <rPr>
            <b/>
            <sz val="14"/>
            <color indexed="81"/>
            <rFont val="Tahoma"/>
            <family val="2"/>
          </rPr>
          <t>Note:</t>
        </r>
        <r>
          <rPr>
            <sz val="14"/>
            <color indexed="81"/>
            <rFont val="Tahoma"/>
            <family val="2"/>
          </rPr>
          <t xml:space="preserve">
This cell provides the user with the option of accounting for O&amp;M expenses (such as labor and spare parts) which are more easily estimated and modeled on a variable, cents per kWh basis.  
If "Simple" is selected above, then this cell should also take into account variable costs, such as royalties, </t>
        </r>
        <r>
          <rPr>
            <b/>
            <u/>
            <sz val="14"/>
            <color indexed="81"/>
            <rFont val="Tahoma"/>
            <family val="2"/>
          </rPr>
          <t>if</t>
        </r>
        <r>
          <rPr>
            <sz val="14"/>
            <color indexed="81"/>
            <rFont val="Tahoma"/>
            <family val="2"/>
          </rPr>
          <t xml:space="preserve"> such annual expenses are not already accounted for in the fixed cost input above.
Input cannot be less than zero.
</t>
        </r>
      </text>
    </comment>
    <comment ref="P32" authorId="0" shapeId="0" xr:uid="{00000000-0006-0000-0100-000034000000}">
      <text>
        <r>
          <rPr>
            <b/>
            <sz val="8"/>
            <color indexed="81"/>
            <rFont val="Tahoma"/>
            <family val="2"/>
          </rPr>
          <t>See "unit" definitions at the bottom of this worksheet.</t>
        </r>
        <r>
          <rPr>
            <sz val="8"/>
            <color indexed="81"/>
            <rFont val="Tahoma"/>
            <family val="2"/>
          </rPr>
          <t xml:space="preserve">
</t>
        </r>
      </text>
    </comment>
    <comment ref="I33" authorId="0" shapeId="0" xr:uid="{00000000-0006-0000-0100-000035000000}">
      <text>
        <r>
          <rPr>
            <b/>
            <sz val="14"/>
            <color indexed="81"/>
            <rFont val="Tahoma"/>
            <family val="2"/>
          </rPr>
          <t>Note:</t>
        </r>
        <r>
          <rPr>
            <sz val="14"/>
            <color indexed="81"/>
            <rFont val="Tahoma"/>
            <family val="2"/>
          </rPr>
          <t xml:space="preserve">
This inflation rate applies to both fixed and variable O&amp;M expense, insurance, and project management costs entered above, if applicable. 
The model allows the user to specify an inflation assumption for an "initial period" and a second inflation assumption "thereafter." These inputs can be used to account for inflation which might be fixed during an initial O&amp;M service contract, but are unknown thereafter.  The final year of the "initial period" is  user-defined (e.g. final year of an O&amp;M service contract). 
The purpose of this feature is also to recognize that inflationary trends may change over time, or that some projects may not expect inflation of O&amp;M expenses for the first several years, but may expect inflation thereafter.
This inflation rate does not apply to PILOT or Royalty costs. Input cannot be less than zero.
</t>
        </r>
      </text>
    </comment>
    <comment ref="S33" authorId="1" shapeId="0" xr:uid="{00000000-0006-0000-0100-000036000000}">
      <text>
        <r>
          <rPr>
            <b/>
            <sz val="14"/>
            <color indexed="81"/>
            <rFont val="Tahoma"/>
            <family val="2"/>
          </rPr>
          <t xml:space="preserve">Note:
</t>
        </r>
        <r>
          <rPr>
            <sz val="14"/>
            <color indexed="81"/>
            <rFont val="Tahoma"/>
            <family val="2"/>
          </rPr>
          <t>This drop-down input cell allows the user to specify whether state, utility or other local incentives are cost-based (e.g. an investment tax credit) or performance-based (e.g. a PTC, Renewable Energy Credit (REC) or other cash payment). The magnitude and terms of these incentives are set in the cells below.
For more information, a useful resource for researching federal and state incentives online is:  
http://dsireusa.org/
*See bottom of introduction page for a list of links</t>
        </r>
      </text>
    </comment>
    <comment ref="I34" authorId="0" shapeId="0" xr:uid="{00000000-0006-0000-0100-000037000000}">
      <text>
        <r>
          <rPr>
            <b/>
            <sz val="14"/>
            <color indexed="81"/>
            <rFont val="Tahoma"/>
            <family val="2"/>
          </rPr>
          <t xml:space="preserve">Note:
</t>
        </r>
        <r>
          <rPr>
            <sz val="14"/>
            <color indexed="81"/>
            <rFont val="Tahoma"/>
            <family val="2"/>
          </rPr>
          <t xml:space="preserve">This feature allows the user to assume that the rate at which expenses change over time is not constant. This cell provides the year in which the first inflation period ends.
Input cannot be less than zero.
</t>
        </r>
      </text>
    </comment>
    <comment ref="S34" authorId="0" shapeId="0" xr:uid="{00000000-0006-0000-0100-000038000000}">
      <text>
        <r>
          <rPr>
            <b/>
            <sz val="14"/>
            <color indexed="81"/>
            <rFont val="Tahoma"/>
            <family val="2"/>
          </rPr>
          <t xml:space="preserve">NOTE:
</t>
        </r>
        <r>
          <rPr>
            <sz val="14"/>
            <color indexed="81"/>
            <rFont val="Tahoma"/>
            <family val="2"/>
          </rPr>
          <t xml:space="preserve">The maximum potential Investment Tax Credit (ITC) benefit is assumed to be 30% of those project costs which are depreciable on the 5-year MACRS schedule.
Note that the state investment tax credit can only be applied to state-specific income tax liability.
</t>
        </r>
      </text>
    </comment>
    <comment ref="I35" authorId="0" shapeId="0" xr:uid="{00000000-0006-0000-0100-000039000000}">
      <text>
        <r>
          <rPr>
            <b/>
            <sz val="14"/>
            <color indexed="81"/>
            <rFont val="Tahoma"/>
            <family val="2"/>
          </rPr>
          <t xml:space="preserve">Note:
</t>
        </r>
        <r>
          <rPr>
            <sz val="14"/>
            <color indexed="81"/>
            <rFont val="Tahoma"/>
            <family val="2"/>
          </rPr>
          <t xml:space="preserve">This cell provides the inflation rate for the remainder of the project's useful life.
Input must be greater than zero.
</t>
        </r>
      </text>
    </comment>
    <comment ref="I36" authorId="1" shapeId="0" xr:uid="{00000000-0006-0000-0100-00003A000000}">
      <text>
        <r>
          <rPr>
            <b/>
            <sz val="14"/>
            <color indexed="81"/>
            <rFont val="Tahoma"/>
            <family val="2"/>
          </rPr>
          <t xml:space="preserve">Note:
</t>
        </r>
        <r>
          <rPr>
            <sz val="14"/>
            <color indexed="81"/>
            <rFont val="Tahoma"/>
            <family val="2"/>
          </rPr>
          <t xml:space="preserve">Project owners, or hosts, are required to carry insurance. This input accounts for the estimated cost of insuring the modeling power generating facility.
Input cannot be less than zero.
</t>
        </r>
      </text>
    </comment>
    <comment ref="S36" authorId="0" shapeId="0" xr:uid="{00000000-0006-0000-0100-00003B000000}">
      <text>
        <r>
          <rPr>
            <b/>
            <sz val="14"/>
            <color indexed="81"/>
            <rFont val="Tahoma"/>
            <family val="2"/>
          </rPr>
          <t xml:space="preserve">Note:
</t>
        </r>
        <r>
          <rPr>
            <sz val="14"/>
            <color indexed="81"/>
            <rFont val="Tahoma"/>
            <family val="2"/>
          </rPr>
          <t>Specifies whether the available ITC is realized in a single year or over multiple years. This input will be specified by state-specific law or regulation.
A good resource on available state incentives is:  
http://dsireusa.org/
*See bottom of introduction page for a list of links
Input must be greater than 1 and less than the Project Useful Life.</t>
        </r>
      </text>
    </comment>
    <comment ref="I37" authorId="0" shapeId="0" xr:uid="{00000000-0006-0000-0100-00003C000000}">
      <text>
        <r>
          <rPr>
            <b/>
            <sz val="14"/>
            <color indexed="81"/>
            <rFont val="Tahoma"/>
            <family val="2"/>
          </rPr>
          <t xml:space="preserve">Note:
</t>
        </r>
        <r>
          <rPr>
            <sz val="14"/>
            <color indexed="81"/>
            <rFont val="Tahoma"/>
            <family val="2"/>
          </rPr>
          <t xml:space="preserve">This cell calculates the resulting dollar value cost of insurance based on the input above and the project installed cost (net of financing costs).  It is provided simply as a reference for the user.
</t>
        </r>
        <r>
          <rPr>
            <sz val="8"/>
            <color indexed="81"/>
            <rFont val="Tahoma"/>
            <family val="2"/>
          </rPr>
          <t xml:space="preserve">
</t>
        </r>
      </text>
    </comment>
    <comment ref="S37" authorId="0" shapeId="0" xr:uid="{00000000-0006-0000-0100-00003D000000}">
      <text>
        <r>
          <rPr>
            <b/>
            <sz val="14"/>
            <color indexed="81"/>
            <rFont val="Tahoma"/>
            <family val="2"/>
          </rPr>
          <t xml:space="preserve">Note:
</t>
        </r>
        <r>
          <rPr>
            <sz val="14"/>
            <color indexed="81"/>
            <rFont val="Tahoma"/>
            <family val="2"/>
          </rPr>
          <t xml:space="preserve">Calculates the dollar value of the State Investment Tax Credit, if applicable.
</t>
        </r>
      </text>
    </comment>
    <comment ref="I38" authorId="1" shapeId="0" xr:uid="{00000000-0006-0000-0100-00003E000000}">
      <text>
        <r>
          <rPr>
            <b/>
            <sz val="14"/>
            <color indexed="81"/>
            <rFont val="Tahoma"/>
            <family val="2"/>
          </rPr>
          <t>Note:</t>
        </r>
        <r>
          <rPr>
            <sz val="14"/>
            <color indexed="81"/>
            <rFont val="Tahoma"/>
            <family val="2"/>
          </rPr>
          <t xml:space="preserve">
"Project Management" accounts for the cost of staff time related to managing the project's PPAs, grid integration, and periodic reporting to the system operator and policymakers.  
Input cannot be less than zero.
</t>
        </r>
      </text>
    </comment>
    <comment ref="S38" authorId="0" shapeId="0" xr:uid="{00000000-0006-0000-0100-00003F000000}">
      <text>
        <r>
          <rPr>
            <b/>
            <sz val="14"/>
            <color indexed="81"/>
            <rFont val="Tahoma"/>
            <family val="2"/>
          </rPr>
          <t xml:space="preserve">Note: </t>
        </r>
        <r>
          <rPr>
            <sz val="14"/>
            <color indexed="81"/>
            <rFont val="Tahoma"/>
            <family val="2"/>
          </rPr>
          <t xml:space="preserve">
This input cell, the "Performance Based Incentive" or "PBI" is another potential incentive available to some specific projects. The PBI would be separate from a feed-in-tariff, but acts similarly in that it is per unit of production (typically kWh) income to a project.
Some examples of PBIs include the Federal Production Tax Credit (applicable to private projects with tax appetites) and the Federal Renewable Energy Production Incentive (REPI), historically available to some public projects.
</t>
        </r>
      </text>
    </comment>
    <comment ref="I39" authorId="1" shapeId="0" xr:uid="{00000000-0006-0000-0100-000040000000}">
      <text>
        <r>
          <rPr>
            <b/>
            <sz val="14"/>
            <color indexed="81"/>
            <rFont val="Tahoma"/>
            <family val="2"/>
          </rPr>
          <t xml:space="preserve">Note:
</t>
        </r>
        <r>
          <rPr>
            <sz val="14"/>
            <color indexed="81"/>
            <rFont val="Tahoma"/>
            <family val="2"/>
          </rPr>
          <t>"Property Tax or PILOT" accounts for costs associated with any local taxes incurred by the project. Many states offer tax exemptions for renewable energy systems; to check your local applicability, please visit: http://dsireusa.org/
*See bottom of introduction page for a list of links 
This line can also be used to account for any PILOTs or Payment in Leiu of Taxes. Developers often negotiate a PILOT with the local community to secure a fixed, predictable payment that serves both parties appropriately. This model allows the user to input a year-one Property Tax or PILOT value along with an annual property tax adjsutment factor (see next cell down). As a result, taxes can be modeled as flat, increasing, or decreasing annually depending on the value entered in the adjustment factor cell below.
Input cannot be less than zero.</t>
        </r>
      </text>
    </comment>
    <comment ref="S39" authorId="0" shapeId="0" xr:uid="{00000000-0006-0000-0100-000041000000}">
      <text>
        <r>
          <rPr>
            <b/>
            <sz val="14"/>
            <color indexed="81"/>
            <rFont val="Tahoma"/>
            <family val="2"/>
          </rPr>
          <t xml:space="preserve">Note:
</t>
        </r>
        <r>
          <rPr>
            <sz val="14"/>
            <color indexed="81"/>
            <rFont val="Tahoma"/>
            <family val="2"/>
          </rPr>
          <t xml:space="preserve">Enter here the annual dollar value ("cap") of any state-specific production incentive.
</t>
        </r>
        <r>
          <rPr>
            <b/>
            <sz val="16"/>
            <color indexed="81"/>
            <rFont val="Tahoma"/>
            <family val="2"/>
          </rPr>
          <t>If no cap exists, enter zero.</t>
        </r>
        <r>
          <rPr>
            <sz val="14"/>
            <color indexed="81"/>
            <rFont val="Tahoma"/>
            <family val="2"/>
          </rPr>
          <t xml:space="preserve">
Input cannot be less than zero.
</t>
        </r>
      </text>
    </comment>
    <comment ref="I40" authorId="1" shapeId="0" xr:uid="{00000000-0006-0000-0100-000042000000}">
      <text>
        <r>
          <rPr>
            <b/>
            <sz val="14"/>
            <color indexed="81"/>
            <rFont val="Tahoma"/>
            <family val="2"/>
          </rPr>
          <t xml:space="preserve">Note:
</t>
        </r>
        <r>
          <rPr>
            <sz val="14"/>
            <color indexed="81"/>
            <rFont val="Tahoma"/>
            <family val="2"/>
          </rPr>
          <t xml:space="preserve">The Annual Property Tax Adjustment Factor allows the user to specify whether the Year One tax (or PILOT) value will remain fixed and flat, will decrease (a negative percentage value entered in this cell) or increase (a positive percentage value entered in this cell) over time.  </t>
        </r>
        <r>
          <rPr>
            <sz val="8"/>
            <color indexed="81"/>
            <rFont val="Tahoma"/>
            <family val="2"/>
          </rPr>
          <t xml:space="preserve">
</t>
        </r>
      </text>
    </comment>
    <comment ref="S40" authorId="0" shapeId="0" xr:uid="{00000000-0006-0000-0100-000043000000}">
      <text>
        <r>
          <rPr>
            <b/>
            <sz val="14"/>
            <color indexed="81"/>
            <rFont val="Tahoma"/>
            <family val="2"/>
          </rPr>
          <t xml:space="preserve">Note:
</t>
        </r>
        <r>
          <rPr>
            <sz val="14"/>
            <color indexed="81"/>
            <rFont val="Tahoma"/>
            <family val="2"/>
          </rPr>
          <t xml:space="preserve">Impacts tax treatment of PBI if owner is a taxable entity.
</t>
        </r>
      </text>
    </comment>
    <comment ref="I41" authorId="1" shapeId="0" xr:uid="{00000000-0006-0000-0100-000044000000}">
      <text>
        <r>
          <rPr>
            <b/>
            <sz val="14"/>
            <color indexed="81"/>
            <rFont val="Tahoma"/>
            <family val="2"/>
          </rPr>
          <t xml:space="preserve">Note:
</t>
        </r>
        <r>
          <rPr>
            <sz val="14"/>
            <color indexed="81"/>
            <rFont val="Tahoma"/>
            <family val="2"/>
          </rPr>
          <t xml:space="preserve">The Land Lease input represents </t>
        </r>
        <r>
          <rPr>
            <b/>
            <u/>
            <sz val="14"/>
            <color indexed="81"/>
            <rFont val="Tahoma"/>
            <family val="2"/>
          </rPr>
          <t>fixed</t>
        </r>
        <r>
          <rPr>
            <sz val="14"/>
            <color indexed="81"/>
            <rFont val="Tahoma"/>
            <family val="2"/>
          </rPr>
          <t xml:space="preserve"> payments to the site host (and possibly other affected parties) for the use of the land on which the project is located.  
Variable royalty payments may be applied in addition to, or in lieu of, the land lease payment through the "Royalties" input below, if applicable.  
Input cannot be less than zero.
</t>
        </r>
      </text>
    </comment>
    <comment ref="S41" authorId="0" shapeId="0" xr:uid="{00000000-0006-0000-0100-000045000000}">
      <text>
        <r>
          <rPr>
            <b/>
            <sz val="14"/>
            <color indexed="81"/>
            <rFont val="Tahoma"/>
            <family val="2"/>
          </rPr>
          <t xml:space="preserve">Note: </t>
        </r>
        <r>
          <rPr>
            <sz val="14"/>
            <color indexed="81"/>
            <rFont val="Tahoma"/>
            <family val="2"/>
          </rPr>
          <t xml:space="preserve">
This cell denotes the value of the Performance Based Incentive applicable to the project's first year of commercial operation. In some cases, this value will need to be calculated external to the model if such PBI is derived from a "base year" and specified inflation index. The following cells can be used to account for inflation and the maximum term of eligibility.
Input cannot be less than zero.
</t>
        </r>
      </text>
    </comment>
    <comment ref="I42" authorId="1" shapeId="0" xr:uid="{00000000-0006-0000-0100-000046000000}">
      <text>
        <r>
          <rPr>
            <b/>
            <sz val="14"/>
            <color indexed="81"/>
            <rFont val="Tahoma"/>
            <family val="2"/>
          </rPr>
          <t xml:space="preserve">Note:
</t>
        </r>
        <r>
          <rPr>
            <sz val="14"/>
            <color indexed="81"/>
            <rFont val="Tahoma"/>
            <family val="2"/>
          </rPr>
          <t xml:space="preserve">The royalties input accounts for </t>
        </r>
        <r>
          <rPr>
            <b/>
            <u/>
            <sz val="14"/>
            <color indexed="81"/>
            <rFont val="Tahoma"/>
            <family val="2"/>
          </rPr>
          <t>variable</t>
        </r>
        <r>
          <rPr>
            <sz val="14"/>
            <color indexed="81"/>
            <rFont val="Tahoma"/>
            <family val="2"/>
          </rPr>
          <t xml:space="preserve"> payments to site hosts, neighbors, partners, or other parties which may have a stake in the project and which are NOT covered by the fixed "Land Lease" payment. 
Fixed payments may be applied in addition to, or in lieu of, the royalty payment through the "Land Lease" input above, if applicable.  
</t>
        </r>
        <r>
          <rPr>
            <b/>
            <sz val="14"/>
            <color indexed="81"/>
            <rFont val="Tahoma"/>
            <family val="2"/>
          </rPr>
          <t>Inflation is NOT applied to this input.</t>
        </r>
        <r>
          <rPr>
            <sz val="14"/>
            <color indexed="81"/>
            <rFont val="Tahoma"/>
            <family val="2"/>
          </rPr>
          <t xml:space="preserve"> However, if tariff escalation is selected, then the assumed royalty payment will increase over time since it is calculated as a function of revenue over time.</t>
        </r>
        <r>
          <rPr>
            <b/>
            <sz val="14"/>
            <color indexed="81"/>
            <rFont val="Tahoma"/>
            <family val="2"/>
          </rPr>
          <t xml:space="preserve">
</t>
        </r>
        <r>
          <rPr>
            <sz val="14"/>
            <color indexed="81"/>
            <rFont val="Tahoma"/>
            <family val="2"/>
          </rPr>
          <t xml:space="preserve">If your project's royalty payments are not the same over time, then an average annual royalty payment should be calculated externally and entered in this cell. 
This input cannot be less than zero.
</t>
        </r>
        <r>
          <rPr>
            <sz val="8"/>
            <color indexed="81"/>
            <rFont val="Tahoma"/>
            <family val="2"/>
          </rPr>
          <t xml:space="preserve">
</t>
        </r>
      </text>
    </comment>
    <comment ref="I43" authorId="0" shapeId="0" xr:uid="{00000000-0006-0000-0100-000047000000}">
      <text>
        <r>
          <rPr>
            <b/>
            <sz val="14"/>
            <color indexed="81"/>
            <rFont val="Tahoma"/>
            <family val="2"/>
          </rPr>
          <t xml:space="preserve">Note:
</t>
        </r>
        <r>
          <rPr>
            <sz val="14"/>
            <color indexed="81"/>
            <rFont val="Tahoma"/>
            <family val="2"/>
          </rPr>
          <t xml:space="preserve">This cell calculates the resulting dollar value cost of royalties paid to landowners or other stakeholders based on the input above and project revenue.  It is provided simply as a reference for the user.
</t>
        </r>
        <r>
          <rPr>
            <sz val="8"/>
            <color indexed="81"/>
            <rFont val="Tahoma"/>
            <family val="2"/>
          </rPr>
          <t xml:space="preserve">
</t>
        </r>
      </text>
    </comment>
    <comment ref="S43" authorId="0" shapeId="0" xr:uid="{00000000-0006-0000-0100-000048000000}">
      <text>
        <r>
          <rPr>
            <b/>
            <sz val="14"/>
            <color indexed="81"/>
            <rFont val="Tahoma"/>
            <family val="2"/>
          </rPr>
          <t>Note:</t>
        </r>
        <r>
          <rPr>
            <sz val="14"/>
            <color indexed="81"/>
            <rFont val="Tahoma"/>
            <family val="2"/>
          </rPr>
          <t xml:space="preserve">
This is the length of time that a project would be eligible for any Performance Based Incentives outlined in the cell immediately above. For example, the Federal Renewable Energy Production Incentive and Production Tax Credit incentives are available for the first 10 years of project operation.
Input cannot be less than zero.
</t>
        </r>
      </text>
    </comment>
    <comment ref="S44" authorId="0" shapeId="0" xr:uid="{00000000-0006-0000-0100-000049000000}">
      <text>
        <r>
          <rPr>
            <b/>
            <sz val="14"/>
            <color indexed="81"/>
            <rFont val="Tahoma"/>
            <family val="2"/>
          </rPr>
          <t xml:space="preserve">Note:
</t>
        </r>
        <r>
          <rPr>
            <sz val="14"/>
            <color indexed="81"/>
            <rFont val="Tahoma"/>
            <family val="2"/>
          </rPr>
          <t xml:space="preserve">Performance Based Incentives are often adjusted to account for inflation. For example, the Federal Production Tax Credit (PTC) is adjusted each year to account for changes in the GDP IPD index. This cell can be used as a proxy for the inflation that would apply to any PBI incentive entered above.
This input cannot be left blank.
</t>
        </r>
      </text>
    </comment>
    <comment ref="F45" authorId="0" shapeId="0" xr:uid="{00000000-0006-0000-0100-00004A000000}">
      <text>
        <r>
          <rPr>
            <b/>
            <sz val="8"/>
            <color indexed="81"/>
            <rFont val="Tahoma"/>
            <family val="2"/>
          </rPr>
          <t>See "unit" definitions at the bottom of this worksheet.</t>
        </r>
        <r>
          <rPr>
            <sz val="8"/>
            <color indexed="81"/>
            <rFont val="Tahoma"/>
            <family val="2"/>
          </rPr>
          <t xml:space="preserve">
</t>
        </r>
      </text>
    </comment>
    <comment ref="S45" authorId="0" shapeId="0" xr:uid="{00000000-0006-0000-0100-00004B000000}">
      <text>
        <r>
          <rPr>
            <b/>
            <sz val="14"/>
            <color indexed="81"/>
            <rFont val="Tahoma"/>
            <family val="2"/>
          </rPr>
          <t xml:space="preserve">Note:
</t>
        </r>
        <r>
          <rPr>
            <sz val="14"/>
            <color indexed="81"/>
            <rFont val="Tahoma"/>
            <family val="2"/>
          </rPr>
          <t xml:space="preserve">Include here the dollar per Watt value of any state-specific rebates or cash grants.
Input cannot be less than zero.
</t>
        </r>
      </text>
    </comment>
    <comment ref="I46" authorId="0" shapeId="0" xr:uid="{00000000-0006-0000-0100-00004C000000}">
      <text>
        <r>
          <rPr>
            <b/>
            <sz val="14"/>
            <color indexed="81"/>
            <rFont val="Tahoma"/>
            <family val="2"/>
          </rPr>
          <t xml:space="preserve">Note:
</t>
        </r>
        <r>
          <rPr>
            <sz val="14"/>
            <color indexed="81"/>
            <rFont val="Tahoma"/>
            <family val="2"/>
          </rPr>
          <t xml:space="preserve">The # of months from construction start to commercial operation. This input cannot be less than zero.
</t>
        </r>
      </text>
    </comment>
    <comment ref="S46" authorId="0" shapeId="0" xr:uid="{00000000-0006-0000-0100-00004D000000}">
      <text>
        <r>
          <rPr>
            <b/>
            <sz val="14"/>
            <color indexed="81"/>
            <rFont val="Tahoma"/>
            <family val="2"/>
          </rPr>
          <t xml:space="preserve">Note:
</t>
        </r>
        <r>
          <rPr>
            <sz val="14"/>
            <color indexed="81"/>
            <rFont val="Tahoma"/>
            <family val="2"/>
          </rPr>
          <t xml:space="preserve">Enter here the maximum dollar value ("cap") of any state-specific rebate or grant.
If no cap exists, enter zero.
Input cannot be less than zero.
</t>
        </r>
      </text>
    </comment>
    <comment ref="I47" authorId="0" shapeId="0" xr:uid="{00000000-0006-0000-0100-00004E000000}">
      <text>
        <r>
          <rPr>
            <b/>
            <sz val="14"/>
            <color indexed="81"/>
            <rFont val="Tahoma"/>
            <family val="2"/>
          </rPr>
          <t xml:space="preserve">Note:
</t>
        </r>
        <r>
          <rPr>
            <sz val="14"/>
            <color indexed="81"/>
            <rFont val="Tahoma"/>
            <family val="2"/>
          </rPr>
          <t xml:space="preserve">The annual interest rate on construction debt. This input cannot be less than zero.
</t>
        </r>
      </text>
    </comment>
    <comment ref="S47" authorId="0" shapeId="0" xr:uid="{00000000-0006-0000-0100-00004F000000}">
      <text>
        <r>
          <rPr>
            <b/>
            <sz val="14"/>
            <color indexed="81"/>
            <rFont val="Tahoma"/>
            <family val="2"/>
          </rPr>
          <t xml:space="preserve">Note:
</t>
        </r>
        <r>
          <rPr>
            <sz val="14"/>
            <color indexed="81"/>
            <rFont val="Tahoma"/>
            <family val="2"/>
          </rPr>
          <t xml:space="preserve">Select here whether state grants are treated as taxable income.  If no, depreciation basis is reduced. 
</t>
        </r>
      </text>
    </comment>
    <comment ref="I48" authorId="0" shapeId="0" xr:uid="{00000000-0006-0000-0100-000050000000}">
      <text>
        <r>
          <rPr>
            <b/>
            <sz val="14"/>
            <color indexed="81"/>
            <rFont val="Tahoma"/>
            <family val="2"/>
          </rPr>
          <t xml:space="preserve">Note:
</t>
        </r>
        <r>
          <rPr>
            <sz val="14"/>
            <color indexed="81"/>
            <rFont val="Tahoma"/>
            <family val="2"/>
          </rPr>
          <t xml:space="preserve">A calculated value showing the interest accrued during the construction period. Rather than requiring the user to define a detailed construction draw-down schedule, this calculation makes the simplifying assumption that the total project cost is spent in equal parts in each month of the construction period.
IDC is calculated on total project cost, assuming that any grants are collected after construction financing is repaid at time of permanent financing.
This cell is only used with the "Intermediate" and "Complex" capital cost options. The "Simple" capital cost option assumes that all project costs, including IDC, are included in the single input.
</t>
        </r>
      </text>
    </comment>
    <comment ref="F50" authorId="0" shapeId="0" xr:uid="{00000000-0006-0000-0100-000051000000}">
      <text>
        <r>
          <rPr>
            <b/>
            <sz val="8"/>
            <color indexed="81"/>
            <rFont val="Tahoma"/>
            <family val="2"/>
          </rPr>
          <t>See "unit" definitions at the bottom of this worksheet.</t>
        </r>
        <r>
          <rPr>
            <sz val="8"/>
            <color indexed="81"/>
            <rFont val="Tahoma"/>
            <family val="2"/>
          </rPr>
          <t xml:space="preserve">
</t>
        </r>
      </text>
    </comment>
    <comment ref="S50" authorId="0" shapeId="0" xr:uid="{00000000-0006-0000-0100-000052000000}">
      <text>
        <r>
          <rPr>
            <b/>
            <sz val="14"/>
            <color indexed="81"/>
            <rFont val="Tahoma"/>
            <family val="2"/>
          </rPr>
          <t>Note:</t>
        </r>
        <r>
          <rPr>
            <sz val="14"/>
            <color indexed="81"/>
            <rFont val="Tahoma"/>
            <family val="2"/>
          </rPr>
          <t xml:space="preserve">
In the case of Photovoltaic (PV) projects, one of the major hardware components is the inverter. Unlike panels, which are warrantied for 25 years in many cases, inverters are typically only warrantied for 10 years. These input cells allow for assumptions regarding one or more inverter replacements over a project's useful life.  
Because a warranty is offered typically for years 1-10, a conservative approach is to assume an inverter replacement in year 10. The range for modeling an inverter replacement is typically in the 10-15 year range. 
Caution: Modelers should take into account the contract duration and the project's useful life when considering whether to assume one or two inverter replacements. Input should be greater than zero and less than the Project Useful Life.
</t>
        </r>
      </text>
    </comment>
    <comment ref="I51" authorId="0" shapeId="0" xr:uid="{00000000-0006-0000-0100-000053000000}">
      <text>
        <r>
          <rPr>
            <b/>
            <sz val="14"/>
            <color indexed="81"/>
            <rFont val="Tahoma"/>
            <family val="2"/>
          </rPr>
          <t xml:space="preserve">Note:
</t>
        </r>
        <r>
          <rPr>
            <sz val="14"/>
            <color indexed="81"/>
            <rFont val="Tahoma"/>
            <family val="2"/>
          </rPr>
          <t xml:space="preserve">For ease of use and comprehension by a wide range of stakeholders, this model allows the user to define the capital structure, and relies on mortgage-style amortization of the project debt. The "% Debt" input specifies the portion of funds borrowed, as a percentage of the total "hard costs." Equity is assumed to fund the remaining hard costs PLUS all "soft costs" (e.g. transaction costs and funding of initial reserve accounts, if applicable).  This input cannot be less than zero.
Where maximum sustainable leverage is desired, the user must manually adjust the "% Debt" entry upward to the highest point </t>
        </r>
        <r>
          <rPr>
            <b/>
            <i/>
            <sz val="14"/>
            <color indexed="81"/>
            <rFont val="Tahoma"/>
            <family val="2"/>
          </rPr>
          <t>before</t>
        </r>
        <r>
          <rPr>
            <sz val="14"/>
            <color indexed="81"/>
            <rFont val="Tahoma"/>
            <family val="2"/>
          </rPr>
          <t xml:space="preserve"> the DSCRs no longer "Pass."
If a specific % Debt is desired, </t>
        </r>
        <r>
          <rPr>
            <u/>
            <sz val="14"/>
            <color indexed="81"/>
            <rFont val="Tahoma"/>
            <family val="2"/>
          </rPr>
          <t>and such % is higher than the maximum sustainable debt</t>
        </r>
        <r>
          <rPr>
            <sz val="14"/>
            <color indexed="81"/>
            <rFont val="Tahoma"/>
            <family val="2"/>
          </rPr>
          <t xml:space="preserve"> (such that it causes the DSCR to "Fail"), then the user must define the % Debt and then manually adjust the "Target After-Tax Equity IRR" upward until the DSCRs are met.  The user should </t>
        </r>
        <r>
          <rPr>
            <b/>
            <sz val="14"/>
            <color indexed="81"/>
            <rFont val="Tahoma"/>
            <family val="2"/>
          </rPr>
          <t>take note</t>
        </r>
        <r>
          <rPr>
            <sz val="14"/>
            <color indexed="81"/>
            <rFont val="Tahoma"/>
            <family val="2"/>
          </rPr>
          <t xml:space="preserve"> that when leverage becomes very high (and the corresponding equity contribution low), the "Target After-Tax Equity IRR" will need to be adjusted to levels exceeding typical commercial returns </t>
        </r>
        <r>
          <rPr>
            <u/>
            <sz val="14"/>
            <color indexed="81"/>
            <rFont val="Tahoma"/>
            <family val="2"/>
          </rPr>
          <t>in order to maintain the DSCR ratio</t>
        </r>
        <r>
          <rPr>
            <sz val="14"/>
            <color indexed="81"/>
            <rFont val="Tahoma"/>
            <family val="2"/>
          </rPr>
          <t xml:space="preserve"> on such high debt levels.  For this reason, it is not recommended that users solve for the COE associated with a % Debt that is beyond the maximum sustainable leverage.
If a project is expected to be funded either by a pool of corporate funds or back-leveraged after commercial operation, the user might elect to enter 0% in the "% Debt" cell and enter a weighted average cost of capital (WACC) in the "Target After-Tax Equity IRR" cell.
</t>
        </r>
      </text>
    </comment>
    <comment ref="S51" authorId="0" shapeId="0" xr:uid="{00000000-0006-0000-0100-000054000000}">
      <text>
        <r>
          <rPr>
            <b/>
            <sz val="14"/>
            <color indexed="81"/>
            <rFont val="Tahoma"/>
            <family val="2"/>
          </rPr>
          <t xml:space="preserve">Note:
</t>
        </r>
        <r>
          <rPr>
            <sz val="14"/>
            <color indexed="81"/>
            <rFont val="Tahoma"/>
            <family val="2"/>
          </rPr>
          <t>The cost of an inverter replacement is often difficult to assess, given that costs are typically attributable to an item that would be purchased more than 10 years from commercial operation. Current pricing typically falls in the $0.1 - $0.5/Watt ($100-$500/kW) range, although it is expected to decrease over time. The input placed in this cell must be in nominal dollars -- reflecting the expected cost of the equipment in the year replaced. Funds sufficient to pay for this replacement are then reserved through operations in equal amounts until the year in which the replacement occurs.
Note: This model assumes that future equipment purchases, such as inverter replacements, will be depreciated on 5-yr MACRS basis.
Input must be greater than zero.</t>
        </r>
      </text>
    </comment>
    <comment ref="I52" authorId="1" shapeId="0" xr:uid="{00000000-0006-0000-0100-000055000000}">
      <text>
        <r>
          <rPr>
            <b/>
            <sz val="14"/>
            <color indexed="81"/>
            <rFont val="Tahoma"/>
            <family val="2"/>
          </rPr>
          <t>Note:</t>
        </r>
        <r>
          <rPr>
            <sz val="14"/>
            <color indexed="81"/>
            <rFont val="Tahoma"/>
            <family val="2"/>
          </rPr>
          <t xml:space="preserve">
Debt "tenor" (also casually referred to as "term"), is the number of years in the debt repayment schedule.   
Caution: If the project will utilize debt, this value must be greater than zero but less than or equal to the total FIT contract duration.
</t>
        </r>
      </text>
    </comment>
    <comment ref="S52" authorId="0" shapeId="0" xr:uid="{00000000-0006-0000-0100-000056000000}">
      <text>
        <r>
          <rPr>
            <b/>
            <sz val="14"/>
            <color indexed="81"/>
            <rFont val="Tahoma"/>
            <family val="2"/>
          </rPr>
          <t>Note:</t>
        </r>
        <r>
          <rPr>
            <sz val="14"/>
            <color indexed="81"/>
            <rFont val="Tahoma"/>
            <family val="2"/>
          </rPr>
          <t xml:space="preserve">
In the case of Photovoltaic (PV) projects, one of the major hardware components is the inverter. Unlike panels, which are warrantied for 25 years in many cases, inverters are typically only warrantied for 10 years. These input cells allow for assumptions regarding one or more inverter replacements over a project's useful life.  
Because a warranty is offered typically for years 1-10, a conservative approach is to assume an inverter replacement in year 10. The range for modeling an inverter replacement is typically in the 10-15 year range. 
Caution: Modelers should take into account the contract duration and the project's useful life when considering whether to assume one or two inverter replacements. 
Input should be greater than the year of 1st Equipment Replacement and less than the Project Useful Life.
</t>
        </r>
      </text>
    </comment>
    <comment ref="I53" authorId="1" shapeId="0" xr:uid="{00000000-0006-0000-0100-000057000000}">
      <text>
        <r>
          <rPr>
            <b/>
            <sz val="14"/>
            <color indexed="81"/>
            <rFont val="Tahoma"/>
            <family val="2"/>
          </rPr>
          <t>Note:</t>
        </r>
        <r>
          <rPr>
            <sz val="14"/>
            <color indexed="81"/>
            <rFont val="Tahoma"/>
            <family val="2"/>
          </rPr>
          <t xml:space="preserve">
The all-in interest rate is the financing rate provided by the bank or other debt investor.
This input cannot be less than zero.
</t>
        </r>
      </text>
    </comment>
    <comment ref="S53" authorId="0" shapeId="0" xr:uid="{00000000-0006-0000-0100-000058000000}">
      <text>
        <r>
          <rPr>
            <b/>
            <sz val="14"/>
            <color indexed="81"/>
            <rFont val="Tahoma"/>
            <family val="2"/>
          </rPr>
          <t xml:space="preserve">Note:
</t>
        </r>
        <r>
          <rPr>
            <sz val="14"/>
            <color indexed="81"/>
            <rFont val="Tahoma"/>
            <family val="2"/>
          </rPr>
          <t>The cost of an inverter replacement is often difficult to assess, given that costs are typically attributable to an item that would be purchased more than 10 years from commercial operation. Current pricing typically falls in the $0.1 - $0.5/Watt ($100-$500/kW) range, although it is expected to decrease over time. The input placed in this cell must be in nominal dollars -- reflecting the expected cost of the equipment in the year replaced. Funds sufficient to pay for this replacement are then reserved through operations in equal amounts until the year in which the replacement occurs.
Note: This model assumes that future equipment purchases, such as inverter replacements, will be depreciated on 5-yr MACRS basis.
Input must be greater than zero.</t>
        </r>
      </text>
    </comment>
    <comment ref="I54" authorId="0" shapeId="0" xr:uid="{00000000-0006-0000-0100-000059000000}">
      <text>
        <r>
          <rPr>
            <b/>
            <sz val="14"/>
            <color indexed="81"/>
            <rFont val="Tahoma"/>
            <family val="2"/>
          </rPr>
          <t xml:space="preserve">Note:
</t>
        </r>
        <r>
          <rPr>
            <sz val="14"/>
            <color indexed="81"/>
            <rFont val="Tahoma"/>
            <family val="2"/>
          </rPr>
          <t xml:space="preserve">A one-time fee collected by the lender and calculated as a % of the total loan amount. This value is typically between 1% and 4%.
This input cannot be less than zero.
</t>
        </r>
      </text>
    </comment>
    <comment ref="I55" authorId="1" shapeId="0" xr:uid="{00000000-0006-0000-0100-00005A000000}">
      <text>
        <r>
          <rPr>
            <b/>
            <sz val="14"/>
            <color indexed="81"/>
            <rFont val="Tahoma"/>
            <family val="2"/>
          </rPr>
          <t>Note:</t>
        </r>
        <r>
          <rPr>
            <sz val="14"/>
            <color indexed="81"/>
            <rFont val="Tahoma"/>
            <family val="2"/>
          </rPr>
          <t xml:space="preserve">
The annual Debt Service Coverage Ratio is calculated by dividing the sum of the annual principal and interest payment into that year's operating cash flow. Lenders will require the DSCR to demonstrate the project's ability to easily meet its annual debt service obligation.
Average DSCRs over the life of the loan typically range from 1.2 to 1.5 for private, commercially financed projects, or from 1.1 to 1.3 for publicly owned, bond-financed projects - depending on the level of reserves, or other surety, provided. 
The annual minimum DSCR will depend on the specific terms of the loan and the probability-weighting of the production estimate, but will likely be in the range of 1.0 to 1.3. This input must be greater than 1.
</t>
        </r>
      </text>
    </comment>
    <comment ref="P55" authorId="0" shapeId="0" xr:uid="{00000000-0006-0000-0100-00005B000000}">
      <text>
        <r>
          <rPr>
            <b/>
            <sz val="8"/>
            <color indexed="81"/>
            <rFont val="Tahoma"/>
            <family val="2"/>
          </rPr>
          <t>See "unit" definitions at the bottom of this worksheet.</t>
        </r>
        <r>
          <rPr>
            <sz val="8"/>
            <color indexed="81"/>
            <rFont val="Tahoma"/>
            <family val="2"/>
          </rPr>
          <t xml:space="preserve">
</t>
        </r>
      </text>
    </comment>
    <comment ref="I56" authorId="0" shapeId="0" xr:uid="{00000000-0006-0000-0100-00005C000000}">
      <text>
        <r>
          <rPr>
            <b/>
            <sz val="14"/>
            <color indexed="81"/>
            <rFont val="Tahoma"/>
            <family val="2"/>
          </rPr>
          <t>Note:</t>
        </r>
        <r>
          <rPr>
            <sz val="14"/>
            <color indexed="81"/>
            <rFont val="Tahoma"/>
            <family val="2"/>
          </rPr>
          <t xml:space="preserve">
If "#N/A" appears, F9 should be pressed until the calculated COE achieves it's final value.</t>
        </r>
      </text>
    </comment>
    <comment ref="I57" authorId="1" shapeId="0" xr:uid="{00000000-0006-0000-0100-00005D000000}">
      <text>
        <r>
          <rPr>
            <b/>
            <sz val="14"/>
            <color indexed="81"/>
            <rFont val="Tahoma"/>
            <family val="2"/>
          </rPr>
          <t>Note:</t>
        </r>
        <r>
          <rPr>
            <sz val="14"/>
            <color indexed="81"/>
            <rFont val="Tahoma"/>
            <family val="2"/>
          </rPr>
          <t xml:space="preserve">
This cell checks that the debt service coverage ratio exceeds the user-defined minimum in each operating year (see note in DSCR cell for definition and rationale for DSCR). If the test "fails", the user must choose from one of several options in order to cure this deficiency (the extent to which these options are available will be specific to each project):
1. reduce the amount of project level debt, 
2. increase the feed-in tariff rate in order to generate cash flow sufficient to meet the bank's assumed coverage requirement.  In the CREST model, </t>
        </r>
        <r>
          <rPr>
            <u/>
            <sz val="14"/>
            <color indexed="81"/>
            <rFont val="Tahoma"/>
            <family val="2"/>
          </rPr>
          <t>this is done by manually increasing the "Target After-Tax Equity IRR."</t>
        </r>
        <r>
          <rPr>
            <sz val="14"/>
            <color indexed="81"/>
            <rFont val="Tahoma"/>
            <family val="2"/>
          </rPr>
          <t xml:space="preserve">
Other possible, but less likely, mechanisms include:
3. increase the loan tenor
4. decrease the interest rate</t>
        </r>
      </text>
    </comment>
    <comment ref="S57" authorId="1" shapeId="0" xr:uid="{00000000-0006-0000-0100-00005E000000}">
      <text>
        <r>
          <rPr>
            <b/>
            <sz val="14"/>
            <color indexed="81"/>
            <rFont val="Tahoma"/>
            <family val="2"/>
          </rPr>
          <t xml:space="preserve">Note:
</t>
        </r>
        <r>
          <rPr>
            <sz val="14"/>
            <color indexed="81"/>
            <rFont val="Tahoma"/>
            <family val="2"/>
          </rPr>
          <t xml:space="preserve">In order to ensure that project owners have sufficient funds to decommission and remove equipment at the end of a project's life, many owners choose to create and fund a reserve account throughout the course of project. 
This input cell allows the modeler to choose whether to pay for project removal by creating and funding a reserve account over the project life by selecting "Operations" or to assume that a project's removal will be funded by selling the equipment, by selecting "Salvage".
</t>
        </r>
      </text>
    </comment>
    <comment ref="I58" authorId="1" shapeId="0" xr:uid="{00000000-0006-0000-0100-00005F000000}">
      <text>
        <r>
          <rPr>
            <b/>
            <sz val="14"/>
            <color indexed="81"/>
            <rFont val="Tahoma"/>
            <family val="2"/>
          </rPr>
          <t>Note:</t>
        </r>
        <r>
          <rPr>
            <sz val="14"/>
            <color indexed="81"/>
            <rFont val="Tahoma"/>
            <family val="2"/>
          </rPr>
          <t xml:space="preserve">
The annual Debt Service Coverage Ratio is calculated by dividing the sum of the annual principal and interest payment into that year's operating cash flow. Lenders will require the DSCR to demonstrate the project's ability to easily meet its annual debt service obligation.
</t>
        </r>
        <r>
          <rPr>
            <u/>
            <sz val="14"/>
            <color indexed="81"/>
            <rFont val="Tahoma"/>
            <family val="2"/>
          </rPr>
          <t>Average</t>
        </r>
        <r>
          <rPr>
            <sz val="14"/>
            <color indexed="81"/>
            <rFont val="Tahoma"/>
            <family val="2"/>
          </rPr>
          <t xml:space="preserve"> DSCRs over the life of the loan typically range from 1.2 to 1.5 for private, commercially financed projects, or from 1.1 to 1.3 for publicly owned, bond-financed projects - depending on the level of reserves, or other surety, provided. 
The </t>
        </r>
        <r>
          <rPr>
            <u/>
            <sz val="14"/>
            <color indexed="81"/>
            <rFont val="Tahoma"/>
            <family val="2"/>
          </rPr>
          <t>annual minimum</t>
        </r>
        <r>
          <rPr>
            <sz val="14"/>
            <color indexed="81"/>
            <rFont val="Tahoma"/>
            <family val="2"/>
          </rPr>
          <t xml:space="preserve"> DSCR will depend on the specific terms of the loan and the probability-weighting of the production estimate, but will likely be in the range of 1.0 to 1.3. This input must be greater than 1.
</t>
        </r>
      </text>
    </comment>
    <comment ref="S58" authorId="0" shapeId="0" xr:uid="{00000000-0006-0000-0100-000060000000}">
      <text>
        <r>
          <rPr>
            <b/>
            <sz val="14"/>
            <color indexed="81"/>
            <rFont val="Tahoma"/>
            <family val="2"/>
          </rPr>
          <t>Note:</t>
        </r>
        <r>
          <rPr>
            <sz val="14"/>
            <color indexed="81"/>
            <rFont val="Tahoma"/>
            <family val="2"/>
          </rPr>
          <t xml:space="preserve">
This input cell allows the user to assume the creation of a reserve account. The value entered here will be accounted for in the project's cash flow, and would be funded evenly over the number of years available between the project's commercial operation and the end of its useful life.
Input cannot be less than zero.
</t>
        </r>
      </text>
    </comment>
    <comment ref="I59" authorId="0" shapeId="0" xr:uid="{00000000-0006-0000-0100-000061000000}">
      <text>
        <r>
          <rPr>
            <b/>
            <sz val="14"/>
            <color indexed="81"/>
            <rFont val="Tahoma"/>
            <family val="2"/>
          </rPr>
          <t>Note:</t>
        </r>
        <r>
          <rPr>
            <sz val="14"/>
            <color indexed="81"/>
            <rFont val="Tahoma"/>
            <family val="2"/>
          </rPr>
          <t xml:space="preserve">
If "#N/A" appears, F9 should be pressed until the calculated COE achieves it's final value.</t>
        </r>
      </text>
    </comment>
    <comment ref="I60" authorId="1" shapeId="0" xr:uid="{00000000-0006-0000-0100-000062000000}">
      <text>
        <r>
          <rPr>
            <b/>
            <sz val="14"/>
            <color indexed="81"/>
            <rFont val="Tahoma"/>
            <family val="2"/>
          </rPr>
          <t>Note:</t>
        </r>
        <r>
          <rPr>
            <sz val="14"/>
            <color indexed="81"/>
            <rFont val="Tahoma"/>
            <family val="2"/>
          </rPr>
          <t xml:space="preserve">
This cell checks that the average debt service coverage ratio exceeds the user-defined minimum during the period for which debt is outstanding (see note in DSCR cell for definition and rationale for DSCR). If the test "fails", the user must choose from one of several options in order to cure this deficiency (the extent to which these options are available will be specific to each project):
1. reduce the amount of project level debt, 
2. increase the feed-in tariff rate in order to generate cash flow sufficient to meet the bank's assumed coverage requirement.  In the CREST model, </t>
        </r>
        <r>
          <rPr>
            <u/>
            <sz val="14"/>
            <color indexed="81"/>
            <rFont val="Tahoma"/>
            <family val="2"/>
          </rPr>
          <t>this is done by manually increasing the "Target After-Tax Equity IRR."</t>
        </r>
        <r>
          <rPr>
            <sz val="14"/>
            <color indexed="81"/>
            <rFont val="Tahoma"/>
            <family val="2"/>
          </rPr>
          <t xml:space="preserve">
Other possible, but less likely, mechanisms include:
3. increase the loan tenor
4. decrease the interest rate</t>
        </r>
      </text>
    </comment>
    <comment ref="P60" authorId="0" shapeId="0" xr:uid="{00000000-0006-0000-0100-000063000000}">
      <text>
        <r>
          <rPr>
            <b/>
            <sz val="8"/>
            <color indexed="81"/>
            <rFont val="Tahoma"/>
            <family val="2"/>
          </rPr>
          <t>See "unit" definitions at the bottom of this worksheet.</t>
        </r>
        <r>
          <rPr>
            <sz val="8"/>
            <color indexed="81"/>
            <rFont val="Tahoma"/>
            <family val="2"/>
          </rPr>
          <t xml:space="preserve">
</t>
        </r>
      </text>
    </comment>
    <comment ref="I61" authorId="0" shapeId="0" xr:uid="{00000000-0006-0000-0100-000064000000}">
      <text>
        <r>
          <rPr>
            <b/>
            <sz val="14"/>
            <color indexed="81"/>
            <rFont val="Tahoma"/>
            <family val="2"/>
          </rPr>
          <t xml:space="preserve">Note:
</t>
        </r>
        <r>
          <rPr>
            <sz val="14"/>
            <color indexed="81"/>
            <rFont val="Tahoma"/>
            <family val="2"/>
          </rPr>
          <t xml:space="preserve">The portion of total project cost funded from equity investors. This cell is a calculation and not an input. It is calculated as 100% minus the "% Debt" entered above.
</t>
        </r>
      </text>
    </comment>
    <comment ref="I62" authorId="1" shapeId="0" xr:uid="{00000000-0006-0000-0100-000065000000}">
      <text>
        <r>
          <rPr>
            <b/>
            <sz val="14"/>
            <color indexed="81"/>
            <rFont val="Tahoma"/>
            <family val="2"/>
          </rPr>
          <t>Note:</t>
        </r>
        <r>
          <rPr>
            <sz val="14"/>
            <color indexed="81"/>
            <rFont val="Tahoma"/>
            <family val="2"/>
          </rPr>
          <t xml:space="preserve">
The target after-tax equity IRR is the equity investor's cost of capital -- or "discount rate" -- and is the minimum rate of return that the project owner will seek to attain in order to justify the project compared to alternative investments.  The CREST model assumes a single equity investor taking both cash and tax benefits.  As a result, the target after-tax equity IRR entered here should represent a blend of expected returns for both cash and tax equity investments.
The user should be explicit in his or her assumption regarding the term over which the target after-tax IRR is assumed to be realized. For example, the user could elect to align the return requirement with the tariff payment duration. In this case, the project useful life should be set equal to the tariff duration in order to calculate the COE associated with the target IRR over that period of time. 
In a second example, the user could elect to align the return requirement with the project's useful life. In this case, the user can either assume a tariff duration equal to the project life, or assume market-based revenue for the period after the tariff and before the end of the assumed project useful life.
This input cannot be less than zero.
If a project is expected to be funded either by a pool of corporate funds or back-leveraged after commercial operation, the user might elect to enter 0% in the "% Debt" cell and enter a weighted average cost of capital (WACC) in the "Target After-Tax Equity IRR" cell.
</t>
        </r>
      </text>
    </comment>
    <comment ref="S62" authorId="0" shapeId="0" xr:uid="{00000000-0006-0000-0100-000066000000}">
      <text>
        <r>
          <rPr>
            <b/>
            <sz val="14"/>
            <color indexed="81"/>
            <rFont val="Tahoma"/>
            <family val="2"/>
          </rPr>
          <t>Note:</t>
        </r>
        <r>
          <rPr>
            <sz val="14"/>
            <color indexed="81"/>
            <rFont val="Tahoma"/>
            <family val="2"/>
          </rPr>
          <t xml:space="preserve">
Lenders typically require the project owner to establish a reserve account prior to the commencement of operations to ensure that loan repayments occur in full and on time even if the project has insufficient operating cash flow in a specific period due to lower than expected production, higher costs, or both. The size of the reserve account is typically equal to 6 months of debt service obligation.
Input cannot be less than zero.
</t>
        </r>
      </text>
    </comment>
    <comment ref="I63" authorId="0" shapeId="0" xr:uid="{00000000-0006-0000-0100-000067000000}">
      <text>
        <r>
          <rPr>
            <b/>
            <sz val="14"/>
            <color indexed="81"/>
            <rFont val="Tahoma"/>
            <family val="2"/>
          </rPr>
          <t xml:space="preserve">Note:
</t>
        </r>
        <r>
          <rPr>
            <sz val="14"/>
            <color indexed="81"/>
            <rFont val="Tahoma"/>
            <family val="2"/>
          </rPr>
          <t xml:space="preserve">The weighted average cost of capital combines the after-tax cost of both equity and debt in proportion to their use, and is calculated here for reference.
</t>
        </r>
      </text>
    </comment>
    <comment ref="S63" authorId="0" shapeId="0" xr:uid="{00000000-0006-0000-0100-000068000000}">
      <text>
        <r>
          <rPr>
            <b/>
            <sz val="14"/>
            <color indexed="81"/>
            <rFont val="Tahoma"/>
            <family val="2"/>
          </rPr>
          <t>Note:</t>
        </r>
        <r>
          <rPr>
            <sz val="14"/>
            <color indexed="81"/>
            <rFont val="Tahoma"/>
            <family val="2"/>
          </rPr>
          <t xml:space="preserve">
Calculated value based on the # months of required reserve and the capital structure and associated periodic debt obligation.
</t>
        </r>
      </text>
    </comment>
    <comment ref="I64" authorId="0" shapeId="0" xr:uid="{00000000-0006-0000-0100-000069000000}">
      <text>
        <r>
          <rPr>
            <b/>
            <sz val="14"/>
            <color indexed="81"/>
            <rFont val="Tahoma"/>
            <family val="2"/>
          </rPr>
          <t xml:space="preserve">Note:
</t>
        </r>
        <r>
          <rPr>
            <sz val="14"/>
            <color indexed="81"/>
            <rFont val="Tahoma"/>
            <family val="2"/>
          </rPr>
          <t>This cell represents the costs of both equity and debt due diligence (if applicable) and other transaction costs.
Input cannot be less than zero.</t>
        </r>
      </text>
    </comment>
    <comment ref="S65" authorId="0" shapeId="0" xr:uid="{00000000-0006-0000-0100-00006A000000}">
      <text>
        <r>
          <rPr>
            <b/>
            <sz val="14"/>
            <color indexed="81"/>
            <rFont val="Tahoma"/>
            <family val="2"/>
          </rPr>
          <t>Note:</t>
        </r>
        <r>
          <rPr>
            <sz val="14"/>
            <color indexed="81"/>
            <rFont val="Tahoma"/>
            <family val="2"/>
          </rPr>
          <t xml:space="preserve">
Lenders typically require the project owner to establish a reserve account prior to the commencement of operations to ensure that all O&amp;M expenses can be met even if the project has insufficient operating cash flow in a specific period due to lower than expected production, higher costs, or both. The size of the reserve account is typically 3 to 6 months of O&amp;M expenses, and includes all categories of O&amp;M expenses.
Input cannot be less than zero.
</t>
        </r>
      </text>
    </comment>
    <comment ref="S66" authorId="0" shapeId="0" xr:uid="{00000000-0006-0000-0100-00006B000000}">
      <text>
        <r>
          <rPr>
            <b/>
            <sz val="14"/>
            <color indexed="81"/>
            <rFont val="Tahoma"/>
            <family val="2"/>
          </rPr>
          <t>Note:</t>
        </r>
        <r>
          <rPr>
            <sz val="14"/>
            <color indexed="81"/>
            <rFont val="Tahoma"/>
            <family val="2"/>
          </rPr>
          <t xml:space="preserve">
Calculated value based on the # months of required reserve and all annual operating expenses.
</t>
        </r>
      </text>
    </comment>
    <comment ref="I67" authorId="0" shapeId="0" xr:uid="{00000000-0006-0000-0100-00006C00000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at the project's "Total Installed Cost."
</t>
        </r>
      </text>
    </comment>
    <comment ref="S67" authorId="0" shapeId="0" xr:uid="{00000000-0006-0000-0100-00006D000000}">
      <text>
        <r>
          <rPr>
            <b/>
            <sz val="14"/>
            <color indexed="81"/>
            <rFont val="Tahoma"/>
            <family val="2"/>
          </rPr>
          <t>Note:</t>
        </r>
        <r>
          <rPr>
            <sz val="14"/>
            <color indexed="81"/>
            <rFont val="Tahoma"/>
            <family val="2"/>
          </rPr>
          <t xml:space="preserve">
Unused reserves earn interest at this rate. Input cannot be less than zero.
</t>
        </r>
      </text>
    </comment>
    <comment ref="I68" authorId="0" shapeId="0" xr:uid="{00000000-0006-0000-0100-00006E00000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as the project's "Total Installed Cost."
</t>
        </r>
      </text>
    </comment>
    <comment ref="I69" authorId="1" shapeId="0" xr:uid="{00000000-0006-0000-0100-00006F000000}">
      <text>
        <r>
          <rPr>
            <b/>
            <sz val="14"/>
            <color indexed="81"/>
            <rFont val="Tahoma"/>
            <family val="2"/>
          </rPr>
          <t xml:space="preserve">Note:
</t>
        </r>
        <r>
          <rPr>
            <sz val="14"/>
            <color indexed="81"/>
            <rFont val="Tahoma"/>
            <family val="2"/>
          </rPr>
          <t xml:space="preserve">This cell calculates the total of all applicable grants, excluding the payment in lieu of the Federal ITC (also known as the ITC Cash Grant, or Cash Grant), if applicable.  The ITC Cash Grant is considered separately because unlike grants issued upfront and used to offset capital costs, the ITC Cash Grant is disbursed approxiamtely 60 days after the start of commercial operations and therefore becomes an integral part of the project's financing.
Where grants are treated as taxable income, this cell calculates the after-tax impact on the total cost of the project.
  </t>
        </r>
        <r>
          <rPr>
            <sz val="8"/>
            <color indexed="81"/>
            <rFont val="Tahoma"/>
            <family val="2"/>
          </rPr>
          <t xml:space="preserve">
</t>
        </r>
      </text>
    </comment>
    <comment ref="I70" authorId="0" shapeId="0" xr:uid="{00000000-0006-0000-0100-00007000000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as the project's "Total Installed Cost."
</t>
        </r>
      </text>
    </comment>
    <comment ref="S70" authorId="0" shapeId="0" xr:uid="{00000000-0006-0000-0100-000071000000}">
      <text>
        <r>
          <rPr>
            <b/>
            <sz val="14"/>
            <color indexed="81"/>
            <rFont val="Tahoma"/>
            <family val="2"/>
          </rPr>
          <t>Note:</t>
        </r>
        <r>
          <rPr>
            <sz val="14"/>
            <color indexed="81"/>
            <rFont val="Tahoma"/>
            <family val="2"/>
          </rPr>
          <t xml:space="preserve">
To qualify for Bonus Depreciation the property must have a recovery period of 20 years or less (under normal federal tax depreciation rules), and the project must commence operation in the year in which bonus depreciation is in effect and under the ownership of the entity claiming the deduction. 
For qualifying projects, the owner is entitled to deduct 50% of the adjusted basis of the property during the tax year the property is first placed in service. The remaining 50% of the adjusted basis of the property is depreciated over the ordinary MACRS depreciation schedule. The bonus depreciation rules do not override the depreciation limit applicable to projects qualifying for the federal ITC. Before calculating depreciation for such a project, including any bonus depreciation, the adjusted basis of the project must be reduced by one-half of the amount of the ITC for which the project qualifies. 
</t>
        </r>
      </text>
    </comment>
    <comment ref="S71" authorId="0" shapeId="0" xr:uid="{00000000-0006-0000-0100-000072000000}">
      <text>
        <r>
          <rPr>
            <b/>
            <sz val="14"/>
            <color indexed="81"/>
            <rFont val="Tahoma"/>
            <family val="2"/>
          </rPr>
          <t>Note:</t>
        </r>
        <r>
          <rPr>
            <sz val="14"/>
            <color indexed="81"/>
            <rFont val="Tahoma"/>
            <family val="2"/>
          </rPr>
          <t xml:space="preserve">
This input allows the user to define the bonus depreciation % applied in Year 1, if applicable.  Historically, federal bonus depreciation has been 50% of the eligible cost basis (after taking into account reductions in such cost basis for the ITC, if applicable).  
Input cannot be less than zero.
</t>
        </r>
      </text>
    </comment>
    <comment ref="F72" authorId="0" shapeId="0" xr:uid="{00000000-0006-0000-0100-000073000000}">
      <text>
        <r>
          <rPr>
            <b/>
            <sz val="8"/>
            <color indexed="81"/>
            <rFont val="Tahoma"/>
            <family val="2"/>
          </rPr>
          <t>See "unit" definitions at the bottom of this worksheet.</t>
        </r>
        <r>
          <rPr>
            <sz val="8"/>
            <color indexed="81"/>
            <rFont val="Tahoma"/>
            <family val="2"/>
          </rPr>
          <t xml:space="preserve">
</t>
        </r>
      </text>
    </comment>
    <comment ref="I73" authorId="0" shapeId="0" xr:uid="{00000000-0006-0000-0100-000074000000}">
      <text>
        <r>
          <rPr>
            <b/>
            <sz val="14"/>
            <color indexed="81"/>
            <rFont val="Tahoma"/>
            <family val="2"/>
          </rPr>
          <t xml:space="preserve">Note:
</t>
        </r>
        <r>
          <rPr>
            <sz val="14"/>
            <color indexed="81"/>
            <rFont val="Tahoma"/>
            <family val="2"/>
          </rPr>
          <t xml:space="preserve">Defines whether the project owner is a taxable or non-taxable entity. This determines the treatment of income taxes and other tax-related items.
</t>
        </r>
      </text>
    </comment>
    <comment ref="AB73" authorId="0" shapeId="0" xr:uid="{00000000-0006-0000-0100-000075000000}">
      <text>
        <r>
          <rPr>
            <b/>
            <sz val="14"/>
            <color indexed="81"/>
            <rFont val="Tahoma"/>
            <family val="2"/>
          </rPr>
          <t>Note:</t>
        </r>
        <r>
          <rPr>
            <sz val="14"/>
            <color indexed="81"/>
            <rFont val="Tahoma"/>
            <family val="2"/>
          </rPr>
          <t xml:space="preserve">
When the "Simple" capital cost option is selected, the depreciation of total project costs is divided among the classifications using this row. The depreciation options associated with other levels of cost detail will be hidden.
</t>
        </r>
        <r>
          <rPr>
            <b/>
            <sz val="14"/>
            <color indexed="81"/>
            <rFont val="Tahoma"/>
            <family val="2"/>
          </rPr>
          <t xml:space="preserve">This row must sum to 100%.
</t>
        </r>
      </text>
    </comment>
    <comment ref="I74" authorId="0" shapeId="0" xr:uid="{00000000-0006-0000-0100-000076000000}">
      <text>
        <r>
          <rPr>
            <b/>
            <sz val="14"/>
            <color indexed="81"/>
            <rFont val="Tahoma"/>
            <family val="2"/>
          </rPr>
          <t xml:space="preserve">Note:
</t>
        </r>
        <r>
          <rPr>
            <sz val="14"/>
            <color indexed="81"/>
            <rFont val="Tahoma"/>
            <family val="2"/>
          </rPr>
          <t xml:space="preserve">Defines the project's federal income tax rate, if applicable.
Input cannot be less than zero.
</t>
        </r>
      </text>
    </comment>
    <comment ref="AB74" authorId="0" shapeId="0" xr:uid="{00000000-0006-0000-0100-000077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5" authorId="0" shapeId="0" xr:uid="{00000000-0006-0000-0100-000078000000}">
      <text>
        <r>
          <rPr>
            <b/>
            <sz val="14"/>
            <color indexed="81"/>
            <rFont val="Tahoma"/>
            <family val="2"/>
          </rPr>
          <t xml:space="preserve">Note:
</t>
        </r>
        <r>
          <rPr>
            <sz val="14"/>
            <color indexed="81"/>
            <rFont val="Tahoma"/>
            <family val="2"/>
          </rPr>
          <t xml:space="preserve">Defines whether depreciation and PTC benefits are monetized in the period in which they are generated ("as generated" option) or whether these benefits must be delayed until the project has sufficient tax liability to use these benefits without relying on a 3rd-party investor with tax liability external to the project ("carried forward" method).
</t>
        </r>
      </text>
    </comment>
    <comment ref="AB75" authorId="0" shapeId="0" xr:uid="{00000000-0006-0000-0100-000079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6" authorId="0" shapeId="0" xr:uid="{00000000-0006-0000-0100-00007A000000}">
      <text>
        <r>
          <rPr>
            <b/>
            <sz val="14"/>
            <color indexed="81"/>
            <rFont val="Tahoma"/>
            <family val="2"/>
          </rPr>
          <t xml:space="preserve">Note:
</t>
        </r>
        <r>
          <rPr>
            <sz val="14"/>
            <color indexed="81"/>
            <rFont val="Tahoma"/>
            <family val="2"/>
          </rPr>
          <t xml:space="preserve">Defines the project's state income tax rate, if applicable.
Input cannot be less than zero.
</t>
        </r>
      </text>
    </comment>
    <comment ref="AB76" authorId="0" shapeId="0" xr:uid="{00000000-0006-0000-0100-00007B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7" authorId="0" shapeId="0" xr:uid="{00000000-0006-0000-0100-00007C000000}">
      <text>
        <r>
          <rPr>
            <b/>
            <sz val="14"/>
            <color indexed="81"/>
            <rFont val="Tahoma"/>
            <family val="2"/>
          </rPr>
          <t xml:space="preserve">Note:
</t>
        </r>
        <r>
          <rPr>
            <sz val="14"/>
            <color indexed="81"/>
            <rFont val="Tahoma"/>
            <family val="2"/>
          </rPr>
          <t xml:space="preserve">Defines whether depreciation and PTC benefits are monetized in the period in which they are generated ("as generated" option) or whether these benefits must be delayed until the project has sufficient tax liability to use these benefits without relying on a 3rd-party investor with tax liability external to the project ("carried forward" method).
</t>
        </r>
      </text>
    </comment>
    <comment ref="AB77" authorId="0" shapeId="0" xr:uid="{00000000-0006-0000-0100-00007D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8" authorId="0" shapeId="0" xr:uid="{00000000-0006-0000-0100-00007E000000}">
      <text>
        <r>
          <rPr>
            <b/>
            <sz val="14"/>
            <color indexed="81"/>
            <rFont val="Tahoma"/>
            <family val="2"/>
          </rPr>
          <t xml:space="preserve">Note:
</t>
        </r>
        <r>
          <rPr>
            <sz val="14"/>
            <color indexed="81"/>
            <rFont val="Tahoma"/>
            <family val="2"/>
          </rPr>
          <t xml:space="preserve">Takes into account the interaction between federal and state tax rates. This is a calculated value.
</t>
        </r>
      </text>
    </comment>
    <comment ref="AB78" authorId="0" shapeId="0" xr:uid="{00000000-0006-0000-0100-00007F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9" authorId="0" shapeId="0" xr:uid="{00000000-0006-0000-0100-000080000000}">
      <text>
        <r>
          <rPr>
            <b/>
            <sz val="14"/>
            <color indexed="81"/>
            <rFont val="Tahoma"/>
            <family val="2"/>
          </rPr>
          <t xml:space="preserve">Note:
</t>
        </r>
        <r>
          <rPr>
            <sz val="14"/>
            <color indexed="81"/>
            <rFont val="Tahoma"/>
            <family val="2"/>
          </rPr>
          <t>Depreciation accounts for the "use" of equipment for tax purposes. The depreciation inputs are provided in the table to the right and on the Complex Capital Costs tab when this option is selected.</t>
        </r>
      </text>
    </comment>
    <comment ref="AB79" authorId="0" shapeId="0" xr:uid="{00000000-0006-0000-0100-000081000000}">
      <text>
        <r>
          <rPr>
            <b/>
            <sz val="14"/>
            <color indexed="81"/>
            <rFont val="Tahoma"/>
            <family val="2"/>
          </rPr>
          <t>Note:</t>
        </r>
        <r>
          <rPr>
            <sz val="14"/>
            <color indexed="81"/>
            <rFont val="Tahoma"/>
            <family val="2"/>
          </rPr>
          <t xml:space="preserve">
When the "Complex" capital cost option is selected, each line items is assigned its own depreciation classification using a drop-down menu on the Complex Capital Costs tab.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Jason Gifford</author>
  </authors>
  <commentList>
    <comment ref="B5" authorId="0" shapeId="0" xr:uid="{00000000-0006-0000-0200-000001000000}">
      <text>
        <r>
          <rPr>
            <b/>
            <sz val="12"/>
            <color indexed="81"/>
            <rFont val="Tahoma"/>
            <family val="2"/>
          </rPr>
          <t>Note:</t>
        </r>
        <r>
          <rPr>
            <sz val="12"/>
            <color indexed="81"/>
            <rFont val="Tahoma"/>
            <family val="2"/>
          </rPr>
          <t xml:space="preserve">
One of the CREST model development objectives was to incorporate maximum functionality and flexibility, while maintaining a macro-free file.
As a result, the model calculates using a series of three data tables which converge onto the COE within several one-hundredths of a cent.
Because the three data tables rely on one another to calculate the COE, and the "Automatic" calculation setting only re-calculates the first data table under certain circumstances, it is sometimes necessary to press F9 more than once in order for the calculation to cascade through each of the three data tables.
If "#N/A" appears, F9 should be pressed until the calculated COE achieves it's final value.
</t>
        </r>
      </text>
    </comment>
    <comment ref="B14" authorId="0" shapeId="0" xr:uid="{00000000-0006-0000-0200-000002000000}">
      <text>
        <r>
          <rPr>
            <b/>
            <sz val="14"/>
            <color indexed="81"/>
            <rFont val="Tahoma"/>
            <family val="2"/>
          </rPr>
          <t xml:space="preserve">NOTE:
</t>
        </r>
        <r>
          <rPr>
            <sz val="14"/>
            <color indexed="81"/>
            <rFont val="Tahoma"/>
            <family val="2"/>
          </rPr>
          <t>The Nominal Levelized Cost of Energy (LCOE)
is the single, fixed rate with the same economic impact over the life of the project as the Year-One value escalated over time.  When a 0% escalator is assumed, the "Year-One COE" and "LCOE" are the same.
Both the Year One COE and the LCOE reflect the tariff rate necessary to achieve the project investor's required after tax rate of return, taking into account all applicable incentives and any market value of production assumed after the tariff expires and before the end of the project's useful life.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Jason Gifford</author>
  </authors>
  <commentList>
    <comment ref="C4" authorId="0" shapeId="0" xr:uid="{00000000-0006-0000-0300-000001000000}">
      <text>
        <r>
          <rPr>
            <b/>
            <sz val="14"/>
            <color indexed="81"/>
            <rFont val="Tahoma"/>
            <family val="2"/>
          </rPr>
          <t xml:space="preserve">Note:
</t>
        </r>
        <r>
          <rPr>
            <sz val="14"/>
            <color indexed="81"/>
            <rFont val="Tahoma"/>
            <family val="2"/>
          </rPr>
          <t>During the FIT contract period, this column represents the feed-in tariff rate, including escalation if applicable.  After the FIT contract ends, this column represents the value of energy, capacity, renewable energy credits, or other attributes as defined and enterred by the user, if applicable.</t>
        </r>
      </text>
    </comment>
    <comment ref="D4" authorId="0" shapeId="0" xr:uid="{00000000-0006-0000-0300-000002000000}">
      <text>
        <r>
          <rPr>
            <sz val="8"/>
            <color indexed="81"/>
            <rFont val="Tahoma"/>
            <family val="2"/>
          </rPr>
          <t xml:space="preserve">
</t>
        </r>
        <r>
          <rPr>
            <b/>
            <sz val="14"/>
            <color indexed="81"/>
            <rFont val="Tahoma"/>
            <family val="2"/>
          </rPr>
          <t>Note:</t>
        </r>
        <r>
          <rPr>
            <sz val="8"/>
            <color indexed="81"/>
            <rFont val="Tahoma"/>
            <family val="2"/>
          </rPr>
          <t xml:space="preserve">
</t>
        </r>
        <r>
          <rPr>
            <sz val="14"/>
            <color indexed="81"/>
            <rFont val="Tahoma"/>
            <family val="2"/>
          </rPr>
          <t>includes performance-based incentives.</t>
        </r>
      </text>
    </comment>
    <comment ref="E4" authorId="0" shapeId="0" xr:uid="{00000000-0006-0000-0300-000003000000}">
      <text>
        <r>
          <rPr>
            <b/>
            <sz val="14"/>
            <color indexed="81"/>
            <rFont val="Tahoma"/>
            <family val="2"/>
          </rPr>
          <t>Note:</t>
        </r>
        <r>
          <rPr>
            <sz val="14"/>
            <color indexed="81"/>
            <rFont val="Tahoma"/>
            <family val="2"/>
          </rPr>
          <t xml:space="preserve">
Includes all land lease, royalty and local tax or PILOT.
</t>
        </r>
      </text>
    </comment>
    <comment ref="F4" authorId="0" shapeId="0" xr:uid="{00000000-0006-0000-0300-000004000000}">
      <text>
        <r>
          <rPr>
            <b/>
            <sz val="12"/>
            <color indexed="81"/>
            <rFont val="Tahoma"/>
            <family val="2"/>
          </rPr>
          <t xml:space="preserve">Note:
</t>
        </r>
        <r>
          <rPr>
            <sz val="12"/>
            <color indexed="81"/>
            <rFont val="Tahoma"/>
            <family val="2"/>
          </rPr>
          <t>Includes principle and interest, if debt is used.</t>
        </r>
      </text>
    </comment>
    <comment ref="G4" authorId="0" shapeId="0" xr:uid="{00000000-0006-0000-0300-000005000000}">
      <text>
        <r>
          <rPr>
            <b/>
            <sz val="14"/>
            <color indexed="81"/>
            <rFont val="Tahoma"/>
            <family val="2"/>
          </rPr>
          <t xml:space="preserve">Note:
</t>
        </r>
        <r>
          <rPr>
            <sz val="14"/>
            <color indexed="81"/>
            <rFont val="Tahoma"/>
            <family val="2"/>
          </rPr>
          <t xml:space="preserve">Positive values denote net withdrawal from reserve accounts as reserved capital is returned to project owners.
</t>
        </r>
      </text>
    </comment>
    <comment ref="M4" authorId="0" shapeId="0" xr:uid="{00000000-0006-0000-0300-000006000000}">
      <text>
        <r>
          <rPr>
            <b/>
            <sz val="14"/>
            <color indexed="81"/>
            <rFont val="Tahoma"/>
            <family val="2"/>
          </rPr>
          <t xml:space="preserve">Note:
</t>
        </r>
        <r>
          <rPr>
            <sz val="14"/>
            <color indexed="81"/>
            <rFont val="Tahoma"/>
            <family val="2"/>
          </rPr>
          <t xml:space="preserve">This is the annual cash flow disbursed to the project's equity investors, after tax.
</t>
        </r>
      </text>
    </comment>
    <comment ref="N4" authorId="0" shapeId="0" xr:uid="{00000000-0006-0000-0300-000007000000}">
      <text>
        <r>
          <rPr>
            <b/>
            <sz val="14"/>
            <color indexed="81"/>
            <rFont val="Tahoma"/>
            <family val="2"/>
          </rPr>
          <t xml:space="preserve">Note:
</t>
        </r>
        <r>
          <rPr>
            <sz val="14"/>
            <color indexed="81"/>
            <rFont val="Tahoma"/>
            <family val="2"/>
          </rPr>
          <t xml:space="preserve">This is the cumulative benefit of annual net cash flows.  The year in which the values become positive represents the return "of" the equity investor's original cash contribution.  The equity investor does not earn its return "on" investment until the required rate is met - which in this model will be in the final project year.
</t>
        </r>
      </text>
    </comment>
    <comment ref="O4" authorId="0" shapeId="0" xr:uid="{00000000-0006-0000-0300-000008000000}">
      <text>
        <r>
          <rPr>
            <b/>
            <sz val="14"/>
            <color indexed="81"/>
            <rFont val="Tahoma"/>
            <family val="2"/>
          </rPr>
          <t xml:space="preserve">Note:
</t>
        </r>
        <r>
          <rPr>
            <sz val="14"/>
            <color indexed="81"/>
            <rFont val="Tahoma"/>
            <family val="2"/>
          </rPr>
          <t xml:space="preserve">This is a running tally on the equity investor's after tax internal rate of return.
</t>
        </r>
      </text>
    </comment>
    <comment ref="P4" authorId="0" shapeId="0" xr:uid="{00000000-0006-0000-0300-000009000000}">
      <text>
        <r>
          <rPr>
            <b/>
            <sz val="14"/>
            <color indexed="81"/>
            <rFont val="Tahoma"/>
            <family val="2"/>
          </rPr>
          <t xml:space="preserve">Note:
</t>
        </r>
        <r>
          <rPr>
            <sz val="14"/>
            <color indexed="81"/>
            <rFont val="Tahoma"/>
            <family val="2"/>
          </rPr>
          <t xml:space="preserve">The Debt Service Coverage Ratio is calculated by dividing the sum of the annual principal and interest payment into that year's operating cash flow.  Lenders will require the DSCR to demonstrate the project's ability to easily meet its annual debt service obligation.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Jason Gifford</author>
  </authors>
  <commentList>
    <comment ref="E60" authorId="0" shapeId="0" xr:uid="{00000000-0006-0000-0400-000001000000}">
      <text>
        <r>
          <rPr>
            <b/>
            <sz val="14"/>
            <color indexed="81"/>
            <rFont val="Tahoma"/>
            <family val="2"/>
          </rPr>
          <t xml:space="preserve">NOTE:
</t>
        </r>
        <r>
          <rPr>
            <sz val="14"/>
            <color indexed="81"/>
            <rFont val="Tahoma"/>
            <family val="2"/>
          </rPr>
          <t>If operating loss carry-forward is NOT applied, the values in the "Taxable Income" lines should be the same.</t>
        </r>
        <r>
          <rPr>
            <sz val="8"/>
            <color indexed="81"/>
            <rFont val="Tahoma"/>
            <family val="2"/>
          </rPr>
          <t xml:space="preserve">
</t>
        </r>
      </text>
    </comment>
    <comment ref="C98" authorId="0" shapeId="0" xr:uid="{00000000-0006-0000-0400-000002000000}">
      <text>
        <r>
          <rPr>
            <b/>
            <sz val="14"/>
            <color indexed="81"/>
            <rFont val="Tahoma"/>
            <family val="2"/>
          </rPr>
          <t>Note:</t>
        </r>
        <r>
          <rPr>
            <sz val="14"/>
            <color indexed="81"/>
            <rFont val="Tahoma"/>
            <family val="2"/>
          </rPr>
          <t xml:space="preserve">
Adjustments include (if applicable): reduction of cost basis by 50% of ITC (or ITC Cash Grant), reduction of cost basis for other non-taxable grants, and allocation of Bonus Depreciation. </t>
        </r>
      </text>
    </comment>
    <comment ref="E98" authorId="0" shapeId="0" xr:uid="{00000000-0006-0000-0400-000003000000}">
      <text>
        <r>
          <rPr>
            <b/>
            <sz val="14"/>
            <color indexed="81"/>
            <rFont val="Tahoma"/>
            <family val="2"/>
          </rPr>
          <t xml:space="preserve">Note:
</t>
        </r>
        <r>
          <rPr>
            <sz val="14"/>
            <color indexed="81"/>
            <rFont val="Tahoma"/>
            <family val="2"/>
          </rPr>
          <t xml:space="preserve">Adjustments include (if applicable): reduction of cost basis by 50% of ITC (or ITC Cash Grant), reduction of cost basis for other non-taxable grants, and allocation of Bonus Depreciation. </t>
        </r>
      </text>
    </comment>
    <comment ref="G173" authorId="0" shapeId="0" xr:uid="{00000000-0006-0000-0400-000004000000}">
      <text>
        <r>
          <rPr>
            <b/>
            <sz val="12"/>
            <color indexed="81"/>
            <rFont val="Tahoma"/>
            <family val="2"/>
          </rPr>
          <t>Note:</t>
        </r>
        <r>
          <rPr>
            <sz val="12"/>
            <color indexed="81"/>
            <rFont val="Tahoma"/>
            <family val="2"/>
          </rPr>
          <t xml:space="preserve">
ITC earned in first quarter of operation assumed eligible to offset tax on state income taxes saved in first operating year, when applicable. Remainder of ITC carried forward.
</t>
        </r>
      </text>
    </comment>
    <comment ref="B197" authorId="0" shapeId="0" xr:uid="{00000000-0006-0000-0400-000005000000}">
      <text>
        <r>
          <rPr>
            <sz val="14"/>
            <color indexed="81"/>
            <rFont val="Tahoma"/>
            <family val="2"/>
          </rPr>
          <t>If decommissioning paid for through operations (e.g. a decommissioning reserve account) then the "Ending Balance" in the project's final operating year should equal the total decommission reserve requirement specified on the inputs tab; if decommissioning is paid for from the salvage value of the equipment, then the "Ending Balance" in the project's final operating year should be zero.</t>
        </r>
      </text>
    </comment>
  </commentList>
</comments>
</file>

<file path=xl/sharedStrings.xml><?xml version="1.0" encoding="utf-8"?>
<sst xmlns="http://schemas.openxmlformats.org/spreadsheetml/2006/main" count="1023" uniqueCount="518">
  <si>
    <t>$</t>
  </si>
  <si>
    <t>%</t>
  </si>
  <si>
    <t>kWh</t>
  </si>
  <si>
    <t>Production</t>
  </si>
  <si>
    <t>years</t>
  </si>
  <si>
    <t>Construction Period</t>
  </si>
  <si>
    <t>Federal Income Tax Rate</t>
  </si>
  <si>
    <t>State Income Tax Rate</t>
  </si>
  <si>
    <t>?</t>
  </si>
  <si>
    <t>Select Cost Level of Detail</t>
  </si>
  <si>
    <t>Operations &amp; Maintenance</t>
  </si>
  <si>
    <t>$/yr</t>
  </si>
  <si>
    <t>Operating Expenses</t>
  </si>
  <si>
    <t>Yes</t>
  </si>
  <si>
    <t>Photovoltaic</t>
  </si>
  <si>
    <t>Technology Options</t>
  </si>
  <si>
    <t>Selected Technology</t>
  </si>
  <si>
    <t>Project Size and Performance</t>
  </si>
  <si>
    <t>Is owner a taxable entity?</t>
  </si>
  <si>
    <t>ITC utilization factor, if applicable</t>
  </si>
  <si>
    <t>Notes</t>
  </si>
  <si>
    <t>Check</t>
  </si>
  <si>
    <t>5-year MACRS</t>
  </si>
  <si>
    <t>15-year MACRS</t>
  </si>
  <si>
    <t>15-year SL</t>
  </si>
  <si>
    <t>20-year SL</t>
  </si>
  <si>
    <t>Non-Depreciable</t>
  </si>
  <si>
    <t>Federal Incentives</t>
  </si>
  <si>
    <t>Utilization Factor, if applicable</t>
  </si>
  <si>
    <t>Cost Category</t>
  </si>
  <si>
    <t>year</t>
  </si>
  <si>
    <t>Generator Nameplate Capacity</t>
  </si>
  <si>
    <t>$/Watt</t>
  </si>
  <si>
    <t>Effective Income Tax Rate</t>
  </si>
  <si>
    <t>State ITC realization period</t>
  </si>
  <si>
    <t>yrs</t>
  </si>
  <si>
    <t>PBI Duration</t>
  </si>
  <si>
    <t>Permanent Financing</t>
  </si>
  <si>
    <t>Interest Rate (Annual)</t>
  </si>
  <si>
    <t>months</t>
  </si>
  <si>
    <t>Interest During Construction</t>
  </si>
  <si>
    <t>Initial Funding of Reserve Accounts</t>
  </si>
  <si>
    <t>Debt Service Reserve</t>
  </si>
  <si>
    <t># of months of O&amp;M Expense</t>
  </si>
  <si>
    <t>Initial O&amp;M and WC Reserve</t>
  </si>
  <si>
    <t>Initial Debt Service Reserve</t>
  </si>
  <si>
    <t># of months of Debt Service</t>
  </si>
  <si>
    <t>Decommissioning Reserve</t>
  </si>
  <si>
    <t>Reserves Funded from Operations</t>
  </si>
  <si>
    <t>Fund from Operations or Salvage Value?</t>
  </si>
  <si>
    <t>Reserve Requirement</t>
  </si>
  <si>
    <t>Lender's Fee (% of total borrowing)</t>
  </si>
  <si>
    <t>Other Equity &amp; Debt Closing Costs</t>
  </si>
  <si>
    <t>Inputs Summary</t>
  </si>
  <si>
    <t>Outputs Summary</t>
  </si>
  <si>
    <t>Years</t>
  </si>
  <si>
    <t>¢/kWh</t>
  </si>
  <si>
    <t>Annual Project Cash Flows, Returns &amp; Other Metrics</t>
  </si>
  <si>
    <t>Revenue</t>
  </si>
  <si>
    <t>Year</t>
  </si>
  <si>
    <t>Cumulative Cash Flow</t>
  </si>
  <si>
    <t>After Tax IRR</t>
  </si>
  <si>
    <t>Debt Service</t>
  </si>
  <si>
    <t>Coverage</t>
  </si>
  <si>
    <t>Current Model Run</t>
  </si>
  <si>
    <t>units</t>
  </si>
  <si>
    <t>O&amp;M Reserve/Working Capital</t>
  </si>
  <si>
    <t>1st Equipment Replacement</t>
  </si>
  <si>
    <t xml:space="preserve">2nd Equipment Replacement </t>
  </si>
  <si>
    <t>Insurance, Yr 1 (% of Total Cost)</t>
  </si>
  <si>
    <t>COD</t>
  </si>
  <si>
    <t>Production Degradation Factor</t>
  </si>
  <si>
    <t>Project Expenses</t>
  </si>
  <si>
    <t>Project Administration</t>
  </si>
  <si>
    <t>Insurance</t>
  </si>
  <si>
    <t>Spare Parts</t>
  </si>
  <si>
    <t>Operating Income After Interest Expense</t>
  </si>
  <si>
    <t>Pre-Tax Cash Flow to Equity</t>
  </si>
  <si>
    <t>Project Cash Flows</t>
  </si>
  <si>
    <t>Running IRR (Cash Only)</t>
  </si>
  <si>
    <t>Supporting Calculations</t>
  </si>
  <si>
    <t>5 Year MACRS</t>
  </si>
  <si>
    <t>15 Year MACRS</t>
  </si>
  <si>
    <t>20 Year MACRS</t>
  </si>
  <si>
    <t>20 Year SL</t>
  </si>
  <si>
    <t>39 Year SL</t>
  </si>
  <si>
    <t>Total Project Cost, adj for ITC/Grant if applicable</t>
  </si>
  <si>
    <t xml:space="preserve">Total  </t>
  </si>
  <si>
    <t xml:space="preserve">Debt Service:            </t>
  </si>
  <si>
    <t>Size of Debt</t>
  </si>
  <si>
    <t>Debt Sizing (Defined Capital Structure Method)</t>
  </si>
  <si>
    <t>Installed Cost (excluding cost of financing)</t>
  </si>
  <si>
    <t>Defined Debt-to-Total-Capital</t>
  </si>
  <si>
    <t>Beginning Balance</t>
  </si>
  <si>
    <t>Drawdowns</t>
  </si>
  <si>
    <t>Ending Balance</t>
  </si>
  <si>
    <t>Interest</t>
  </si>
  <si>
    <t>Principal</t>
  </si>
  <si>
    <t>Structured Debt Service Payment</t>
  </si>
  <si>
    <t>Depreciation Allocation</t>
  </si>
  <si>
    <t>% Eligible for ITC</t>
  </si>
  <si>
    <t>placeholder</t>
  </si>
  <si>
    <t>Click Here to Return to Inputs Worksheet</t>
  </si>
  <si>
    <t>Substation</t>
  </si>
  <si>
    <t>Reserves &amp; Financing Costs</t>
  </si>
  <si>
    <t>Variable O&amp;M Expense, Yr 1</t>
  </si>
  <si>
    <t xml:space="preserve">¢/kWh </t>
  </si>
  <si>
    <t>see table ==&gt;</t>
  </si>
  <si>
    <t>Tariff Rate &amp; Cash Incentives</t>
  </si>
  <si>
    <t>Percentage of Tariff Escalated</t>
  </si>
  <si>
    <t>Tariff Rate Escalator, if applicable</t>
  </si>
  <si>
    <t>Revenue from Tariff</t>
  </si>
  <si>
    <t>Federal Cash Incentive Rate</t>
  </si>
  <si>
    <t xml:space="preserve">Federal Cash Incentive  </t>
  </si>
  <si>
    <t>State Cash Incentive Rate</t>
  </si>
  <si>
    <t xml:space="preserve">State Cash Incentive  </t>
  </si>
  <si>
    <t>Operating Expense Inflation Factor</t>
  </si>
  <si>
    <t>Fixed O&amp;M Expense</t>
  </si>
  <si>
    <t>Variable O&amp;M Expense</t>
  </si>
  <si>
    <t>Property Tax or Payment in Lieu of Taxes (PILOT)</t>
  </si>
  <si>
    <t>Royalties</t>
  </si>
  <si>
    <t>Royalties (% of revenue)</t>
  </si>
  <si>
    <t>Project Revenue, All Sources</t>
  </si>
  <si>
    <t xml:space="preserve">Total Operating Expenses </t>
  </si>
  <si>
    <t>EBITDA (Operating Income)</t>
  </si>
  <si>
    <t>Principal Repayments</t>
  </si>
  <si>
    <t>Loan Amortization</t>
  </si>
  <si>
    <t xml:space="preserve">Loan Repayment </t>
  </si>
  <si>
    <t>Repayment of Loan Principal</t>
  </si>
  <si>
    <t>Loan Interest Expense</t>
  </si>
  <si>
    <t>Net Pre-Tax Cash Flow to Equity</t>
  </si>
  <si>
    <t>Project/Contract Year</t>
  </si>
  <si>
    <t>Depreciation Schedules, Half-Year Convention</t>
  </si>
  <si>
    <t>7 Year MACRS</t>
  </si>
  <si>
    <t>5 Year SL</t>
  </si>
  <si>
    <t>15 Year SL</t>
  </si>
  <si>
    <t>7-year MACRS</t>
  </si>
  <si>
    <t>20-year MACRS</t>
  </si>
  <si>
    <t>5-year SL</t>
  </si>
  <si>
    <t>39-year SL</t>
  </si>
  <si>
    <t>Allocation</t>
  </si>
  <si>
    <t xml:space="preserve">ITC or Cash Grant  </t>
  </si>
  <si>
    <t>check</t>
  </si>
  <si>
    <t>Total Installed Cost</t>
  </si>
  <si>
    <t>PBI Rate</t>
  </si>
  <si>
    <t>Federal Income Taxes Saved / (Paid), before ITC/PTC</t>
  </si>
  <si>
    <t>Running IRR (After Tax)</t>
  </si>
  <si>
    <t>After-Tax Cash Flow to Equity</t>
  </si>
  <si>
    <t>Cash Benefit of State ITC and/or PTC</t>
  </si>
  <si>
    <t>PBI Escalation Rate</t>
  </si>
  <si>
    <t>Federal PBI Escalator, if applicable</t>
  </si>
  <si>
    <t>State PBI Escalator, if applicable</t>
  </si>
  <si>
    <t>Reserve Accounts:</t>
  </si>
  <si>
    <t>Interest on All Reserves</t>
  </si>
  <si>
    <t>Annual Debt Service Coverage Ratio</t>
  </si>
  <si>
    <t>Depreciation:</t>
  </si>
  <si>
    <t>Annual Depreciation Expense, Initial Installation</t>
  </si>
  <si>
    <t>Annual Depreciation Expense, Repairs &amp; Replacements</t>
  </si>
  <si>
    <t>1st Replacement</t>
  </si>
  <si>
    <t>2nd Replacement</t>
  </si>
  <si>
    <t>Depreciation Timing</t>
  </si>
  <si>
    <t>Depreciation Expense</t>
  </si>
  <si>
    <t>Tax</t>
  </si>
  <si>
    <t>Solar Thermal Electric</t>
  </si>
  <si>
    <t>After Tax Cash Flow</t>
  </si>
  <si>
    <t>Reserves</t>
  </si>
  <si>
    <t>PBI Utilization Factor, if applicable</t>
  </si>
  <si>
    <t>Capital Costs</t>
  </si>
  <si>
    <t>Generation Equipment</t>
  </si>
  <si>
    <t>Depreciation Classification</t>
  </si>
  <si>
    <t>Balance of Plant</t>
  </si>
  <si>
    <t>Interconnection</t>
  </si>
  <si>
    <t>Development Costs &amp; Fee</t>
  </si>
  <si>
    <t>Sample inputs provided on this tab are illustrative only, all inputs must be provided and validated by the user.</t>
  </si>
  <si>
    <t>Total Generation Equipment Cost</t>
  </si>
  <si>
    <t>Total Project Costs</t>
  </si>
  <si>
    <t>Total Balance of Plant Cost</t>
  </si>
  <si>
    <t>Total Interconnection Cost</t>
  </si>
  <si>
    <t>$ Eligible for ITC</t>
  </si>
  <si>
    <t>Lender Fee</t>
  </si>
  <si>
    <t>Initial Funding of Debt Service &amp; Working Capital/O&amp;M Reserves</t>
  </si>
  <si>
    <t>Total Development Costs &amp; Fees</t>
  </si>
  <si>
    <t>Solar Panels</t>
  </si>
  <si>
    <t>Installation Labor</t>
  </si>
  <si>
    <t>Inverters</t>
  </si>
  <si>
    <t>Maintenance Building</t>
  </si>
  <si>
    <t>Access Roads</t>
  </si>
  <si>
    <t>Site Selection &amp; Evaluation</t>
  </si>
  <si>
    <t>Permitting</t>
  </si>
  <si>
    <t>Engineering/Design</t>
  </si>
  <si>
    <t>Site Acquisition Cost</t>
  </si>
  <si>
    <t>Other Development Costs</t>
  </si>
  <si>
    <t>Resource Analysis</t>
  </si>
  <si>
    <t>Transportation/Delivery</t>
  </si>
  <si>
    <t>Mounting Hardware</t>
  </si>
  <si>
    <t>Site Survey &amp; Preparation</t>
  </si>
  <si>
    <t>Commissioning</t>
  </si>
  <si>
    <t>Metering</t>
  </si>
  <si>
    <t>Transformer</t>
  </si>
  <si>
    <t>Utility System Improvements</t>
  </si>
  <si>
    <t>Other Closing Costs</t>
  </si>
  <si>
    <t>Other Grants or Rebates</t>
  </si>
  <si>
    <t>State Income Taxes Saved / (Paid), before ITC/PTC</t>
  </si>
  <si>
    <t>Title:</t>
  </si>
  <si>
    <t>Introduction:</t>
  </si>
  <si>
    <t>Yr 1 COE</t>
  </si>
  <si>
    <t>Interest Earned on Reserve Accounts</t>
  </si>
  <si>
    <t>O&amp;M/Working Capital Reserve</t>
  </si>
  <si>
    <t>Interest on Reserves</t>
  </si>
  <si>
    <t>Annual Contributions to/(Liquidations of) Reserves</t>
  </si>
  <si>
    <t>(Contributions to), and Liquidation of, Reserve Accounts</t>
  </si>
  <si>
    <t>Adjustment(s) for Major Equipment Replacement(s)</t>
  </si>
  <si>
    <t>Major Equipment Replacement Reserves</t>
  </si>
  <si>
    <t>Annual Depreciation Benefit</t>
  </si>
  <si>
    <t>Model Architecture:</t>
  </si>
  <si>
    <t>Black Text is strictly reserved for cells that are calculated automatically . These cells should not be modified.</t>
  </si>
  <si>
    <t>Pass/Fail</t>
  </si>
  <si>
    <t>Min DSCR</t>
  </si>
  <si>
    <t>Taxable Entity? (turns on/off ITC and depreciation input cells)</t>
  </si>
  <si>
    <t>Construction Financing</t>
  </si>
  <si>
    <t>Federal PTC (as generated)</t>
  </si>
  <si>
    <t>State PTC (as generated)</t>
  </si>
  <si>
    <t>Version:</t>
  </si>
  <si>
    <t>Entering Inputs:  Model Conventions</t>
  </si>
  <si>
    <t>In the "Check" column, green cells are used to indicate that the user has entered an acceptable value in a required field.</t>
  </si>
  <si>
    <t>Annual Escalation of Year-One COE</t>
  </si>
  <si>
    <t>Annual Production Degradation</t>
  </si>
  <si>
    <t>% of Year-One Tariff Rate Escalated</t>
  </si>
  <si>
    <t>Project Management Yr 1</t>
  </si>
  <si>
    <t xml:space="preserve">ITC Amount </t>
  </si>
  <si>
    <t>Paste Results of Multiple Model Runs Below</t>
  </si>
  <si>
    <t>[Insert Scenario Name]</t>
  </si>
  <si>
    <t>Results of multiple scenarios may be compared here by using the "copy" and "paste special - values" feature to transfer values from column D to columns F through O</t>
  </si>
  <si>
    <t>Balance of Facility / Electrical Collection System</t>
  </si>
  <si>
    <t>Interest Rate on Term Debt</t>
  </si>
  <si>
    <t>Initial Period ends last day of:</t>
  </si>
  <si>
    <t>O&amp;M Cost Inflation, thereafter</t>
  </si>
  <si>
    <t>O&amp;M Cost Inflation, initial period</t>
  </si>
  <si>
    <t>Fixed O&amp;M Expense, Yr 1</t>
  </si>
  <si>
    <t>Project Useful Life</t>
  </si>
  <si>
    <t>Value of energy, capacity &amp; RECs, Yr 1</t>
  </si>
  <si>
    <t>Market Value Escalation Rate</t>
  </si>
  <si>
    <t>Year-by-Year Inputs for Market Value of Production, if applicable</t>
  </si>
  <si>
    <t>Complex Inputs for Deriving Total Project Capital Cost, if applicable</t>
  </si>
  <si>
    <t>* Includes energy, capacity &amp; RECs</t>
  </si>
  <si>
    <t>Market Revenue</t>
  </si>
  <si>
    <t>Post-Tariff Market Value of Production</t>
  </si>
  <si>
    <t>Required Minimum Annual DSCR</t>
  </si>
  <si>
    <t>Actual Minimum DSCR, occurs in →</t>
  </si>
  <si>
    <t xml:space="preserve">ITC or Cash Grant Amount </t>
  </si>
  <si>
    <t>Tariff or Market Value</t>
  </si>
  <si>
    <t>Project</t>
  </si>
  <si>
    <t>Summary Results</t>
  </si>
  <si>
    <t>Taxable Income / (Operating Loss)</t>
  </si>
  <si>
    <t>Operating Loss Carry-Forward, if applicable:</t>
  </si>
  <si>
    <t>Utilization of Operating Loss Carry-Forward</t>
  </si>
  <si>
    <t>Operating Loss Carry-Forward, Beginning Balance</t>
  </si>
  <si>
    <t>Additional Operating Loss Carried-Forward</t>
  </si>
  <si>
    <t>Operating Loss Carry-Forward, Ending Balance</t>
  </si>
  <si>
    <t>Taxable Income with Operating Loss Carry-Forward</t>
  </si>
  <si>
    <t>Annual Depreciation Expense</t>
  </si>
  <si>
    <t>Federal Tax Credit Benefits, if applicable:</t>
  </si>
  <si>
    <t>Federal ITC (as generated)</t>
  </si>
  <si>
    <t>State ITC (as generated)</t>
  </si>
  <si>
    <t>Applicable Tax Credits, as generated</t>
  </si>
  <si>
    <t>Carry-Forward Scenario:</t>
  </si>
  <si>
    <t>State Tax Credit Benefits, if applicable:</t>
  </si>
  <si>
    <t>Performance, Cost, Operating, Tax &amp; Financing Inputs</t>
  </si>
  <si>
    <t>Federal Grants Treated as Taxable Income?</t>
  </si>
  <si>
    <t>Annual Property Tax Adjustment Factor</t>
  </si>
  <si>
    <t>Property Tax or PILOT, Yr 1</t>
  </si>
  <si>
    <t>% Debt (% of hard costs) (mortgage-style amort.)</t>
  </si>
  <si>
    <t>Senior Debt (funds portion of hard costs)</t>
  </si>
  <si>
    <t>Equity (funds balance of hard costs + all soft costs)</t>
  </si>
  <si>
    <t>Summary of Sources of Funding for Total Installed Cost</t>
  </si>
  <si>
    <t>Actual Average DSCR</t>
  </si>
  <si>
    <t>Required Average DSCR</t>
  </si>
  <si>
    <t>Select Market Value Forecast Methodology</t>
  </si>
  <si>
    <t>Project Year</t>
  </si>
  <si>
    <t>1st Replacement Cost  ($ in year replaced)</t>
  </si>
  <si>
    <t>2nd Replacement Cost ($ in year replaced)</t>
  </si>
  <si>
    <t>Bundled* Market Value of Production (¢/kWh)</t>
  </si>
  <si>
    <t>Avg. DSCR</t>
  </si>
  <si>
    <t>Tariff Rate (Fixed Portion)</t>
  </si>
  <si>
    <t>Tariff Rate (Total)</t>
  </si>
  <si>
    <t>Tariff Rate (Escalating Portion)</t>
  </si>
  <si>
    <t>Equity Investment</t>
  </si>
  <si>
    <t>Pre-Tax Cash Flow</t>
  </si>
  <si>
    <t>Expenses + Cash Obligations</t>
  </si>
  <si>
    <t>Graph Data</t>
  </si>
  <si>
    <t>Operating the Model:</t>
  </si>
  <si>
    <t>Understanding the Results:</t>
  </si>
  <si>
    <t>Cash Benefit of Federal ITC, Cash Grant, or PTC</t>
  </si>
  <si>
    <t>Net Capacity Factor, Yr 1</t>
  </si>
  <si>
    <t>Target After-Tax Equity IRR</t>
  </si>
  <si>
    <t>COE Data Tables</t>
  </si>
  <si>
    <t>NPV</t>
  </si>
  <si>
    <t>(cents/kWh)</t>
  </si>
  <si>
    <t>Range Min</t>
  </si>
  <si>
    <t>Range Max</t>
  </si>
  <si>
    <t>Calculation of COE when tax benefits are "Carried Forward"</t>
  </si>
  <si>
    <t>Production, Yr 1</t>
  </si>
  <si>
    <t>Capital Expenditures During Operations: Inverter Replacement</t>
  </si>
  <si>
    <t>Tax Benefit Carry-Forward, Beginning Balance</t>
  </si>
  <si>
    <t>Additional Tax Benefit Carry-Forward</t>
  </si>
  <si>
    <t>Utilization of Tax Benefit Carry-Forward</t>
  </si>
  <si>
    <t>Tax Benefit Carry-Forward, Ending Balance</t>
  </si>
  <si>
    <r>
      <t xml:space="preserve">Taxable Income </t>
    </r>
    <r>
      <rPr>
        <sz val="12"/>
        <rFont val="Arial"/>
        <family val="2"/>
      </rPr>
      <t>(operating loss used as generated)</t>
    </r>
  </si>
  <si>
    <t>Federal Tax Benefits used as generated or carried forward?</t>
  </si>
  <si>
    <t>State Tax Benefits used as generated or carried forward?</t>
  </si>
  <si>
    <t>Federal Carry-Forward</t>
  </si>
  <si>
    <t>State Carry-Forward</t>
  </si>
  <si>
    <t>Minimum DSSCR Year</t>
  </si>
  <si>
    <t>Units</t>
  </si>
  <si>
    <t>Unit Definitions</t>
  </si>
  <si>
    <t>Pass/Fail – denotes whether the two debt service coverage ratio tests have passed or failed.</t>
  </si>
  <si>
    <t>(kW) kilowatt – a standard measure of electrical capacity, equal to 1000 Watts.</t>
  </si>
  <si>
    <t>(kWh) kilowatt hour – a standard measure of electrical output. A 1 kW generator operating at rated capacity for one hour will produce 1 kWh of electricity.</t>
  </si>
  <si>
    <t>(DC) direct current – the unidirectional flow of electric charge</t>
  </si>
  <si>
    <t>(AC) alternating current – the multidirectional flow of electric charge</t>
  </si>
  <si>
    <t>(¢/kWh) –cents per kilowatt hour</t>
  </si>
  <si>
    <t>(%) – an input with units expressed as a percentage</t>
  </si>
  <si>
    <t>(years or year) – an input applicable to a specified duration or project year</t>
  </si>
  <si>
    <t>($/yr) – inputs measured in dollars and applied annually</t>
  </si>
  <si>
    <t>(months) –designates the number of months to which an input applies</t>
  </si>
  <si>
    <r>
      <t xml:space="preserve">Does modeled project meet </t>
    </r>
    <r>
      <rPr>
        <b/>
        <i/>
        <sz val="11"/>
        <color theme="1"/>
        <rFont val="Arial"/>
        <family val="2"/>
      </rPr>
      <t>minimum</t>
    </r>
    <r>
      <rPr>
        <b/>
        <sz val="11"/>
        <color theme="1"/>
        <rFont val="Arial"/>
        <family val="2"/>
      </rPr>
      <t xml:space="preserve"> DSCR requirements?</t>
    </r>
  </si>
  <si>
    <r>
      <t xml:space="preserve">Does modeled project meet </t>
    </r>
    <r>
      <rPr>
        <b/>
        <i/>
        <sz val="11"/>
        <color theme="1"/>
        <rFont val="Arial"/>
        <family val="2"/>
      </rPr>
      <t>average</t>
    </r>
    <r>
      <rPr>
        <b/>
        <sz val="11"/>
        <color theme="1"/>
        <rFont val="Arial"/>
        <family val="2"/>
      </rPr>
      <t xml:space="preserve"> DSCR requirements?</t>
    </r>
  </si>
  <si>
    <t>Notes: User-Defined</t>
  </si>
  <si>
    <t>Tax Credit</t>
  </si>
  <si>
    <t>Investment Tax Credit (ITC) or Cash Grant?</t>
  </si>
  <si>
    <t>Type of Federal Incentive Assumed</t>
  </si>
  <si>
    <t>Is PBI Tax-Based (PTC) or Cash-Based (REPI)?</t>
  </si>
  <si>
    <t>Is Performance-Based Incentive Tax Credit or Cash Pmt?</t>
  </si>
  <si>
    <t>Click Here for Complex Input Worksheet</t>
  </si>
  <si>
    <t>($/kW-yr) – an annual expense (or revenue) based on generator capacity</t>
  </si>
  <si>
    <t>($) – All CREST model values are in nominal dollars</t>
  </si>
  <si>
    <t>Weighted Average Cost of Capital (WACC)</t>
  </si>
  <si>
    <t>Click Here for Complex Input Worksheets</t>
  </si>
  <si>
    <t>Year One</t>
  </si>
  <si>
    <r>
      <t>Total Value of Grants</t>
    </r>
    <r>
      <rPr>
        <sz val="10"/>
        <rFont val="Arial"/>
        <family val="2"/>
      </rPr>
      <t xml:space="preserve"> (excl. pmt in lieu of ITC, if applicable)</t>
    </r>
  </si>
  <si>
    <t>Did you confirm that all minimum required inputs have green check cells?</t>
  </si>
  <si>
    <t>Insurance, Yr 1 ($) (Provided for reference)</t>
  </si>
  <si>
    <t>Royalties, Yr 1 ($) (Provided for reference)</t>
  </si>
  <si>
    <r>
      <rPr>
        <b/>
        <sz val="12"/>
        <color theme="4"/>
        <rFont val="Calibri"/>
        <family val="2"/>
        <scheme val="minor"/>
      </rPr>
      <t>Blue Bold Text</t>
    </r>
    <r>
      <rPr>
        <sz val="12"/>
        <color theme="1"/>
        <rFont val="Calibri"/>
        <family val="2"/>
        <scheme val="minor"/>
      </rPr>
      <t xml:space="preserve"> denotes user-defined inputs.  The user is responsible for modifying these cells to be consistent with the project being evaluated.</t>
    </r>
  </si>
  <si>
    <t>Conversely, red cells appearing in the "Check" column indicate that a required cell is blank or contains an invalid argument which requires the user's attention.</t>
  </si>
  <si>
    <t>Yellow boxes are used to highlight input choices the model user must make via a dropdown menu.</t>
  </si>
  <si>
    <t>The "Notes" column, populated with boxes showing a "?", contains a combination of definitions, explanations and ranges of typical values for most inputs.  To read a note, the users need only move the cursor onto the applicable cell.  The user is strongly encouraged to review all of these comments in order to understand key features of the CREST model.</t>
  </si>
  <si>
    <t>The output of this model is the all-in payment required to cover all expenses and meet the project investors' after-tax return requirements over the specified number of years. This payment can be used to inform the feed-in tariff rate-setting process.  The payment can either be expressed as a  ‘Year One’ value of which all, or a designated portion, escalates each year during the tariff's duration at a defined rate, or as a "nominal levelized" value (where zero annual escalation is assumed).  The model output is always expressed in cents/kWh.  It is important to note that this calculated tariff rate is net of other assumed incentives, such as federal tax credits and state grants.</t>
  </si>
  <si>
    <t>Press F9 each time inputs are changed to ensure completion of the COE calculation.  
When "#N/A" appears,  press "F9" in the upper row on your keyboard to complete the calculation.  It may be necessary to press F9 more than once. See note for details.</t>
  </si>
  <si>
    <t>Minimum DSCR Check Cell (If "Fail," read note ==&gt;)</t>
  </si>
  <si>
    <t>Average DSCR Check Cell (If "Fail," read note ==&gt;)</t>
  </si>
  <si>
    <t>Input Value</t>
  </si>
  <si>
    <t>Input Values</t>
  </si>
  <si>
    <r>
      <t xml:space="preserve">% Equity (% hard costs) </t>
    </r>
    <r>
      <rPr>
        <sz val="11"/>
        <rFont val="Arial"/>
        <family val="2"/>
      </rPr>
      <t>(soft costs also equity funded)</t>
    </r>
  </si>
  <si>
    <t>Cost of Renewable Energy Spreadsheet Tool (CREST)</t>
  </si>
  <si>
    <t>Land Lease</t>
  </si>
  <si>
    <t>Bonus Depreciation</t>
  </si>
  <si>
    <t>% of Bonus Depreciation applied in Year 1</t>
  </si>
  <si>
    <t>Project Cost Allocation</t>
  </si>
  <si>
    <t>Before</t>
  </si>
  <si>
    <t xml:space="preserve">After </t>
  </si>
  <si>
    <t>Adjustments</t>
  </si>
  <si>
    <t>Adjusted</t>
  </si>
  <si>
    <t>Unadjusted</t>
  </si>
  <si>
    <t>Project Cost Basis</t>
  </si>
  <si>
    <t xml:space="preserve">% </t>
  </si>
  <si>
    <t>Adjustments for ITC, ITC Grant and non-taxable grants</t>
  </si>
  <si>
    <t>Allocation of Costs</t>
  </si>
  <si>
    <t>operating loss treatment ==&gt;&gt;</t>
  </si>
  <si>
    <t>Taxable Income (Federal)</t>
  </si>
  <si>
    <t>Taxable Income (State)</t>
  </si>
  <si>
    <t>User Manual:</t>
  </si>
  <si>
    <t>Examples:</t>
  </si>
  <si>
    <t>Input Format</t>
  </si>
  <si>
    <t>Calculated Value Format</t>
  </si>
  <si>
    <t>Drop-Down Menu</t>
  </si>
  <si>
    <r>
      <t xml:space="preserve">Once a user has finished entering the characteristics of the project under review on the "Inputs" tab, the model will automatically calculate both the "Year One" and equivalent "Levelized Cost of Energy" -- as defined and discussed in the User Manual.  MS Excel's "Calculation Options" </t>
    </r>
    <r>
      <rPr>
        <b/>
        <sz val="12"/>
        <color theme="1"/>
        <rFont val="Calibri"/>
        <family val="2"/>
        <scheme val="minor"/>
      </rPr>
      <t>MUST</t>
    </r>
    <r>
      <rPr>
        <sz val="12"/>
        <color theme="1"/>
        <rFont val="Calibri"/>
        <family val="2"/>
        <scheme val="minor"/>
      </rPr>
      <t xml:space="preserve"> be set to "</t>
    </r>
    <r>
      <rPr>
        <u/>
        <sz val="12"/>
        <color theme="1"/>
        <rFont val="Calibri"/>
        <family val="2"/>
        <scheme val="minor"/>
      </rPr>
      <t>Automatic</t>
    </r>
    <r>
      <rPr>
        <sz val="12"/>
        <color theme="1"/>
        <rFont val="Calibri"/>
        <family val="2"/>
        <scheme val="minor"/>
      </rPr>
      <t xml:space="preserve">" in order for these results to be generated automatically.  If "Calculation Options" are not set to "Automatic," then the user will need to press "F9" </t>
    </r>
    <r>
      <rPr>
        <u/>
        <sz val="12"/>
        <color theme="1"/>
        <rFont val="Calibri"/>
        <family val="2"/>
        <scheme val="minor"/>
      </rPr>
      <t>after any input is changed</t>
    </r>
    <r>
      <rPr>
        <sz val="12"/>
        <color theme="1"/>
        <rFont val="Calibri"/>
        <family val="2"/>
        <scheme val="minor"/>
      </rPr>
      <t>, in order to calculate accurate results. Even when the Calculations Options are set to Automatic, there are circumstances in which F9 will need to be pressed one or more times in order to complete the calculation.  This is described in more detail in the note towards the top of the Summary Results worksheet. 
Results appear on the "Summary Results" worksheet.  In an effort to allow the user to perform a side-by-side review of multiple cases, the "Summary Results" tab has columns for multiple results. The user is encouraged to copy and paste results from column D into columns F-O as multiple scenarios are run.  This is accomplished by using the "copy" and then "paste special -- values" features in Excel.</t>
    </r>
  </si>
  <si>
    <t>PBI Utilization or Availability Factor, if applicable</t>
  </si>
  <si>
    <t>Federal Taxable Income</t>
  </si>
  <si>
    <t>State Taxable Income</t>
  </si>
  <si>
    <t>Federal Tax 
Benefit/ (Liability)</t>
  </si>
  <si>
    <t>State Tax 
Benefit/ (Liability)</t>
  </si>
  <si>
    <t>Revenue + Tax Benefit/(Liability)</t>
  </si>
  <si>
    <t>Pre-Tax (Cash-only) Equity IRR (over defined Useful Life)</t>
  </si>
  <si>
    <t>After Tax Equity IRR (over defined Useful Life)</t>
  </si>
  <si>
    <t>The CREST model consists of six worksheets: (1) Introduction: An overview of the CREST model, (2) Inputs: The interface for nearly all user-defined assumptions, (3) Summary Results: A framework for storing the output (results) and associated key inputs of multiple model runs, (4) Annual Cash Flows &amp; Returns: Provides a summary of the modeled project's annual cash flows, (5) Cash Flow: The formula calculations, or "guts", of the model; derives all project cash and tax benefits, and (6) Complex Inputs: This worksheet is only used if the user elects to include a detailed breakdown of project costs; this choice is selected by the user on the Inputs tab. Users should expect to work primarily with the "Inputs" and the "Summary Results" worksheets, although the other tabs and summaries are also expected to be useful during the policy-making process.</t>
  </si>
  <si>
    <t>Summary of Reference Links From Inputs Worksheet</t>
  </si>
  <si>
    <t>Several of the input-specific "Notes" on the Inputs worksheet contain hyperlinks.  Since these hyperlinks are not operable when placed within the MS Excel notes feature, they are duplicated here for the user's convenience.</t>
  </si>
  <si>
    <t>PV Watts</t>
  </si>
  <si>
    <t xml:space="preserve">http://www.pvwatts.org/ </t>
  </si>
  <si>
    <t>http://dsireusa.org/</t>
  </si>
  <si>
    <t>http://dsireusa.org/incentives/incentive.cfm?Incentive_Code=US02F&amp;re=1&amp;ee=1</t>
  </si>
  <si>
    <t>http://dsireusa.org/incentives/index.cfm?state=us&amp;re=1&amp;EE=1</t>
  </si>
  <si>
    <t>http://www.nrel.gov/docs/fy02osti/31455.pdf</t>
  </si>
  <si>
    <t>DSIRE</t>
  </si>
  <si>
    <t>DSIRE: Tax/Grants</t>
  </si>
  <si>
    <t>DSIRE: Other Fed Incentives</t>
  </si>
  <si>
    <t>NREL Degradation Study</t>
  </si>
  <si>
    <t>Total State ITC, over realization period</t>
  </si>
  <si>
    <t>Cost-Based Tariff Rate Structure</t>
  </si>
  <si>
    <t>Cost-Based Tariff Escalation Rate</t>
  </si>
  <si>
    <t xml:space="preserve">http://financere.nrel.gov/finance/content/crest-model </t>
  </si>
  <si>
    <t>The remainder of this Introduction worksheet provides an abridged version of the User Manual.</t>
  </si>
  <si>
    <r>
      <t xml:space="preserve">The CREST model comes with a User Manual which describes its design, features, inputs and outputs.  The manual is intended to provide an easy to follow road map to users who might not typically work with financial analyses,  to ensure successful utilization of this Cost of Energy tool.  The User Manual gives a "guided tour" of the model architecture, provides an explanation of how to operate the model, compare multiple analyses, and understand the results.  The User Manual is available to download at: </t>
    </r>
    <r>
      <rPr>
        <b/>
        <u/>
        <sz val="12"/>
        <color theme="3"/>
        <rFont val="Calibri"/>
        <family val="2"/>
        <scheme val="minor"/>
      </rPr>
      <t/>
    </r>
  </si>
  <si>
    <t>Summary of Models Reviewed During the Development of the solar, wind and geothermal CREST:</t>
  </si>
  <si>
    <t>RETI Cost of Generation Spreadsheet</t>
  </si>
  <si>
    <t>Vermont Standard Offer Models</t>
  </si>
  <si>
    <t>RETScreen</t>
  </si>
  <si>
    <t>Gainesville FIT Model</t>
  </si>
  <si>
    <t>Solar Advisor Model (SAM)</t>
  </si>
  <si>
    <t>EU PV Platform</t>
  </si>
  <si>
    <t>Vote Solar Incentive Comparison Model</t>
  </si>
  <si>
    <t>Geothermal Electricity Technology Evaluation Model (GETEM)</t>
  </si>
  <si>
    <t>These models were reviewed primarily to identify best practices which effectively balance ease of use with flexibility and advanced functionality.  In most cases, the helpful modeling techniques identified are not technology-specific, and have influenced the general design of all three CREST models.  Each of the models listed below is discussed in more detail in the report (please see link at the top of this worksheet).</t>
  </si>
  <si>
    <t xml:space="preserve">The CREST model is a cost-of-energy analysis tool intended to assist policy makers evaluating the appropriate payment rate for a cost-based renewable energy incentive policy. The model aims to determine the cost-of-energy, or minimum revenue per unit of production needed for a sample (modeled) renewable energy project to meet its investors' assumed minimum required after-tax rate of return.  This model was developed in conjunction with a report entitled “Renewable Energy Cost Modeling: A Toolkit for Establishing Cost-Based Incentives in the United States”, developed under contract to the National Renewable Energy Laboratory. For more information about the factors, issues and policy decisions involved in establishing cost-based rates and incentives, please refer to the report.
The report, user manual and CREST models are free and available for download at: </t>
  </si>
  <si>
    <r>
      <t xml:space="preserve">Forecasted Market Value of Production; applies </t>
    </r>
    <r>
      <rPr>
        <b/>
        <u/>
        <sz val="12"/>
        <rFont val="Arial"/>
        <family val="2"/>
      </rPr>
      <t>after</t>
    </r>
    <r>
      <rPr>
        <b/>
        <sz val="12"/>
        <rFont val="Arial"/>
        <family val="2"/>
      </rPr>
      <t xml:space="preserve"> Incentive Expiration</t>
    </r>
  </si>
  <si>
    <t>For Technical Support, Please Contact:</t>
  </si>
  <si>
    <t>For Model Customization, Please Contact:</t>
  </si>
  <si>
    <t xml:space="preserve">Michael Mendelsohn, NREL
(303) 384-7363
michael.mendelsohn@nrel.gov </t>
  </si>
  <si>
    <t xml:space="preserve">Sustainable Energy Advantage, LLC
(508) 665-5850
CREST@seadvantage.com </t>
  </si>
  <si>
    <t>Sustainable Energy Advantage, LLC</t>
  </si>
  <si>
    <t>Author:</t>
  </si>
  <si>
    <t>State Average</t>
  </si>
  <si>
    <r>
      <t xml:space="preserve">Net C.F.: If "State Average" method, then select state </t>
    </r>
    <r>
      <rPr>
        <sz val="12"/>
        <rFont val="Calibri"/>
        <family val="2"/>
      </rPr>
      <t>→</t>
    </r>
  </si>
  <si>
    <t>AL</t>
  </si>
  <si>
    <t>AZ</t>
  </si>
  <si>
    <t>AR</t>
  </si>
  <si>
    <t>CA</t>
  </si>
  <si>
    <t>CO</t>
  </si>
  <si>
    <t>CT</t>
  </si>
  <si>
    <t>DE</t>
  </si>
  <si>
    <t>FL</t>
  </si>
  <si>
    <t>GA</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</si>
  <si>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</si>
  <si>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</si>
  <si>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</si>
  <si>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</si>
  <si>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</si>
  <si>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</si>
  <si>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</si>
  <si>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</si>
  <si>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</si>
  <si>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</si>
  <si>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</si>
  <si>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</si>
  <si>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</si>
  <si>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</si>
  <si>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</si>
  <si>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</si>
  <si>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</si>
  <si>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</si>
  <si>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</si>
  <si>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</si>
  <si>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</si>
  <si>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</si>
  <si>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</si>
  <si>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</si>
  <si>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</si>
  <si>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</si>
  <si>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</si>
  <si>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</si>
  <si>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</si>
  <si>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</si>
  <si>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</si>
  <si>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</si>
  <si>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</si>
  <si>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</si>
  <si>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</si>
  <si>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</si>
  <si>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</si>
  <si>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</si>
  <si>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</si>
  <si>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r>
      <t xml:space="preserve">Net C.F.: If "Custom" method, then enter Net C.F. </t>
    </r>
    <r>
      <rPr>
        <sz val="12"/>
        <rFont val="Calibri"/>
        <family val="2"/>
      </rPr>
      <t>→</t>
    </r>
  </si>
  <si>
    <t>State List</t>
  </si>
  <si>
    <t>DC Capacity factor</t>
  </si>
  <si>
    <t>Net Installed Cost (Total Installed Cost less Grants)</t>
  </si>
  <si>
    <t>Total Operating Expenses</t>
  </si>
  <si>
    <r>
      <rPr>
        <sz val="11"/>
        <color theme="1"/>
        <rFont val="Calibri"/>
        <family val="2"/>
      </rPr>
      <t>¢</t>
    </r>
    <r>
      <rPr>
        <i/>
        <sz val="11"/>
        <color theme="1"/>
        <rFont val="Arial"/>
        <family val="2"/>
      </rPr>
      <t>/kWh</t>
    </r>
  </si>
  <si>
    <t>Operating Expenses, Aggregated, Yr 1</t>
  </si>
  <si>
    <t>Debt Term</t>
  </si>
  <si>
    <t>Federal Tax Benefts Used "as generated" or "carried forward"?</t>
  </si>
  <si>
    <t>State Tax Benefts Used "as generated" or "carried forward"?</t>
  </si>
  <si>
    <t>Payment Duration for Cost-Based Tariff</t>
  </si>
  <si>
    <t>% of Year 1 Tariff Rate Escalated</t>
  </si>
  <si>
    <t>Tax Credit-  or Cash- Based?</t>
  </si>
  <si>
    <t>Total of Grants or Rebates</t>
  </si>
  <si>
    <t>Bonus Depreciation assumed?</t>
  </si>
  <si>
    <t>Total $ Cap on State Rebates/Grants</t>
  </si>
  <si>
    <t>Total Installed Cost (before rebates/grants, if any)</t>
  </si>
  <si>
    <t>State Rebates/Grants Treated as Taxable Income?</t>
  </si>
  <si>
    <t>Annual $ Cap on Performance-Based Incentive</t>
  </si>
  <si>
    <t>Lookup for State Average Capacity Factor</t>
  </si>
  <si>
    <t>PBI or REC Rate</t>
  </si>
  <si>
    <t>PBI or REC Escalation Rate (pos. or neg.)</t>
  </si>
  <si>
    <t>State Rebates, Tax Credits and/or REC Revenue</t>
  </si>
  <si>
    <t>Net Year-One Cost of Energy (COE)</t>
  </si>
  <si>
    <t>Net Nominal Levelized Cost of Energy</t>
  </si>
  <si>
    <t>Neither</t>
  </si>
  <si>
    <t>Net Capacity Factor: Select "State Average" or "Custom" →</t>
  </si>
  <si>
    <t>Select Form of Federal Incentive</t>
  </si>
  <si>
    <t>Select Form of State Incentive</t>
  </si>
  <si>
    <t>Additional State Rebates/Grants</t>
  </si>
  <si>
    <r>
      <t xml:space="preserve">Additional Federal Grants </t>
    </r>
    <r>
      <rPr>
        <b/>
        <sz val="11"/>
        <rFont val="Arial"/>
        <family val="2"/>
      </rPr>
      <t>(Other than Section 1603)</t>
    </r>
  </si>
  <si>
    <t>PBI or REC Payment Duration</t>
  </si>
  <si>
    <t>Cash</t>
  </si>
  <si>
    <t>If cash, is state PBI or REC taxable?</t>
  </si>
  <si>
    <t>AK</t>
  </si>
  <si>
    <t>HI</t>
  </si>
  <si>
    <t>Intermediate</t>
  </si>
  <si>
    <t>Solar, version 1.4</t>
  </si>
  <si>
    <t>Version 1.4 removes CREST's password protection. The authors strongly recommend that you save a copy of the model in its original form.  Once altered, modeling results cannot be warranted by NREL or SEA.  For model customization support, please contact Sustainable Energy Advantage, LLC.</t>
  </si>
  <si>
    <t>Update Notice:</t>
  </si>
  <si>
    <t>Carried Forward</t>
  </si>
  <si>
    <t>Salvage</t>
  </si>
  <si>
    <t>Cost-Based</t>
  </si>
  <si>
    <t>ITC</t>
  </si>
  <si>
    <t>No</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</si>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</sst>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5" formatCode="&quot;$&quot;#,##0_);\(&quot;$&quot;#,##0\)"/>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0.0%"/>
    <numFmt numFmtId="165" formatCode="_(&quot;$&quot;* #,##0_);_(&quot;$&quot;* \(#,##0\);_(&quot;$&quot;* &quot;-&quot;??_);_(@_)"/>
    <numFmt numFmtId="166" formatCode="&quot;Project&quot;\ #"/>
    <numFmt numFmtId="167" formatCode="0\ &quot;kW&quot;"/>
    <numFmt numFmtId="168" formatCode="#\ &quot;Years&quot;"/>
    <numFmt numFmtId="169" formatCode="&quot;$&quot;#,##0"/>
    <numFmt numFmtId="170" formatCode="&quot;$&quot;#.##&quot;/ Watt&quot;"/>
    <numFmt numFmtId="171" formatCode="&quot;$&quot;#,##0.00"/>
    <numFmt numFmtId="172" formatCode="0.0000"/>
    <numFmt numFmtId="173" formatCode="0.000"/>
    <numFmt numFmtId="174" formatCode="_(* #,##0_);_(* \(#,##0\);_(* &quot;-&quot;??_);_(@_)"/>
    <numFmt numFmtId="175" formatCode="0.000000"/>
    <numFmt numFmtId="176" formatCode="&quot;Year&quot;\ #"/>
    <numFmt numFmtId="177" formatCode="&quot;$&quot;#,##0.000"/>
    <numFmt numFmtId="178" formatCode="0.0"/>
    <numFmt numFmtId="179" formatCode="&quot;Net Present Value @&quot;\ ##.00%\ &quot;(over defined Useful Life)&quot;"/>
  </numFmts>
  <fonts count="100" x14ac:knownFonts="1">
    <font>
      <sz val="11"/>
      <color theme="1"/>
      <name val="Calibri"/>
      <family val="2"/>
      <scheme val="minor"/>
    </font>
    <font>
      <sz val="12"/>
      <color theme="1"/>
      <name val="Calibri"/>
      <family val="2"/>
      <scheme val="minor"/>
    </font>
    <font>
      <sz val="11"/>
      <color theme="1"/>
      <name val="Calibri"/>
      <family val="2"/>
      <scheme val="minor"/>
    </font>
    <font>
      <b/>
      <sz val="12"/>
      <name val="Arial"/>
      <family val="2"/>
    </font>
    <font>
      <i/>
      <sz val="12"/>
      <name val="Arial"/>
      <family val="2"/>
    </font>
    <font>
      <b/>
      <sz val="12"/>
      <color indexed="62"/>
      <name val="Arial"/>
      <family val="2"/>
    </font>
    <font>
      <sz val="12"/>
      <name val="Arial"/>
      <family val="2"/>
    </font>
    <font>
      <sz val="12"/>
      <color rgb="FFFF0000"/>
      <name val="Arial"/>
      <family val="2"/>
    </font>
    <font>
      <b/>
      <sz val="14"/>
      <name val="Arial"/>
      <family val="2"/>
    </font>
    <font>
      <b/>
      <sz val="12"/>
      <color theme="3"/>
      <name val="Arial"/>
      <family val="2"/>
    </font>
    <font>
      <b/>
      <i/>
      <sz val="10"/>
      <name val="Arial"/>
      <family val="2"/>
    </font>
    <font>
      <i/>
      <sz val="11"/>
      <name val="Arial"/>
      <family val="2"/>
    </font>
    <font>
      <b/>
      <sz val="12"/>
      <color indexed="56"/>
      <name val="Arial"/>
      <family val="2"/>
    </font>
    <font>
      <b/>
      <sz val="8"/>
      <color indexed="81"/>
      <name val="Tahoma"/>
      <family val="2"/>
    </font>
    <font>
      <sz val="8"/>
      <color indexed="81"/>
      <name val="Tahoma"/>
      <family val="2"/>
    </font>
    <font>
      <b/>
      <sz val="12"/>
      <color rgb="FFFF0000"/>
      <name val="Arial"/>
      <family val="2"/>
    </font>
    <font>
      <b/>
      <sz val="12"/>
      <color theme="0" tint="-0.14999847407452621"/>
      <name val="Arial"/>
      <family val="2"/>
    </font>
    <font>
      <u/>
      <sz val="8.8000000000000007"/>
      <color theme="10"/>
      <name val="Calibri"/>
      <family val="2"/>
    </font>
    <font>
      <b/>
      <sz val="14"/>
      <color indexed="81"/>
      <name val="Tahoma"/>
      <family val="2"/>
    </font>
    <font>
      <sz val="14"/>
      <color indexed="81"/>
      <name val="Tahoma"/>
      <family val="2"/>
    </font>
    <font>
      <sz val="10"/>
      <name val="Arial"/>
      <family val="2"/>
    </font>
    <font>
      <b/>
      <i/>
      <sz val="12"/>
      <name val="Arial"/>
      <family val="2"/>
    </font>
    <font>
      <u/>
      <sz val="12"/>
      <name val="Arial"/>
      <family val="2"/>
    </font>
    <font>
      <b/>
      <sz val="12"/>
      <color indexed="81"/>
      <name val="Tahoma"/>
      <family val="2"/>
    </font>
    <font>
      <b/>
      <sz val="12"/>
      <color theme="4"/>
      <name val="Arial"/>
      <family val="2"/>
    </font>
    <font>
      <b/>
      <sz val="11"/>
      <color rgb="FFFF0000"/>
      <name val="Calibri"/>
      <family val="2"/>
      <scheme val="minor"/>
    </font>
    <font>
      <u/>
      <sz val="14"/>
      <color indexed="81"/>
      <name val="Tahoma"/>
      <family val="2"/>
    </font>
    <font>
      <b/>
      <u/>
      <sz val="12"/>
      <color theme="0" tint="-0.249977111117893"/>
      <name val="Arial"/>
      <family val="2"/>
    </font>
    <font>
      <sz val="12"/>
      <color theme="1"/>
      <name val="Arial"/>
      <family val="2"/>
    </font>
    <font>
      <b/>
      <sz val="12"/>
      <color theme="1"/>
      <name val="Calibri"/>
      <family val="2"/>
      <scheme val="minor"/>
    </font>
    <font>
      <b/>
      <sz val="14"/>
      <color theme="1"/>
      <name val="Calibri"/>
      <family val="2"/>
      <scheme val="minor"/>
    </font>
    <font>
      <b/>
      <sz val="12"/>
      <color indexed="12"/>
      <name val="Arial"/>
      <family val="2"/>
    </font>
    <font>
      <sz val="12"/>
      <color indexed="8"/>
      <name val="Arial"/>
      <family val="2"/>
    </font>
    <font>
      <i/>
      <sz val="12"/>
      <color rgb="FFFF0000"/>
      <name val="Arial"/>
      <family val="2"/>
    </font>
    <font>
      <u/>
      <sz val="18"/>
      <color theme="10"/>
      <name val="Calibri"/>
      <family val="2"/>
    </font>
    <font>
      <b/>
      <sz val="12"/>
      <color indexed="56"/>
      <name val="Times New Roman"/>
      <family val="1"/>
    </font>
    <font>
      <i/>
      <u/>
      <sz val="12"/>
      <name val="Arial"/>
      <family val="2"/>
    </font>
    <font>
      <b/>
      <u/>
      <sz val="12"/>
      <name val="Arial"/>
      <family val="2"/>
    </font>
    <font>
      <b/>
      <sz val="14"/>
      <name val="Tahoma"/>
      <family val="2"/>
    </font>
    <font>
      <b/>
      <i/>
      <sz val="14"/>
      <color rgb="FFC00000"/>
      <name val="Tahoma"/>
      <family val="2"/>
    </font>
    <font>
      <i/>
      <sz val="11"/>
      <color rgb="FFC00000"/>
      <name val="Calibri"/>
      <family val="2"/>
      <scheme val="minor"/>
    </font>
    <font>
      <b/>
      <i/>
      <sz val="11"/>
      <color rgb="FFC00000"/>
      <name val="Calibri"/>
      <family val="2"/>
      <scheme val="minor"/>
    </font>
    <font>
      <b/>
      <i/>
      <sz val="12"/>
      <color theme="4"/>
      <name val="Arial"/>
      <family val="2"/>
    </font>
    <font>
      <sz val="12"/>
      <color rgb="FFC00000"/>
      <name val="Arial"/>
      <family val="2"/>
    </font>
    <font>
      <b/>
      <sz val="12"/>
      <color theme="1"/>
      <name val="Arial"/>
      <family val="2"/>
    </font>
    <font>
      <sz val="12"/>
      <color theme="1"/>
      <name val="Calibri"/>
      <family val="2"/>
      <scheme val="minor"/>
    </font>
    <font>
      <b/>
      <sz val="12"/>
      <color rgb="FFFF0000"/>
      <name val="Calibri"/>
      <family val="2"/>
      <scheme val="minor"/>
    </font>
    <font>
      <sz val="12"/>
      <color rgb="FFFF0000"/>
      <name val="Calibri"/>
      <family val="2"/>
      <scheme val="minor"/>
    </font>
    <font>
      <b/>
      <sz val="12"/>
      <color theme="4"/>
      <name val="Calibri"/>
      <family val="2"/>
      <scheme val="minor"/>
    </font>
    <font>
      <sz val="11"/>
      <color theme="1"/>
      <name val="Arial"/>
      <family val="2"/>
    </font>
    <font>
      <b/>
      <sz val="14"/>
      <color theme="1"/>
      <name val="Arial"/>
      <family val="2"/>
    </font>
    <font>
      <b/>
      <sz val="11"/>
      <color theme="1"/>
      <name val="Arial"/>
      <family val="2"/>
    </font>
    <font>
      <b/>
      <sz val="11"/>
      <name val="Arial"/>
      <family val="2"/>
    </font>
    <font>
      <sz val="11"/>
      <name val="Arial"/>
      <family val="2"/>
    </font>
    <font>
      <b/>
      <i/>
      <sz val="11"/>
      <name val="Arial"/>
      <family val="2"/>
    </font>
    <font>
      <i/>
      <sz val="11"/>
      <color theme="1"/>
      <name val="Arial"/>
      <family val="2"/>
    </font>
    <font>
      <b/>
      <i/>
      <sz val="11"/>
      <color rgb="FFC00000"/>
      <name val="Arial"/>
      <family val="2"/>
    </font>
    <font>
      <b/>
      <sz val="11"/>
      <color theme="4"/>
      <name val="Arial"/>
      <family val="2"/>
    </font>
    <font>
      <i/>
      <sz val="12"/>
      <color theme="0" tint="-0.499984740745262"/>
      <name val="Arial"/>
      <family val="2"/>
    </font>
    <font>
      <b/>
      <sz val="12"/>
      <color theme="0"/>
      <name val="Arial"/>
      <family val="2"/>
    </font>
    <font>
      <b/>
      <i/>
      <u/>
      <sz val="12"/>
      <name val="Arial"/>
      <family val="2"/>
    </font>
    <font>
      <b/>
      <sz val="12"/>
      <name val="Tahoma"/>
      <family val="2"/>
    </font>
    <font>
      <sz val="14"/>
      <name val="Arial"/>
      <family val="2"/>
    </font>
    <font>
      <b/>
      <i/>
      <sz val="12"/>
      <color theme="0" tint="-0.249977111117893"/>
      <name val="Arial"/>
      <family val="2"/>
    </font>
    <font>
      <i/>
      <sz val="10"/>
      <color theme="0" tint="-0.499984740745262"/>
      <name val="Arial"/>
      <family val="2"/>
    </font>
    <font>
      <b/>
      <u/>
      <sz val="12"/>
      <color theme="0"/>
      <name val="Arial"/>
      <family val="2"/>
    </font>
    <font>
      <i/>
      <sz val="11"/>
      <color theme="0" tint="-0.34998626667073579"/>
      <name val="Arial"/>
      <family val="2"/>
    </font>
    <font>
      <b/>
      <sz val="8"/>
      <name val="Arial"/>
      <family val="2"/>
    </font>
    <font>
      <sz val="12"/>
      <color theme="0" tint="-0.14999847407452621"/>
      <name val="Arial"/>
      <family val="2"/>
    </font>
    <font>
      <i/>
      <sz val="12"/>
      <color theme="0" tint="-0.14999847407452621"/>
      <name val="Arial"/>
      <family val="2"/>
    </font>
    <font>
      <sz val="12"/>
      <color theme="0"/>
      <name val="Arial"/>
      <family val="2"/>
    </font>
    <font>
      <i/>
      <sz val="12"/>
      <color theme="1"/>
      <name val="Arial"/>
      <family val="2"/>
    </font>
    <font>
      <b/>
      <i/>
      <sz val="11"/>
      <color theme="1"/>
      <name val="Arial"/>
      <family val="2"/>
    </font>
    <font>
      <b/>
      <u/>
      <sz val="12"/>
      <color theme="0" tint="-0.14999847407452621"/>
      <name val="Arial"/>
      <family val="2"/>
    </font>
    <font>
      <u/>
      <sz val="12"/>
      <color theme="10"/>
      <name val="Arial"/>
      <family val="2"/>
    </font>
    <font>
      <b/>
      <u/>
      <sz val="12"/>
      <color theme="10"/>
      <name val="Arial"/>
      <family val="2"/>
    </font>
    <font>
      <sz val="12"/>
      <color indexed="81"/>
      <name val="Tahoma"/>
      <family val="2"/>
    </font>
    <font>
      <b/>
      <i/>
      <sz val="11"/>
      <color rgb="FF00B050"/>
      <name val="Arial"/>
      <family val="2"/>
    </font>
    <font>
      <b/>
      <i/>
      <sz val="14"/>
      <color indexed="81"/>
      <name val="Tahoma"/>
      <family val="2"/>
    </font>
    <font>
      <u/>
      <sz val="12"/>
      <color theme="1"/>
      <name val="Calibri"/>
      <family val="2"/>
      <scheme val="minor"/>
    </font>
    <font>
      <b/>
      <sz val="12"/>
      <color theme="0" tint="-0.249977111117893"/>
      <name val="Arial"/>
      <family val="2"/>
    </font>
    <font>
      <sz val="12"/>
      <color theme="0" tint="-0.249977111117893"/>
      <name val="Arial"/>
      <family val="2"/>
    </font>
    <font>
      <b/>
      <sz val="11"/>
      <color rgb="FFFFFF00"/>
      <name val="Arial"/>
      <family val="2"/>
    </font>
    <font>
      <b/>
      <u/>
      <sz val="14"/>
      <color indexed="81"/>
      <name val="Tahoma"/>
      <family val="2"/>
    </font>
    <font>
      <b/>
      <sz val="12"/>
      <color theme="3"/>
      <name val="Calibri"/>
      <family val="2"/>
      <scheme val="minor"/>
    </font>
    <font>
      <b/>
      <u/>
      <sz val="12"/>
      <color theme="3"/>
      <name val="Calibri"/>
      <family val="2"/>
      <scheme val="minor"/>
    </font>
    <font>
      <b/>
      <i/>
      <u/>
      <sz val="12"/>
      <color theme="1"/>
      <name val="Calibri"/>
      <family val="2"/>
      <scheme val="minor"/>
    </font>
    <font>
      <b/>
      <sz val="14"/>
      <color rgb="FFFF0000"/>
      <name val="Calibri"/>
      <family val="2"/>
      <scheme val="minor"/>
    </font>
    <font>
      <u/>
      <sz val="12"/>
      <color theme="10"/>
      <name val="Calibri"/>
      <family val="2"/>
      <scheme val="minor"/>
    </font>
    <font>
      <b/>
      <i/>
      <u/>
      <sz val="12"/>
      <color theme="1"/>
      <name val="Arial"/>
      <family val="2"/>
    </font>
    <font>
      <u/>
      <sz val="12"/>
      <color theme="10"/>
      <name val="Calibri"/>
      <family val="2"/>
    </font>
    <font>
      <b/>
      <i/>
      <sz val="12"/>
      <color theme="1"/>
      <name val="Calibri"/>
      <family val="2"/>
      <scheme val="minor"/>
    </font>
    <font>
      <b/>
      <sz val="11"/>
      <color theme="3"/>
      <name val="Calibri"/>
      <family val="2"/>
      <scheme val="minor"/>
    </font>
    <font>
      <b/>
      <sz val="11"/>
      <color theme="1"/>
      <name val="Calibri"/>
      <family val="2"/>
      <scheme val="minor"/>
    </font>
    <font>
      <sz val="12"/>
      <name val="Calibri"/>
      <family val="2"/>
    </font>
    <font>
      <b/>
      <sz val="11"/>
      <color rgb="FFFF0000"/>
      <name val="Arial"/>
      <family val="2"/>
    </font>
    <font>
      <sz val="11"/>
      <color theme="1"/>
      <name val="Calibri"/>
      <family val="2"/>
    </font>
    <font>
      <b/>
      <sz val="16"/>
      <color indexed="81"/>
      <name val="Tahoma"/>
      <family val="2"/>
    </font>
    <font>
      <i/>
      <sz val="14"/>
      <color theme="1"/>
      <name val="Arial"/>
      <family val="2"/>
    </font>
    <font>
      <sz val="14"/>
      <color theme="1"/>
      <name val="Arial"/>
      <family val="2"/>
    </font>
  </fonts>
  <fills count="15">
    <fill>
      <patternFill patternType="none"/>
    </fill>
    <fill>
      <patternFill patternType="gray125"/>
    </fill>
    <fill>
      <patternFill patternType="solid">
        <fgColor indexed="9"/>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indexed="2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s>
  <borders count="6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top/>
      <bottom style="thin">
        <color indexed="64"/>
      </bottom>
      <diagonal/>
    </border>
    <border>
      <left/>
      <right/>
      <top style="medium">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s>
  <cellStyleXfs count="6">
    <xf numFmtId="0" fontId="0" fillId="0" borderId="0"/>
    <xf numFmtId="44" fontId="2" fillId="0" borderId="0" applyFont="0" applyFill="0" applyBorder="0" applyAlignment="0" applyProtection="0"/>
    <xf numFmtId="9" fontId="2" fillId="0" borderId="0" applyFont="0" applyFill="0" applyBorder="0" applyAlignment="0" applyProtection="0"/>
    <xf numFmtId="0" fontId="17" fillId="0" borderId="0" applyNumberFormat="0" applyFill="0" applyBorder="0" applyAlignment="0" applyProtection="0">
      <alignment vertical="top"/>
      <protection locked="0"/>
    </xf>
    <xf numFmtId="9" fontId="20" fillId="0" borderId="0" applyFont="0" applyFill="0" applyBorder="0" applyAlignment="0" applyProtection="0"/>
    <xf numFmtId="43" fontId="2" fillId="0" borderId="0" applyFont="0" applyFill="0" applyBorder="0" applyAlignment="0" applyProtection="0"/>
  </cellStyleXfs>
  <cellXfs count="740">
    <xf numFmtId="0" fontId="0" fillId="0" borderId="0" xfId="0"/>
    <xf numFmtId="0" fontId="6" fillId="0" borderId="0" xfId="0" applyFont="1"/>
    <xf numFmtId="0" fontId="3" fillId="5" borderId="1" xfId="0" applyFont="1" applyFill="1" applyBorder="1" applyAlignment="1">
      <alignment horizontal="left"/>
    </xf>
    <xf numFmtId="0" fontId="10" fillId="5" borderId="2" xfId="0" applyFont="1" applyFill="1" applyBorder="1" applyAlignment="1">
      <alignment horizontal="center"/>
    </xf>
    <xf numFmtId="166" fontId="11" fillId="5" borderId="3" xfId="0" applyNumberFormat="1" applyFont="1" applyFill="1" applyBorder="1" applyAlignment="1">
      <alignment horizontal="center"/>
    </xf>
    <xf numFmtId="0" fontId="3" fillId="5" borderId="1" xfId="0" applyFont="1" applyFill="1" applyBorder="1"/>
    <xf numFmtId="0" fontId="4" fillId="2" borderId="5" xfId="0" applyFont="1" applyFill="1" applyBorder="1" applyAlignment="1">
      <alignment horizontal="center"/>
    </xf>
    <xf numFmtId="0" fontId="4" fillId="2" borderId="4" xfId="0" applyFont="1" applyFill="1" applyBorder="1" applyAlignment="1">
      <alignment horizontal="center"/>
    </xf>
    <xf numFmtId="0" fontId="4" fillId="0" borderId="4" xfId="0" applyFont="1" applyBorder="1" applyAlignment="1">
      <alignment horizontal="center"/>
    </xf>
    <xf numFmtId="0" fontId="6" fillId="2" borderId="4" xfId="0" applyFont="1" applyFill="1" applyBorder="1"/>
    <xf numFmtId="3" fontId="3" fillId="5" borderId="1" xfId="0" applyNumberFormat="1" applyFont="1" applyFill="1" applyBorder="1" applyAlignment="1">
      <alignment horizontal="left"/>
    </xf>
    <xf numFmtId="0" fontId="6" fillId="0" borderId="8" xfId="0" applyFont="1" applyBorder="1"/>
    <xf numFmtId="0" fontId="15" fillId="0" borderId="4" xfId="0" applyFont="1" applyBorder="1" applyAlignment="1">
      <alignment horizontal="center"/>
    </xf>
    <xf numFmtId="0" fontId="15" fillId="0" borderId="0" xfId="0" applyFont="1" applyAlignment="1">
      <alignment horizontal="center"/>
    </xf>
    <xf numFmtId="0" fontId="8" fillId="0" borderId="0" xfId="0" applyFont="1" applyAlignment="1">
      <alignment horizontal="center"/>
    </xf>
    <xf numFmtId="0" fontId="3" fillId="0" borderId="0" xfId="0" applyFont="1" applyAlignment="1">
      <alignment horizontal="center"/>
    </xf>
    <xf numFmtId="0" fontId="6" fillId="0" borderId="2" xfId="0" applyFont="1" applyBorder="1"/>
    <xf numFmtId="0" fontId="6" fillId="0" borderId="0" xfId="0" applyFont="1" applyAlignment="1">
      <alignment horizontal="center"/>
    </xf>
    <xf numFmtId="0" fontId="6" fillId="2" borderId="0" xfId="0" applyFont="1" applyFill="1"/>
    <xf numFmtId="0" fontId="24" fillId="0" borderId="2" xfId="0" applyFont="1" applyBorder="1" applyAlignment="1">
      <alignment horizontal="center" vertical="center"/>
    </xf>
    <xf numFmtId="0" fontId="8" fillId="0" borderId="2" xfId="0" applyFont="1" applyBorder="1" applyAlignment="1">
      <alignment horizontal="left"/>
    </xf>
    <xf numFmtId="9" fontId="9" fillId="0" borderId="0" xfId="0" applyNumberFormat="1" applyFont="1" applyAlignment="1">
      <alignment horizontal="center"/>
    </xf>
    <xf numFmtId="0" fontId="6" fillId="5" borderId="2" xfId="0" applyFont="1" applyFill="1" applyBorder="1"/>
    <xf numFmtId="173" fontId="6" fillId="0" borderId="0" xfId="0" applyNumberFormat="1" applyFont="1"/>
    <xf numFmtId="0" fontId="3" fillId="0" borderId="0" xfId="0" applyFont="1"/>
    <xf numFmtId="3" fontId="6" fillId="0" borderId="0" xfId="0" applyNumberFormat="1" applyFont="1"/>
    <xf numFmtId="169" fontId="6" fillId="0" borderId="0" xfId="0" applyNumberFormat="1" applyFont="1"/>
    <xf numFmtId="0" fontId="6" fillId="0" borderId="9" xfId="0" applyFont="1" applyBorder="1"/>
    <xf numFmtId="169" fontId="3" fillId="0" borderId="0" xfId="0" applyNumberFormat="1" applyFont="1"/>
    <xf numFmtId="6" fontId="6" fillId="0" borderId="0" xfId="0" applyNumberFormat="1" applyFont="1"/>
    <xf numFmtId="6" fontId="6" fillId="0" borderId="9" xfId="0" applyNumberFormat="1" applyFont="1" applyBorder="1"/>
    <xf numFmtId="6" fontId="3" fillId="0" borderId="0" xfId="0" applyNumberFormat="1" applyFont="1"/>
    <xf numFmtId="0" fontId="4" fillId="0" borderId="0" xfId="0" applyFont="1"/>
    <xf numFmtId="40" fontId="4" fillId="0" borderId="0" xfId="0" applyNumberFormat="1" applyFont="1" applyAlignment="1">
      <alignment horizontal="center"/>
    </xf>
    <xf numFmtId="0" fontId="3" fillId="0" borderId="0" xfId="0" applyFont="1" applyAlignment="1">
      <alignment wrapText="1"/>
    </xf>
    <xf numFmtId="0" fontId="21" fillId="0" borderId="0" xfId="0" applyFont="1" applyAlignment="1">
      <alignment wrapText="1"/>
    </xf>
    <xf numFmtId="164" fontId="4" fillId="0" borderId="0" xfId="2" applyNumberFormat="1" applyFont="1" applyAlignment="1"/>
    <xf numFmtId="6" fontId="31" fillId="0" borderId="0" xfId="0" applyNumberFormat="1" applyFont="1" applyAlignment="1">
      <alignment horizontal="center"/>
    </xf>
    <xf numFmtId="0" fontId="3" fillId="0" borderId="22" xfId="0" applyFont="1" applyBorder="1"/>
    <xf numFmtId="0" fontId="6" fillId="0" borderId="22" xfId="0" applyFont="1" applyBorder="1"/>
    <xf numFmtId="0" fontId="3" fillId="9" borderId="0" xfId="0" applyFont="1" applyFill="1"/>
    <xf numFmtId="0" fontId="6" fillId="9" borderId="0" xfId="0" applyFont="1" applyFill="1"/>
    <xf numFmtId="6" fontId="6" fillId="9" borderId="0" xfId="0" applyNumberFormat="1" applyFont="1" applyFill="1"/>
    <xf numFmtId="0" fontId="21" fillId="9" borderId="0" xfId="0" applyFont="1" applyFill="1" applyAlignment="1">
      <alignment horizontal="center"/>
    </xf>
    <xf numFmtId="0" fontId="25" fillId="0" borderId="0" xfId="0" applyFont="1" applyAlignment="1">
      <alignment horizontal="center"/>
    </xf>
    <xf numFmtId="3" fontId="3" fillId="9" borderId="1" xfId="0" applyNumberFormat="1" applyFont="1" applyFill="1" applyBorder="1" applyAlignment="1">
      <alignment horizontal="left" vertical="center"/>
    </xf>
    <xf numFmtId="3" fontId="4" fillId="9" borderId="2" xfId="0" applyNumberFormat="1" applyFont="1" applyFill="1" applyBorder="1" applyAlignment="1">
      <alignment horizontal="center" vertical="center"/>
    </xf>
    <xf numFmtId="0" fontId="0" fillId="4" borderId="2" xfId="0" applyFill="1" applyBorder="1"/>
    <xf numFmtId="0" fontId="0" fillId="4" borderId="3" xfId="0" applyFill="1" applyBorder="1"/>
    <xf numFmtId="0" fontId="6" fillId="2" borderId="4" xfId="0" applyFont="1" applyFill="1" applyBorder="1" applyAlignment="1">
      <alignment vertical="center"/>
    </xf>
    <xf numFmtId="0" fontId="6" fillId="0" borderId="4" xfId="0" applyFont="1" applyBorder="1" applyAlignment="1">
      <alignment vertical="center"/>
    </xf>
    <xf numFmtId="9" fontId="3" fillId="2" borderId="5" xfId="2" applyFont="1" applyFill="1" applyBorder="1" applyAlignment="1">
      <alignment horizontal="center"/>
    </xf>
    <xf numFmtId="0" fontId="34" fillId="0" borderId="0" xfId="3" applyNumberFormat="1" applyFont="1" applyBorder="1" applyAlignment="1" applyProtection="1">
      <alignment vertical="center"/>
    </xf>
    <xf numFmtId="9" fontId="35" fillId="2" borderId="5" xfId="2" applyFont="1" applyFill="1" applyBorder="1" applyAlignment="1">
      <alignment horizontal="center"/>
    </xf>
    <xf numFmtId="0" fontId="4" fillId="0" borderId="0" xfId="0" applyFont="1" applyAlignment="1">
      <alignment horizontal="center"/>
    </xf>
    <xf numFmtId="9" fontId="6" fillId="2" borderId="5" xfId="2" applyFont="1" applyFill="1" applyBorder="1" applyAlignment="1">
      <alignment horizontal="center" vertical="center"/>
    </xf>
    <xf numFmtId="166" fontId="11" fillId="0" borderId="0" xfId="0" applyNumberFormat="1" applyFont="1" applyAlignment="1">
      <alignment horizontal="center"/>
    </xf>
    <xf numFmtId="0" fontId="4" fillId="0" borderId="9" xfId="0" applyFont="1" applyBorder="1" applyAlignment="1">
      <alignment horizontal="center"/>
    </xf>
    <xf numFmtId="0" fontId="21" fillId="0" borderId="0" xfId="0" applyFont="1" applyAlignment="1">
      <alignment horizontal="center"/>
    </xf>
    <xf numFmtId="172" fontId="6" fillId="0" borderId="0" xfId="0" applyNumberFormat="1" applyFont="1" applyAlignment="1">
      <alignment horizontal="center"/>
    </xf>
    <xf numFmtId="10" fontId="6" fillId="0" borderId="0" xfId="2" applyNumberFormat="1" applyFont="1" applyAlignment="1"/>
    <xf numFmtId="9" fontId="6" fillId="0" borderId="0" xfId="0" applyNumberFormat="1" applyFont="1"/>
    <xf numFmtId="41" fontId="6" fillId="0" borderId="0" xfId="0" applyNumberFormat="1" applyFont="1"/>
    <xf numFmtId="2" fontId="31" fillId="0" borderId="0" xfId="0" applyNumberFormat="1" applyFont="1" applyAlignment="1">
      <alignment horizontal="center"/>
    </xf>
    <xf numFmtId="0" fontId="6" fillId="9" borderId="22" xfId="0" applyFont="1" applyFill="1" applyBorder="1"/>
    <xf numFmtId="2" fontId="4" fillId="0" borderId="0" xfId="0" applyNumberFormat="1" applyFont="1"/>
    <xf numFmtId="0" fontId="24" fillId="6" borderId="3" xfId="0" applyFont="1" applyFill="1" applyBorder="1" applyAlignment="1">
      <alignment horizontal="center" vertical="center" wrapText="1"/>
    </xf>
    <xf numFmtId="8" fontId="4" fillId="0" borderId="0" xfId="0" applyNumberFormat="1" applyFont="1" applyAlignment="1">
      <alignment horizontal="center"/>
    </xf>
    <xf numFmtId="0" fontId="38" fillId="4" borderId="1" xfId="0" applyFont="1" applyFill="1" applyBorder="1" applyAlignment="1">
      <alignment horizontal="left" vertical="center"/>
    </xf>
    <xf numFmtId="0" fontId="25" fillId="4" borderId="2" xfId="0" applyFont="1" applyFill="1" applyBorder="1" applyAlignment="1">
      <alignment horizontal="center"/>
    </xf>
    <xf numFmtId="0" fontId="39" fillId="6" borderId="1" xfId="0" applyFont="1" applyFill="1" applyBorder="1"/>
    <xf numFmtId="0" fontId="40" fillId="6" borderId="2" xfId="0" applyFont="1" applyFill="1" applyBorder="1"/>
    <xf numFmtId="0" fontId="41" fillId="6" borderId="2" xfId="0" applyFont="1" applyFill="1" applyBorder="1" applyAlignment="1">
      <alignment horizontal="center"/>
    </xf>
    <xf numFmtId="9" fontId="24" fillId="0" borderId="4" xfId="0" applyNumberFormat="1" applyFont="1" applyBorder="1" applyAlignment="1">
      <alignment horizontal="center"/>
    </xf>
    <xf numFmtId="0" fontId="4" fillId="4" borderId="3" xfId="0" applyFont="1" applyFill="1" applyBorder="1" applyAlignment="1">
      <alignment horizontal="center" vertical="center"/>
    </xf>
    <xf numFmtId="9" fontId="6" fillId="0" borderId="0" xfId="2" applyFont="1" applyFill="1" applyBorder="1" applyAlignment="1">
      <alignment horizontal="center" vertical="center"/>
    </xf>
    <xf numFmtId="0" fontId="21" fillId="4" borderId="1" xfId="0" applyFont="1" applyFill="1" applyBorder="1"/>
    <xf numFmtId="0" fontId="6" fillId="4" borderId="2" xfId="0" applyFont="1" applyFill="1" applyBorder="1"/>
    <xf numFmtId="0" fontId="6" fillId="4" borderId="3" xfId="0" applyFont="1" applyFill="1" applyBorder="1"/>
    <xf numFmtId="0" fontId="40" fillId="6" borderId="3" xfId="0" applyFont="1" applyFill="1" applyBorder="1"/>
    <xf numFmtId="0" fontId="6" fillId="2" borderId="5" xfId="0" applyFont="1" applyFill="1" applyBorder="1" applyAlignment="1">
      <alignment vertical="center"/>
    </xf>
    <xf numFmtId="169" fontId="6" fillId="0" borderId="5" xfId="1" applyNumberFormat="1" applyFont="1" applyBorder="1" applyAlignment="1">
      <alignment horizontal="center" vertical="center"/>
    </xf>
    <xf numFmtId="0" fontId="0" fillId="0" borderId="4" xfId="0" applyBorder="1"/>
    <xf numFmtId="0" fontId="8" fillId="0" borderId="1" xfId="0" applyFont="1" applyBorder="1" applyAlignment="1">
      <alignment horizontal="left" vertical="center"/>
    </xf>
    <xf numFmtId="0" fontId="4" fillId="9" borderId="29" xfId="0" applyFont="1" applyFill="1" applyBorder="1" applyAlignment="1">
      <alignment horizontal="center" vertical="center"/>
    </xf>
    <xf numFmtId="0" fontId="4" fillId="9" borderId="29" xfId="0" applyFont="1" applyFill="1" applyBorder="1" applyAlignment="1">
      <alignment horizontal="center" vertical="center" wrapText="1"/>
    </xf>
    <xf numFmtId="0" fontId="33" fillId="2" borderId="0" xfId="0" applyFont="1" applyFill="1" applyAlignment="1">
      <alignment vertical="center"/>
    </xf>
    <xf numFmtId="9" fontId="7" fillId="2" borderId="0" xfId="2" applyFont="1" applyFill="1" applyBorder="1" applyAlignment="1">
      <alignment horizontal="center" vertical="center"/>
    </xf>
    <xf numFmtId="9" fontId="24" fillId="0" borderId="0" xfId="0" applyNumberFormat="1" applyFont="1" applyAlignment="1">
      <alignment horizontal="center"/>
    </xf>
    <xf numFmtId="0" fontId="6" fillId="0" borderId="0" xfId="0" applyFont="1" applyAlignment="1">
      <alignment vertical="center"/>
    </xf>
    <xf numFmtId="169" fontId="6" fillId="0" borderId="0" xfId="1" applyNumberFormat="1" applyFont="1" applyFill="1" applyBorder="1" applyAlignment="1">
      <alignment horizontal="center" vertical="center"/>
    </xf>
    <xf numFmtId="0" fontId="33" fillId="0" borderId="0" xfId="0" applyFont="1" applyAlignment="1">
      <alignment vertical="center"/>
    </xf>
    <xf numFmtId="169" fontId="7" fillId="0" borderId="0" xfId="1" applyNumberFormat="1" applyFont="1" applyFill="1" applyBorder="1" applyAlignment="1">
      <alignment horizontal="center" vertical="center"/>
    </xf>
    <xf numFmtId="9" fontId="7" fillId="0" borderId="0" xfId="2" applyFont="1" applyFill="1" applyBorder="1" applyAlignment="1">
      <alignment horizontal="center" vertical="center"/>
    </xf>
    <xf numFmtId="0" fontId="3" fillId="9" borderId="30" xfId="0" applyFont="1" applyFill="1" applyBorder="1" applyAlignment="1">
      <alignment vertical="center"/>
    </xf>
    <xf numFmtId="169" fontId="6" fillId="0" borderId="4" xfId="0" applyNumberFormat="1" applyFont="1" applyBorder="1" applyAlignment="1">
      <alignment vertical="center"/>
    </xf>
    <xf numFmtId="0" fontId="3" fillId="0" borderId="5" xfId="0" applyFont="1" applyBorder="1" applyAlignment="1">
      <alignment vertical="center"/>
    </xf>
    <xf numFmtId="0" fontId="6" fillId="0" borderId="5" xfId="0" applyFont="1" applyBorder="1" applyAlignment="1">
      <alignment vertical="center"/>
    </xf>
    <xf numFmtId="0" fontId="6" fillId="0" borderId="28" xfId="0" applyFont="1" applyBorder="1" applyAlignment="1">
      <alignment vertical="center"/>
    </xf>
    <xf numFmtId="6" fontId="6" fillId="0" borderId="28" xfId="0" applyNumberFormat="1" applyFont="1" applyBorder="1" applyAlignment="1">
      <alignment vertical="center"/>
    </xf>
    <xf numFmtId="169" fontId="6" fillId="0" borderId="5" xfId="0" applyNumberFormat="1" applyFont="1" applyBorder="1" applyAlignment="1">
      <alignment vertical="center"/>
    </xf>
    <xf numFmtId="169" fontId="3" fillId="0" borderId="5" xfId="0" applyNumberFormat="1" applyFont="1" applyBorder="1" applyAlignment="1">
      <alignment vertical="center"/>
    </xf>
    <xf numFmtId="169" fontId="6" fillId="0" borderId="4" xfId="2" applyNumberFormat="1" applyFont="1" applyFill="1" applyBorder="1" applyAlignment="1">
      <alignment vertical="center"/>
    </xf>
    <xf numFmtId="9" fontId="35" fillId="0" borderId="0" xfId="2" applyFont="1" applyFill="1" applyBorder="1" applyAlignment="1">
      <alignment horizontal="center"/>
    </xf>
    <xf numFmtId="165" fontId="7" fillId="0" borderId="0" xfId="1" applyNumberFormat="1" applyFont="1" applyBorder="1" applyAlignment="1">
      <alignment horizontal="center" vertical="center"/>
    </xf>
    <xf numFmtId="169" fontId="6" fillId="0" borderId="4" xfId="1" applyNumberFormat="1" applyFont="1" applyBorder="1" applyAlignment="1">
      <alignment horizontal="center" vertical="center"/>
    </xf>
    <xf numFmtId="0" fontId="6" fillId="2" borderId="28" xfId="0" applyFont="1" applyFill="1" applyBorder="1" applyAlignment="1">
      <alignment vertical="center"/>
    </xf>
    <xf numFmtId="169" fontId="6" fillId="0" borderId="28" xfId="1" applyNumberFormat="1" applyFont="1" applyBorder="1" applyAlignment="1">
      <alignment horizontal="center" vertical="center"/>
    </xf>
    <xf numFmtId="169" fontId="6" fillId="0" borderId="28" xfId="2" applyNumberFormat="1" applyFont="1" applyFill="1" applyBorder="1" applyAlignment="1">
      <alignment vertical="center"/>
    </xf>
    <xf numFmtId="0" fontId="4" fillId="0" borderId="0" xfId="0" applyFont="1" applyAlignment="1">
      <alignment horizontal="center" vertical="center"/>
    </xf>
    <xf numFmtId="169" fontId="6" fillId="0" borderId="28" xfId="0" applyNumberFormat="1" applyFont="1" applyBorder="1" applyAlignment="1">
      <alignment vertical="center"/>
    </xf>
    <xf numFmtId="0" fontId="6" fillId="0" borderId="4" xfId="0" applyFont="1" applyBorder="1" applyAlignment="1">
      <alignment horizontal="right" vertical="center"/>
    </xf>
    <xf numFmtId="0" fontId="6" fillId="0" borderId="28" xfId="0" applyFont="1" applyBorder="1" applyAlignment="1">
      <alignment horizontal="right" vertical="center"/>
    </xf>
    <xf numFmtId="169" fontId="6" fillId="0" borderId="5" xfId="2" applyNumberFormat="1" applyFont="1" applyFill="1" applyBorder="1" applyAlignment="1">
      <alignment vertical="center"/>
    </xf>
    <xf numFmtId="0" fontId="6" fillId="0" borderId="5" xfId="0" applyFont="1" applyBorder="1" applyAlignment="1">
      <alignment horizontal="right" vertical="center"/>
    </xf>
    <xf numFmtId="0" fontId="4" fillId="9" borderId="31" xfId="0" applyFont="1" applyFill="1" applyBorder="1" applyAlignment="1">
      <alignment horizontal="center" vertical="center" wrapText="1"/>
    </xf>
    <xf numFmtId="0" fontId="42" fillId="2" borderId="5" xfId="0" applyFont="1" applyFill="1" applyBorder="1" applyAlignment="1">
      <alignment vertical="center"/>
    </xf>
    <xf numFmtId="169" fontId="24" fillId="0" borderId="5" xfId="1" applyNumberFormat="1" applyFont="1" applyBorder="1" applyAlignment="1">
      <alignment horizontal="center" vertical="center"/>
    </xf>
    <xf numFmtId="9" fontId="24" fillId="2" borderId="5" xfId="2" applyFont="1" applyFill="1" applyBorder="1" applyAlignment="1">
      <alignment horizontal="center" vertical="center"/>
    </xf>
    <xf numFmtId="0" fontId="42" fillId="2" borderId="4" xfId="0" applyFont="1" applyFill="1" applyBorder="1" applyAlignment="1">
      <alignment vertical="center"/>
    </xf>
    <xf numFmtId="169" fontId="24" fillId="0" borderId="4" xfId="1" applyNumberFormat="1" applyFont="1" applyBorder="1" applyAlignment="1">
      <alignment horizontal="center" vertical="center"/>
    </xf>
    <xf numFmtId="0" fontId="42" fillId="2" borderId="28" xfId="0" applyFont="1" applyFill="1" applyBorder="1" applyAlignment="1">
      <alignment vertical="center"/>
    </xf>
    <xf numFmtId="169" fontId="24" fillId="0" borderId="28" xfId="1" applyNumberFormat="1" applyFont="1" applyBorder="1" applyAlignment="1">
      <alignment horizontal="center" vertical="center"/>
    </xf>
    <xf numFmtId="9" fontId="24" fillId="2" borderId="28" xfId="2" applyFont="1" applyFill="1" applyBorder="1" applyAlignment="1">
      <alignment horizontal="center" vertical="center"/>
    </xf>
    <xf numFmtId="0" fontId="24" fillId="0" borderId="0" xfId="0" applyFont="1" applyAlignment="1">
      <alignment horizontal="center" vertical="center"/>
    </xf>
    <xf numFmtId="0" fontId="43" fillId="0" borderId="0" xfId="0" applyFont="1" applyAlignment="1">
      <alignment horizontal="left"/>
    </xf>
    <xf numFmtId="0" fontId="43" fillId="0" borderId="0" xfId="0" applyFont="1"/>
    <xf numFmtId="169" fontId="6" fillId="0" borderId="9" xfId="0" applyNumberFormat="1" applyFont="1" applyBorder="1"/>
    <xf numFmtId="0" fontId="46" fillId="0" borderId="0" xfId="0" applyFont="1"/>
    <xf numFmtId="0" fontId="47" fillId="0" borderId="0" xfId="0" applyFont="1"/>
    <xf numFmtId="0" fontId="45" fillId="0" borderId="0" xfId="0" applyFont="1" applyAlignment="1">
      <alignment vertical="center"/>
    </xf>
    <xf numFmtId="0" fontId="29" fillId="0" borderId="0" xfId="0" applyFont="1" applyAlignment="1">
      <alignment vertical="center"/>
    </xf>
    <xf numFmtId="0" fontId="45" fillId="0" borderId="0" xfId="0" applyFont="1" applyAlignment="1">
      <alignment vertical="center" wrapText="1"/>
    </xf>
    <xf numFmtId="0" fontId="45" fillId="0" borderId="0" xfId="0" applyFont="1"/>
    <xf numFmtId="0" fontId="45" fillId="0" borderId="0" xfId="0" applyFont="1" applyAlignment="1">
      <alignment wrapText="1"/>
    </xf>
    <xf numFmtId="0" fontId="29" fillId="0" borderId="0" xfId="0" applyFont="1" applyAlignment="1">
      <alignment wrapText="1"/>
    </xf>
    <xf numFmtId="0" fontId="49" fillId="0" borderId="0" xfId="0" applyFont="1"/>
    <xf numFmtId="0" fontId="49" fillId="0" borderId="0" xfId="0" applyFont="1" applyAlignment="1">
      <alignment horizontal="center"/>
    </xf>
    <xf numFmtId="0" fontId="49" fillId="0" borderId="0" xfId="0" applyFont="1" applyAlignment="1">
      <alignment horizontal="center" vertical="center"/>
    </xf>
    <xf numFmtId="0" fontId="51" fillId="5" borderId="19" xfId="0" applyFont="1" applyFill="1" applyBorder="1" applyAlignment="1">
      <alignment horizontal="center" wrapText="1"/>
    </xf>
    <xf numFmtId="0" fontId="51" fillId="5" borderId="11" xfId="0" applyFont="1" applyFill="1" applyBorder="1" applyAlignment="1">
      <alignment horizontal="center" wrapText="1"/>
    </xf>
    <xf numFmtId="0" fontId="51" fillId="5" borderId="20" xfId="0" applyFont="1" applyFill="1" applyBorder="1" applyAlignment="1">
      <alignment horizontal="center" wrapText="1"/>
    </xf>
    <xf numFmtId="0" fontId="51" fillId="5" borderId="17" xfId="0" applyFont="1" applyFill="1" applyBorder="1" applyAlignment="1">
      <alignment horizontal="center"/>
    </xf>
    <xf numFmtId="0" fontId="51" fillId="5" borderId="0" xfId="0" applyFont="1" applyFill="1" applyAlignment="1">
      <alignment horizontal="center"/>
    </xf>
    <xf numFmtId="0" fontId="51" fillId="5" borderId="9" xfId="0" applyFont="1" applyFill="1" applyBorder="1" applyAlignment="1">
      <alignment horizontal="center"/>
    </xf>
    <xf numFmtId="0" fontId="51" fillId="5" borderId="18" xfId="0" applyFont="1" applyFill="1" applyBorder="1" applyAlignment="1">
      <alignment horizontal="center"/>
    </xf>
    <xf numFmtId="0" fontId="49" fillId="0" borderId="19" xfId="0" applyFont="1" applyBorder="1" applyAlignment="1">
      <alignment horizontal="center"/>
    </xf>
    <xf numFmtId="0" fontId="49" fillId="0" borderId="11" xfId="0" applyFont="1" applyBorder="1" applyAlignment="1">
      <alignment horizontal="center"/>
    </xf>
    <xf numFmtId="0" fontId="49" fillId="0" borderId="11" xfId="0" applyFont="1" applyBorder="1"/>
    <xf numFmtId="6" fontId="49" fillId="0" borderId="0" xfId="0" applyNumberFormat="1" applyFont="1" applyAlignment="1">
      <alignment horizontal="center" wrapText="1"/>
    </xf>
    <xf numFmtId="0" fontId="49" fillId="0" borderId="17" xfId="0" applyFont="1" applyBorder="1" applyAlignment="1">
      <alignment horizontal="center"/>
    </xf>
    <xf numFmtId="2" fontId="49" fillId="0" borderId="0" xfId="0" applyNumberFormat="1" applyFont="1" applyAlignment="1">
      <alignment horizontal="center" wrapText="1"/>
    </xf>
    <xf numFmtId="10" fontId="49" fillId="0" borderId="0" xfId="2" applyNumberFormat="1" applyFont="1" applyBorder="1" applyAlignment="1">
      <alignment horizontal="center" wrapText="1"/>
    </xf>
    <xf numFmtId="2" fontId="49" fillId="0" borderId="18" xfId="2" applyNumberFormat="1" applyFont="1" applyBorder="1" applyAlignment="1">
      <alignment horizontal="center" wrapText="1"/>
    </xf>
    <xf numFmtId="0" fontId="49" fillId="0" borderId="0" xfId="0" applyFont="1" applyAlignment="1">
      <alignment wrapText="1"/>
    </xf>
    <xf numFmtId="0" fontId="49" fillId="0" borderId="17" xfId="0" applyFont="1" applyBorder="1" applyAlignment="1">
      <alignment horizontal="center" wrapText="1"/>
    </xf>
    <xf numFmtId="0" fontId="49" fillId="0" borderId="15" xfId="0" applyFont="1" applyBorder="1"/>
    <xf numFmtId="0" fontId="49" fillId="0" borderId="9" xfId="0" applyFont="1" applyBorder="1"/>
    <xf numFmtId="0" fontId="51" fillId="4" borderId="1" xfId="0" applyFont="1" applyFill="1" applyBorder="1" applyAlignment="1">
      <alignment horizontal="left" vertical="center"/>
    </xf>
    <xf numFmtId="0" fontId="49" fillId="4" borderId="2" xfId="0" applyFont="1" applyFill="1" applyBorder="1" applyAlignment="1">
      <alignment horizontal="left" vertical="center"/>
    </xf>
    <xf numFmtId="0" fontId="52" fillId="4" borderId="2" xfId="0" applyFont="1" applyFill="1" applyBorder="1" applyAlignment="1">
      <alignment horizontal="left" vertical="center"/>
    </xf>
    <xf numFmtId="167" fontId="52" fillId="4" borderId="2" xfId="0" applyNumberFormat="1" applyFont="1" applyFill="1" applyBorder="1" applyAlignment="1">
      <alignment horizontal="left" vertical="center"/>
    </xf>
    <xf numFmtId="0" fontId="52" fillId="4" borderId="3" xfId="0" applyFont="1" applyFill="1" applyBorder="1" applyAlignment="1">
      <alignment horizontal="left" vertical="center"/>
    </xf>
    <xf numFmtId="0" fontId="52" fillId="0" borderId="0" xfId="0" applyFont="1" applyAlignment="1">
      <alignment horizontal="center"/>
    </xf>
    <xf numFmtId="169" fontId="52" fillId="0" borderId="0" xfId="0" applyNumberFormat="1" applyFont="1" applyAlignment="1">
      <alignment horizontal="center"/>
    </xf>
    <xf numFmtId="0" fontId="52" fillId="0" borderId="0" xfId="0" applyFont="1"/>
    <xf numFmtId="0" fontId="53" fillId="0" borderId="11" xfId="0" applyFont="1" applyBorder="1"/>
    <xf numFmtId="0" fontId="53" fillId="0" borderId="20" xfId="0" applyFont="1" applyBorder="1"/>
    <xf numFmtId="6" fontId="54" fillId="0" borderId="9" xfId="0" applyNumberFormat="1" applyFont="1" applyBorder="1" applyAlignment="1">
      <alignment horizontal="center" wrapText="1"/>
    </xf>
    <xf numFmtId="6" fontId="54" fillId="0" borderId="16" xfId="0" applyNumberFormat="1" applyFont="1" applyBorder="1" applyAlignment="1">
      <alignment horizontal="center" wrapText="1"/>
    </xf>
    <xf numFmtId="6" fontId="54" fillId="0" borderId="0" xfId="0" applyNumberFormat="1" applyFont="1" applyAlignment="1">
      <alignment horizontal="center" wrapText="1"/>
    </xf>
    <xf numFmtId="0" fontId="50" fillId="8" borderId="12" xfId="0" applyFont="1" applyFill="1" applyBorder="1" applyAlignment="1">
      <alignment vertical="center"/>
    </xf>
    <xf numFmtId="0" fontId="50" fillId="8" borderId="13" xfId="0" applyFont="1" applyFill="1" applyBorder="1" applyAlignment="1">
      <alignment vertical="center"/>
    </xf>
    <xf numFmtId="0" fontId="50" fillId="8" borderId="14" xfId="0" applyFont="1" applyFill="1" applyBorder="1" applyAlignment="1">
      <alignment vertical="center"/>
    </xf>
    <xf numFmtId="0" fontId="51" fillId="0" borderId="17" xfId="0" applyFont="1" applyBorder="1"/>
    <xf numFmtId="0" fontId="55" fillId="0" borderId="0" xfId="0" applyFont="1" applyAlignment="1">
      <alignment horizontal="center"/>
    </xf>
    <xf numFmtId="0" fontId="51" fillId="0" borderId="15" xfId="0" applyFont="1" applyBorder="1"/>
    <xf numFmtId="0" fontId="55" fillId="0" borderId="9" xfId="0" applyFont="1" applyBorder="1" applyAlignment="1">
      <alignment horizontal="center"/>
    </xf>
    <xf numFmtId="0" fontId="55" fillId="0" borderId="0" xfId="0" applyFont="1" applyAlignment="1">
      <alignment horizontal="center" wrapText="1"/>
    </xf>
    <xf numFmtId="0" fontId="44" fillId="5" borderId="12" xfId="0" applyFont="1" applyFill="1" applyBorder="1"/>
    <xf numFmtId="167" fontId="49" fillId="0" borderId="0" xfId="0" applyNumberFormat="1" applyFont="1" applyAlignment="1">
      <alignment horizontal="center"/>
    </xf>
    <xf numFmtId="164" fontId="49" fillId="0" borderId="21" xfId="2" applyNumberFormat="1" applyFont="1" applyBorder="1" applyAlignment="1">
      <alignment horizontal="center"/>
    </xf>
    <xf numFmtId="164" fontId="49" fillId="0" borderId="0" xfId="2" applyNumberFormat="1" applyFont="1" applyFill="1" applyBorder="1" applyAlignment="1">
      <alignment horizontal="center"/>
    </xf>
    <xf numFmtId="0" fontId="49" fillId="0" borderId="21" xfId="0" applyFont="1" applyBorder="1" applyAlignment="1">
      <alignment horizontal="center"/>
    </xf>
    <xf numFmtId="169" fontId="49" fillId="0" borderId="21" xfId="0" applyNumberFormat="1" applyFont="1" applyBorder="1" applyAlignment="1">
      <alignment horizontal="center"/>
    </xf>
    <xf numFmtId="169" fontId="49" fillId="0" borderId="0" xfId="0" applyNumberFormat="1" applyFont="1" applyAlignment="1">
      <alignment horizontal="center"/>
    </xf>
    <xf numFmtId="171" fontId="49" fillId="0" borderId="21" xfId="0" applyNumberFormat="1" applyFont="1" applyBorder="1" applyAlignment="1">
      <alignment horizontal="center"/>
    </xf>
    <xf numFmtId="171" fontId="49" fillId="0" borderId="0" xfId="0" applyNumberFormat="1" applyFont="1" applyAlignment="1">
      <alignment horizontal="center"/>
    </xf>
    <xf numFmtId="9" fontId="49" fillId="0" borderId="21" xfId="0" applyNumberFormat="1" applyFont="1" applyBorder="1" applyAlignment="1">
      <alignment horizontal="center"/>
    </xf>
    <xf numFmtId="9" fontId="49" fillId="0" borderId="0" xfId="0" applyNumberFormat="1" applyFont="1" applyAlignment="1">
      <alignment horizontal="center"/>
    </xf>
    <xf numFmtId="0" fontId="30" fillId="5" borderId="23" xfId="0" applyFont="1" applyFill="1" applyBorder="1" applyAlignment="1">
      <alignment vertical="center"/>
    </xf>
    <xf numFmtId="0" fontId="30" fillId="5" borderId="10" xfId="0" applyFont="1" applyFill="1" applyBorder="1" applyAlignment="1">
      <alignment vertical="center"/>
    </xf>
    <xf numFmtId="0" fontId="45" fillId="5" borderId="24" xfId="0" applyFont="1" applyFill="1" applyBorder="1" applyAlignment="1">
      <alignment vertical="center"/>
    </xf>
    <xf numFmtId="0" fontId="29" fillId="8" borderId="8" xfId="0" applyFont="1" applyFill="1" applyBorder="1" applyAlignment="1">
      <alignment vertical="center"/>
    </xf>
    <xf numFmtId="0" fontId="29" fillId="8" borderId="0" xfId="0" applyFont="1" applyFill="1" applyAlignment="1">
      <alignment vertical="center"/>
    </xf>
    <xf numFmtId="0" fontId="29" fillId="8" borderId="25" xfId="0" applyFont="1" applyFill="1" applyBorder="1" applyAlignment="1">
      <alignment vertical="center"/>
    </xf>
    <xf numFmtId="0" fontId="29" fillId="8" borderId="8" xfId="0" applyFont="1" applyFill="1" applyBorder="1" applyAlignment="1">
      <alignment horizontal="left" vertical="top" wrapText="1"/>
    </xf>
    <xf numFmtId="0" fontId="45" fillId="8" borderId="0" xfId="0" applyFont="1" applyFill="1" applyAlignment="1">
      <alignment vertical="center" wrapText="1"/>
    </xf>
    <xf numFmtId="0" fontId="45" fillId="8" borderId="25" xfId="0" applyFont="1" applyFill="1" applyBorder="1" applyAlignment="1">
      <alignment vertical="center" wrapText="1"/>
    </xf>
    <xf numFmtId="0" fontId="45" fillId="8" borderId="8" xfId="0" applyFont="1" applyFill="1" applyBorder="1"/>
    <xf numFmtId="0" fontId="45" fillId="8" borderId="0" xfId="0" applyFont="1" applyFill="1"/>
    <xf numFmtId="0" fontId="45" fillId="8" borderId="25" xfId="0" applyFont="1" applyFill="1" applyBorder="1"/>
    <xf numFmtId="0" fontId="29" fillId="8" borderId="8" xfId="0" applyFont="1" applyFill="1" applyBorder="1" applyAlignment="1">
      <alignment vertical="top" wrapText="1"/>
    </xf>
    <xf numFmtId="0" fontId="45" fillId="8" borderId="0" xfId="0" applyFont="1" applyFill="1" applyAlignment="1">
      <alignment wrapText="1"/>
    </xf>
    <xf numFmtId="0" fontId="45" fillId="8" borderId="25" xfId="0" applyFont="1" applyFill="1" applyBorder="1" applyAlignment="1">
      <alignment wrapText="1"/>
    </xf>
    <xf numFmtId="0" fontId="46" fillId="8" borderId="0" xfId="0" applyFont="1" applyFill="1" applyAlignment="1">
      <alignment vertical="center"/>
    </xf>
    <xf numFmtId="0" fontId="29" fillId="8" borderId="25" xfId="0" applyFont="1" applyFill="1" applyBorder="1" applyAlignment="1">
      <alignment wrapText="1"/>
    </xf>
    <xf numFmtId="0" fontId="45" fillId="8" borderId="26" xfId="0" applyFont="1" applyFill="1" applyBorder="1"/>
    <xf numFmtId="0" fontId="45" fillId="8" borderId="22" xfId="0" applyFont="1" applyFill="1" applyBorder="1"/>
    <xf numFmtId="0" fontId="45" fillId="8" borderId="27" xfId="0" applyFont="1" applyFill="1" applyBorder="1"/>
    <xf numFmtId="2" fontId="49" fillId="0" borderId="0" xfId="0" applyNumberFormat="1" applyFont="1"/>
    <xf numFmtId="9" fontId="57" fillId="0" borderId="0" xfId="0" applyNumberFormat="1" applyFont="1" applyAlignment="1">
      <alignment horizontal="center"/>
    </xf>
    <xf numFmtId="0" fontId="57" fillId="0" borderId="0" xfId="0" applyFont="1" applyAlignment="1">
      <alignment horizontal="center"/>
    </xf>
    <xf numFmtId="0" fontId="50" fillId="0" borderId="0" xfId="0" applyFont="1" applyAlignment="1">
      <alignment vertical="center"/>
    </xf>
    <xf numFmtId="9" fontId="50" fillId="0" borderId="0" xfId="0" applyNumberFormat="1" applyFont="1" applyAlignment="1">
      <alignment vertical="center"/>
    </xf>
    <xf numFmtId="0" fontId="6" fillId="0" borderId="0" xfId="0" applyFont="1" applyAlignment="1">
      <alignment horizontal="right"/>
    </xf>
    <xf numFmtId="0" fontId="36" fillId="0" borderId="0" xfId="0" applyFont="1" applyAlignment="1">
      <alignment horizontal="center"/>
    </xf>
    <xf numFmtId="0" fontId="6" fillId="0" borderId="0" xfId="0" applyFont="1" applyAlignment="1">
      <alignment horizontal="left" vertical="center"/>
    </xf>
    <xf numFmtId="9" fontId="28" fillId="0" borderId="0" xfId="0" applyNumberFormat="1" applyFont="1" applyAlignment="1">
      <alignment horizontal="center"/>
    </xf>
    <xf numFmtId="0" fontId="49" fillId="0" borderId="17" xfId="0" applyFont="1" applyBorder="1"/>
    <xf numFmtId="0" fontId="3" fillId="8" borderId="0" xfId="0" applyFont="1" applyFill="1"/>
    <xf numFmtId="0" fontId="6" fillId="8" borderId="0" xfId="0" applyFont="1" applyFill="1"/>
    <xf numFmtId="0" fontId="6" fillId="8" borderId="0" xfId="0" applyFont="1" applyFill="1" applyAlignment="1">
      <alignment horizontal="center"/>
    </xf>
    <xf numFmtId="0" fontId="37" fillId="8" borderId="0" xfId="0" applyFont="1" applyFill="1"/>
    <xf numFmtId="0" fontId="22" fillId="8" borderId="0" xfId="0" applyFont="1" applyFill="1" applyAlignment="1">
      <alignment horizontal="center"/>
    </xf>
    <xf numFmtId="169" fontId="6" fillId="8" borderId="0" xfId="0" applyNumberFormat="1" applyFont="1" applyFill="1" applyAlignment="1">
      <alignment horizontal="center"/>
    </xf>
    <xf numFmtId="0" fontId="7" fillId="8" borderId="0" xfId="0" applyFont="1" applyFill="1"/>
    <xf numFmtId="10" fontId="12" fillId="8" borderId="0" xfId="2" applyNumberFormat="1" applyFont="1" applyFill="1"/>
    <xf numFmtId="10" fontId="6" fillId="8" borderId="0" xfId="2" applyNumberFormat="1" applyFont="1" applyFill="1"/>
    <xf numFmtId="169" fontId="36" fillId="8" borderId="0" xfId="0" applyNumberFormat="1" applyFont="1" applyFill="1" applyAlignment="1">
      <alignment horizontal="center"/>
    </xf>
    <xf numFmtId="169" fontId="6" fillId="8" borderId="0" xfId="0" applyNumberFormat="1" applyFont="1" applyFill="1"/>
    <xf numFmtId="169" fontId="6" fillId="8" borderId="0" xfId="2" applyNumberFormat="1" applyFont="1" applyFill="1"/>
    <xf numFmtId="169" fontId="6" fillId="8" borderId="0" xfId="2" applyNumberFormat="1" applyFont="1" applyFill="1" applyBorder="1"/>
    <xf numFmtId="0" fontId="6" fillId="8" borderId="9" xfId="0" applyFont="1" applyFill="1" applyBorder="1"/>
    <xf numFmtId="169" fontId="6" fillId="8" borderId="9" xfId="0" applyNumberFormat="1" applyFont="1" applyFill="1" applyBorder="1"/>
    <xf numFmtId="169" fontId="4" fillId="8" borderId="0" xfId="0" applyNumberFormat="1" applyFont="1" applyFill="1" applyAlignment="1">
      <alignment horizontal="center" vertical="center"/>
    </xf>
    <xf numFmtId="1" fontId="6" fillId="8" borderId="0" xfId="2" applyNumberFormat="1" applyFont="1" applyFill="1" applyBorder="1"/>
    <xf numFmtId="169" fontId="6" fillId="8" borderId="0" xfId="0" applyNumberFormat="1" applyFont="1" applyFill="1" applyAlignment="1">
      <alignment horizontal="right"/>
    </xf>
    <xf numFmtId="0" fontId="6" fillId="8" borderId="0" xfId="0" applyFont="1" applyFill="1" applyAlignment="1">
      <alignment horizontal="left" indent="1"/>
    </xf>
    <xf numFmtId="6" fontId="6" fillId="8" borderId="0" xfId="0" applyNumberFormat="1" applyFont="1" applyFill="1" applyAlignment="1">
      <alignment horizontal="right"/>
    </xf>
    <xf numFmtId="0" fontId="4" fillId="8" borderId="22" xfId="0" applyFont="1" applyFill="1" applyBorder="1" applyAlignment="1">
      <alignment horizontal="right"/>
    </xf>
    <xf numFmtId="0" fontId="6" fillId="8" borderId="22" xfId="0" applyFont="1" applyFill="1" applyBorder="1"/>
    <xf numFmtId="0" fontId="3" fillId="8" borderId="22" xfId="0" applyFont="1" applyFill="1" applyBorder="1" applyAlignment="1">
      <alignment horizontal="center"/>
    </xf>
    <xf numFmtId="10" fontId="6" fillId="8" borderId="22" xfId="2" applyNumberFormat="1" applyFont="1" applyFill="1" applyBorder="1" applyAlignment="1">
      <alignment horizontal="right"/>
    </xf>
    <xf numFmtId="0" fontId="3" fillId="8" borderId="0" xfId="0" applyFont="1" applyFill="1" applyAlignment="1">
      <alignment horizontal="center"/>
    </xf>
    <xf numFmtId="10" fontId="6" fillId="8" borderId="0" xfId="2" applyNumberFormat="1" applyFont="1" applyFill="1" applyBorder="1" applyAlignment="1">
      <alignment horizontal="right"/>
    </xf>
    <xf numFmtId="175" fontId="3" fillId="8" borderId="0" xfId="0" applyNumberFormat="1" applyFont="1" applyFill="1" applyAlignment="1">
      <alignment horizontal="left"/>
    </xf>
    <xf numFmtId="175" fontId="6" fillId="8" borderId="0" xfId="0" applyNumberFormat="1" applyFont="1" applyFill="1" applyAlignment="1">
      <alignment horizontal="left"/>
    </xf>
    <xf numFmtId="41" fontId="6" fillId="8" borderId="0" xfId="0" applyNumberFormat="1" applyFont="1" applyFill="1" applyAlignment="1">
      <alignment horizontal="right" wrapText="1"/>
    </xf>
    <xf numFmtId="174" fontId="32" fillId="8" borderId="0" xfId="1" applyNumberFormat="1" applyFont="1" applyFill="1" applyBorder="1" applyAlignment="1">
      <alignment horizontal="right"/>
    </xf>
    <xf numFmtId="9" fontId="6" fillId="8" borderId="0" xfId="0" applyNumberFormat="1" applyFont="1" applyFill="1" applyAlignment="1">
      <alignment horizontal="right" wrapText="1"/>
    </xf>
    <xf numFmtId="41" fontId="6" fillId="8" borderId="4" xfId="0" applyNumberFormat="1" applyFont="1" applyFill="1" applyBorder="1" applyAlignment="1">
      <alignment horizontal="right" wrapText="1"/>
    </xf>
    <xf numFmtId="175" fontId="6" fillId="8" borderId="0" xfId="0" applyNumberFormat="1" applyFont="1" applyFill="1" applyAlignment="1">
      <alignment horizontal="left" indent="2"/>
    </xf>
    <xf numFmtId="175" fontId="6" fillId="8" borderId="0" xfId="0" applyNumberFormat="1" applyFont="1" applyFill="1" applyAlignment="1">
      <alignment horizontal="right"/>
    </xf>
    <xf numFmtId="175" fontId="6" fillId="8" borderId="0" xfId="0" applyNumberFormat="1" applyFont="1" applyFill="1" applyAlignment="1">
      <alignment horizontal="left" indent="1"/>
    </xf>
    <xf numFmtId="41" fontId="12" fillId="8" borderId="0" xfId="0" applyNumberFormat="1" applyFont="1" applyFill="1" applyAlignment="1">
      <alignment horizontal="right" wrapText="1"/>
    </xf>
    <xf numFmtId="6" fontId="6" fillId="8" borderId="0" xfId="0" applyNumberFormat="1" applyFont="1" applyFill="1" applyAlignment="1">
      <alignment horizontal="right" wrapText="1"/>
    </xf>
    <xf numFmtId="175" fontId="6" fillId="8" borderId="0" xfId="0" applyNumberFormat="1" applyFont="1" applyFill="1" applyAlignment="1">
      <alignment horizontal="right" wrapText="1"/>
    </xf>
    <xf numFmtId="41" fontId="12" fillId="8" borderId="9" xfId="0" applyNumberFormat="1" applyFont="1" applyFill="1" applyBorder="1" applyAlignment="1">
      <alignment horizontal="right" wrapText="1"/>
    </xf>
    <xf numFmtId="6" fontId="6" fillId="8" borderId="9" xfId="0" applyNumberFormat="1" applyFont="1" applyFill="1" applyBorder="1" applyAlignment="1">
      <alignment horizontal="right" wrapText="1"/>
    </xf>
    <xf numFmtId="0" fontId="0" fillId="8" borderId="0" xfId="0" applyFill="1"/>
    <xf numFmtId="175" fontId="6" fillId="8" borderId="22" xfId="0" applyNumberFormat="1" applyFont="1" applyFill="1" applyBorder="1" applyAlignment="1">
      <alignment horizontal="left" indent="1"/>
    </xf>
    <xf numFmtId="0" fontId="0" fillId="8" borderId="22" xfId="0" applyFill="1" applyBorder="1"/>
    <xf numFmtId="6" fontId="6" fillId="8" borderId="22" xfId="0" applyNumberFormat="1" applyFont="1" applyFill="1" applyBorder="1" applyAlignment="1">
      <alignment horizontal="right" wrapText="1"/>
    </xf>
    <xf numFmtId="169" fontId="58" fillId="8" borderId="0" xfId="0" applyNumberFormat="1" applyFont="1" applyFill="1"/>
    <xf numFmtId="9" fontId="59" fillId="0" borderId="0" xfId="0" applyNumberFormat="1" applyFont="1" applyAlignment="1">
      <alignment horizontal="center"/>
    </xf>
    <xf numFmtId="0" fontId="45" fillId="8" borderId="0" xfId="0" applyFont="1" applyFill="1" applyAlignment="1">
      <alignment vertical="top" wrapText="1"/>
    </xf>
    <xf numFmtId="0" fontId="30" fillId="5" borderId="8" xfId="0" applyFont="1" applyFill="1" applyBorder="1" applyAlignment="1">
      <alignment vertical="center"/>
    </xf>
    <xf numFmtId="0" fontId="30" fillId="5" borderId="0" xfId="0" applyFont="1" applyFill="1" applyAlignment="1">
      <alignment vertical="center"/>
    </xf>
    <xf numFmtId="0" fontId="45" fillId="5" borderId="25" xfId="0" applyFont="1" applyFill="1" applyBorder="1" applyAlignment="1">
      <alignment vertical="center"/>
    </xf>
    <xf numFmtId="0" fontId="45" fillId="8" borderId="0" xfId="0" applyFont="1" applyFill="1" applyAlignment="1">
      <alignment horizontal="left" vertical="center"/>
    </xf>
    <xf numFmtId="0" fontId="45" fillId="8" borderId="0" xfId="0" applyFont="1" applyFill="1" applyAlignment="1">
      <alignment horizontal="left" vertical="center" wrapText="1"/>
    </xf>
    <xf numFmtId="165" fontId="0" fillId="0" borderId="0" xfId="1" applyNumberFormat="1" applyFont="1"/>
    <xf numFmtId="9" fontId="24" fillId="6" borderId="5" xfId="0" applyNumberFormat="1" applyFont="1" applyFill="1" applyBorder="1" applyAlignment="1">
      <alignment horizontal="center"/>
    </xf>
    <xf numFmtId="0" fontId="42" fillId="2" borderId="6" xfId="0" applyFont="1" applyFill="1" applyBorder="1" applyAlignment="1">
      <alignment vertical="center"/>
    </xf>
    <xf numFmtId="169" fontId="24" fillId="0" borderId="6" xfId="1" applyNumberFormat="1" applyFont="1" applyBorder="1" applyAlignment="1">
      <alignment horizontal="center" vertical="center"/>
    </xf>
    <xf numFmtId="2" fontId="6" fillId="0" borderId="0" xfId="0" applyNumberFormat="1" applyFont="1" applyAlignment="1">
      <alignment horizontal="right"/>
    </xf>
    <xf numFmtId="6" fontId="6" fillId="8" borderId="0" xfId="0" applyNumberFormat="1" applyFont="1" applyFill="1" applyAlignment="1">
      <alignment horizontal="right" vertical="center" wrapText="1"/>
    </xf>
    <xf numFmtId="0" fontId="56" fillId="0" borderId="0" xfId="0" applyFont="1" applyAlignment="1">
      <alignment horizontal="center" vertical="center" wrapText="1"/>
    </xf>
    <xf numFmtId="164" fontId="51" fillId="0" borderId="17" xfId="2" applyNumberFormat="1" applyFont="1" applyFill="1" applyBorder="1" applyAlignment="1">
      <alignment horizontal="center"/>
    </xf>
    <xf numFmtId="10" fontId="49" fillId="0" borderId="21" xfId="0" applyNumberFormat="1" applyFont="1" applyBorder="1" applyAlignment="1">
      <alignment horizontal="center"/>
    </xf>
    <xf numFmtId="0" fontId="6" fillId="9" borderId="30" xfId="0" applyFont="1" applyFill="1" applyBorder="1" applyAlignment="1">
      <alignment horizontal="center" vertical="center"/>
    </xf>
    <xf numFmtId="0" fontId="6" fillId="9" borderId="7" xfId="0" applyFont="1" applyFill="1" applyBorder="1" applyAlignment="1">
      <alignment horizontal="center" vertical="center" wrapText="1"/>
    </xf>
    <xf numFmtId="0" fontId="61" fillId="0" borderId="0" xfId="0" applyFont="1" applyAlignment="1">
      <alignment vertical="center"/>
    </xf>
    <xf numFmtId="0" fontId="0" fillId="0" borderId="22" xfId="0" applyBorder="1"/>
    <xf numFmtId="0" fontId="6" fillId="0" borderId="25" xfId="0" applyFont="1" applyBorder="1"/>
    <xf numFmtId="0" fontId="62" fillId="0" borderId="0" xfId="0" applyFont="1" applyAlignment="1">
      <alignment vertical="center"/>
    </xf>
    <xf numFmtId="176" fontId="4" fillId="0" borderId="4" xfId="0" applyNumberFormat="1" applyFont="1" applyBorder="1" applyAlignment="1">
      <alignment horizontal="center"/>
    </xf>
    <xf numFmtId="2" fontId="44" fillId="0" borderId="22" xfId="0" applyNumberFormat="1" applyFont="1" applyBorder="1" applyAlignment="1">
      <alignment horizontal="center"/>
    </xf>
    <xf numFmtId="6" fontId="63" fillId="0" borderId="0" xfId="0" applyNumberFormat="1" applyFont="1"/>
    <xf numFmtId="6" fontId="63" fillId="0" borderId="9" xfId="0" applyNumberFormat="1" applyFont="1" applyBorder="1"/>
    <xf numFmtId="0" fontId="51" fillId="0" borderId="0" xfId="0" applyFont="1"/>
    <xf numFmtId="164" fontId="51" fillId="0" borderId="0" xfId="2" applyNumberFormat="1" applyFont="1" applyFill="1" applyBorder="1" applyAlignment="1">
      <alignment horizontal="center"/>
    </xf>
    <xf numFmtId="0" fontId="51" fillId="0" borderId="9" xfId="0" applyFont="1" applyBorder="1" applyAlignment="1">
      <alignment horizontal="center"/>
    </xf>
    <xf numFmtId="0" fontId="55" fillId="5" borderId="14" xfId="0" applyFont="1" applyFill="1" applyBorder="1" applyAlignment="1">
      <alignment horizontal="center"/>
    </xf>
    <xf numFmtId="0" fontId="6" fillId="0" borderId="0" xfId="0" applyFont="1" applyAlignment="1">
      <alignment wrapText="1"/>
    </xf>
    <xf numFmtId="9" fontId="6" fillId="0" borderId="9" xfId="0" applyNumberFormat="1" applyFont="1" applyBorder="1"/>
    <xf numFmtId="9" fontId="64" fillId="0" borderId="0" xfId="0" applyNumberFormat="1" applyFont="1"/>
    <xf numFmtId="6" fontId="6" fillId="8" borderId="0" xfId="0" applyNumberFormat="1" applyFont="1" applyFill="1"/>
    <xf numFmtId="0" fontId="22" fillId="8" borderId="0" xfId="0" applyFont="1" applyFill="1"/>
    <xf numFmtId="0" fontId="8" fillId="0" borderId="10" xfId="0" applyFont="1" applyBorder="1" applyAlignment="1">
      <alignment horizontal="center"/>
    </xf>
    <xf numFmtId="0" fontId="6" fillId="0" borderId="10" xfId="0" applyFont="1" applyBorder="1"/>
    <xf numFmtId="6" fontId="3" fillId="0" borderId="22" xfId="0" applyNumberFormat="1" applyFont="1" applyBorder="1"/>
    <xf numFmtId="1" fontId="24" fillId="0" borderId="0" xfId="0" applyNumberFormat="1" applyFont="1" applyAlignment="1">
      <alignment horizontal="right"/>
    </xf>
    <xf numFmtId="164" fontId="24" fillId="0" borderId="0" xfId="2" applyNumberFormat="1" applyFont="1" applyFill="1" applyBorder="1" applyAlignment="1">
      <alignment horizontal="right"/>
    </xf>
    <xf numFmtId="3" fontId="6" fillId="0" borderId="0" xfId="0" applyNumberFormat="1" applyFont="1" applyAlignment="1">
      <alignment horizontal="right"/>
    </xf>
    <xf numFmtId="0" fontId="24" fillId="0" borderId="0" xfId="0" applyFont="1" applyAlignment="1">
      <alignment horizontal="right"/>
    </xf>
    <xf numFmtId="171" fontId="24" fillId="0" borderId="0" xfId="1" applyNumberFormat="1" applyFont="1" applyFill="1" applyBorder="1" applyAlignment="1">
      <alignment horizontal="right"/>
    </xf>
    <xf numFmtId="6" fontId="24" fillId="0" borderId="0" xfId="0" applyNumberFormat="1" applyFont="1" applyAlignment="1">
      <alignment horizontal="right"/>
    </xf>
    <xf numFmtId="169" fontId="6" fillId="0" borderId="0" xfId="0" applyNumberFormat="1" applyFont="1" applyAlignment="1">
      <alignment horizontal="right"/>
    </xf>
    <xf numFmtId="169" fontId="6" fillId="0" borderId="0" xfId="1" applyNumberFormat="1" applyFont="1" applyFill="1" applyBorder="1" applyAlignment="1">
      <alignment horizontal="right"/>
    </xf>
    <xf numFmtId="2" fontId="24" fillId="0" borderId="0" xfId="2" applyNumberFormat="1" applyFont="1" applyFill="1" applyBorder="1" applyAlignment="1">
      <alignment horizontal="right"/>
    </xf>
    <xf numFmtId="2" fontId="6" fillId="0" borderId="0" xfId="2" applyNumberFormat="1" applyFont="1" applyFill="1" applyBorder="1" applyAlignment="1">
      <alignment horizontal="right"/>
    </xf>
    <xf numFmtId="2" fontId="24" fillId="0" borderId="0" xfId="0" applyNumberFormat="1" applyFont="1" applyAlignment="1">
      <alignment horizontal="center"/>
    </xf>
    <xf numFmtId="9" fontId="24" fillId="0" borderId="0" xfId="2" applyFont="1" applyFill="1" applyBorder="1" applyAlignment="1">
      <alignment horizontal="center"/>
    </xf>
    <xf numFmtId="164" fontId="5" fillId="0" borderId="0" xfId="2" applyNumberFormat="1" applyFont="1" applyFill="1" applyBorder="1" applyAlignment="1">
      <alignment horizontal="center"/>
    </xf>
    <xf numFmtId="171" fontId="6" fillId="0" borderId="0" xfId="1" applyNumberFormat="1" applyFont="1" applyFill="1" applyBorder="1" applyAlignment="1">
      <alignment horizontal="right"/>
    </xf>
    <xf numFmtId="170" fontId="4" fillId="0" borderId="0" xfId="0" applyNumberFormat="1" applyFont="1" applyAlignment="1">
      <alignment horizontal="center"/>
    </xf>
    <xf numFmtId="171" fontId="24" fillId="0" borderId="0" xfId="0" applyNumberFormat="1" applyFont="1" applyAlignment="1">
      <alignment horizontal="right"/>
    </xf>
    <xf numFmtId="2" fontId="24" fillId="0" borderId="0" xfId="0" applyNumberFormat="1" applyFont="1" applyAlignment="1">
      <alignment horizontal="right"/>
    </xf>
    <xf numFmtId="169" fontId="24" fillId="0" borderId="0" xfId="0" applyNumberFormat="1" applyFont="1" applyAlignment="1">
      <alignment horizontal="right"/>
    </xf>
    <xf numFmtId="9" fontId="12" fillId="0" borderId="0" xfId="2" applyFont="1" applyFill="1" applyBorder="1" applyAlignment="1">
      <alignment horizontal="right"/>
    </xf>
    <xf numFmtId="9" fontId="24" fillId="0" borderId="0" xfId="2" applyFont="1" applyFill="1" applyBorder="1" applyAlignment="1">
      <alignment horizontal="right"/>
    </xf>
    <xf numFmtId="10" fontId="24" fillId="0" borderId="0" xfId="2" applyNumberFormat="1" applyFont="1" applyFill="1" applyBorder="1" applyAlignment="1">
      <alignment horizontal="right"/>
    </xf>
    <xf numFmtId="9" fontId="6" fillId="0" borderId="0" xfId="2" applyFont="1" applyFill="1" applyBorder="1" applyAlignment="1">
      <alignment horizontal="right"/>
    </xf>
    <xf numFmtId="9" fontId="5" fillId="0" borderId="0" xfId="2" applyFont="1" applyFill="1" applyBorder="1" applyAlignment="1">
      <alignment horizontal="right"/>
    </xf>
    <xf numFmtId="0" fontId="15" fillId="0" borderId="32" xfId="0" applyFont="1" applyBorder="1" applyAlignment="1">
      <alignment horizontal="center"/>
    </xf>
    <xf numFmtId="10" fontId="4" fillId="0" borderId="0" xfId="2" applyNumberFormat="1" applyFont="1" applyFill="1" applyBorder="1" applyAlignment="1">
      <alignment horizontal="right"/>
    </xf>
    <xf numFmtId="0" fontId="6" fillId="0" borderId="26" xfId="0" applyFont="1" applyBorder="1"/>
    <xf numFmtId="0" fontId="6" fillId="0" borderId="24" xfId="0" applyFont="1" applyBorder="1"/>
    <xf numFmtId="0" fontId="3" fillId="0" borderId="8" xfId="0" applyFont="1" applyBorder="1" applyAlignment="1">
      <alignment horizontal="center"/>
    </xf>
    <xf numFmtId="164" fontId="4" fillId="0" borderId="0" xfId="2" applyNumberFormat="1" applyFont="1" applyAlignment="1">
      <alignment horizontal="center"/>
    </xf>
    <xf numFmtId="174" fontId="3" fillId="0" borderId="0" xfId="5" applyNumberFormat="1" applyFont="1" applyFill="1" applyBorder="1" applyAlignment="1">
      <alignment horizontal="center"/>
    </xf>
    <xf numFmtId="2" fontId="0" fillId="0" borderId="0" xfId="0" applyNumberFormat="1"/>
    <xf numFmtId="9" fontId="4" fillId="0" borderId="0" xfId="2" applyFont="1" applyAlignment="1">
      <alignment horizontal="center"/>
    </xf>
    <xf numFmtId="9" fontId="4" fillId="0" borderId="0" xfId="0" applyNumberFormat="1" applyFont="1" applyAlignment="1">
      <alignment horizontal="center"/>
    </xf>
    <xf numFmtId="0" fontId="22" fillId="0" borderId="0" xfId="0" applyFont="1"/>
    <xf numFmtId="2" fontId="36" fillId="0" borderId="0" xfId="0" applyNumberFormat="1" applyFont="1"/>
    <xf numFmtId="0" fontId="6" fillId="0" borderId="27" xfId="0" applyFont="1" applyBorder="1"/>
    <xf numFmtId="0" fontId="3" fillId="0" borderId="22" xfId="0" applyFont="1" applyBorder="1" applyAlignment="1">
      <alignment horizontal="center"/>
    </xf>
    <xf numFmtId="0" fontId="6" fillId="0" borderId="9" xfId="0" applyFont="1" applyBorder="1" applyAlignment="1">
      <alignment wrapText="1"/>
    </xf>
    <xf numFmtId="0" fontId="66" fillId="0" borderId="19" xfId="0" applyFont="1" applyBorder="1"/>
    <xf numFmtId="0" fontId="66" fillId="0" borderId="20" xfId="0" applyFont="1" applyBorder="1"/>
    <xf numFmtId="6" fontId="66" fillId="0" borderId="17" xfId="0" applyNumberFormat="1" applyFont="1" applyBorder="1" applyAlignment="1">
      <alignment horizontal="center" wrapText="1"/>
    </xf>
    <xf numFmtId="6" fontId="66" fillId="0" borderId="18" xfId="0" applyNumberFormat="1" applyFont="1" applyBorder="1" applyAlignment="1">
      <alignment horizontal="center" wrapText="1"/>
    </xf>
    <xf numFmtId="0" fontId="66" fillId="0" borderId="15" xfId="0" applyFont="1" applyBorder="1"/>
    <xf numFmtId="0" fontId="66" fillId="0" borderId="16" xfId="0" applyFont="1" applyBorder="1"/>
    <xf numFmtId="6" fontId="67" fillId="0" borderId="0" xfId="0" applyNumberFormat="1" applyFont="1"/>
    <xf numFmtId="6" fontId="15" fillId="0" borderId="0" xfId="0" applyNumberFormat="1" applyFont="1"/>
    <xf numFmtId="0" fontId="60" fillId="5" borderId="1" xfId="0" applyFont="1" applyFill="1" applyBorder="1"/>
    <xf numFmtId="0" fontId="6" fillId="5" borderId="3" xfId="0" applyFont="1" applyFill="1" applyBorder="1"/>
    <xf numFmtId="170" fontId="4" fillId="3" borderId="0" xfId="0" applyNumberFormat="1" applyFont="1" applyFill="1" applyAlignment="1">
      <alignment horizontal="center"/>
    </xf>
    <xf numFmtId="0" fontId="6" fillId="3" borderId="0" xfId="0" applyFont="1" applyFill="1"/>
    <xf numFmtId="14" fontId="6" fillId="3" borderId="0" xfId="0" applyNumberFormat="1" applyFont="1" applyFill="1" applyAlignment="1">
      <alignment horizontal="center"/>
    </xf>
    <xf numFmtId="168" fontId="5" fillId="0" borderId="0" xfId="0" applyNumberFormat="1" applyFont="1" applyAlignment="1">
      <alignment horizontal="center"/>
    </xf>
    <xf numFmtId="167" fontId="5" fillId="0" borderId="0" xfId="0" applyNumberFormat="1" applyFont="1" applyAlignment="1">
      <alignment horizontal="center"/>
    </xf>
    <xf numFmtId="169" fontId="5" fillId="0" borderId="0" xfId="1" applyNumberFormat="1" applyFont="1" applyFill="1" applyBorder="1" applyAlignment="1">
      <alignment horizontal="center"/>
    </xf>
    <xf numFmtId="169" fontId="6" fillId="0" borderId="0" xfId="1" applyNumberFormat="1" applyFont="1" applyFill="1" applyBorder="1" applyAlignment="1">
      <alignment horizontal="center"/>
    </xf>
    <xf numFmtId="171" fontId="5" fillId="0" borderId="0" xfId="1" applyNumberFormat="1" applyFont="1" applyFill="1" applyBorder="1" applyAlignment="1">
      <alignment horizontal="center"/>
    </xf>
    <xf numFmtId="164" fontId="5" fillId="3" borderId="0" xfId="2" applyNumberFormat="1" applyFont="1" applyFill="1" applyBorder="1" applyAlignment="1">
      <alignment horizontal="center"/>
    </xf>
    <xf numFmtId="0" fontId="3" fillId="3" borderId="0" xfId="0" applyFont="1" applyFill="1" applyAlignment="1">
      <alignment horizontal="center"/>
    </xf>
    <xf numFmtId="9" fontId="5" fillId="0" borderId="0" xfId="2" applyFont="1" applyFill="1" applyBorder="1" applyAlignment="1">
      <alignment horizontal="center"/>
    </xf>
    <xf numFmtId="0" fontId="8" fillId="5" borderId="10" xfId="0" applyFont="1" applyFill="1" applyBorder="1" applyAlignment="1">
      <alignment vertical="center"/>
    </xf>
    <xf numFmtId="0" fontId="62" fillId="5" borderId="10" xfId="0" applyFont="1" applyFill="1" applyBorder="1" applyAlignment="1">
      <alignment vertical="center"/>
    </xf>
    <xf numFmtId="0" fontId="62" fillId="5" borderId="24" xfId="0" applyFont="1" applyFill="1" applyBorder="1" applyAlignment="1">
      <alignment vertical="center"/>
    </xf>
    <xf numFmtId="0" fontId="49" fillId="0" borderId="6" xfId="0" applyFont="1" applyBorder="1" applyAlignment="1">
      <alignment horizontal="center"/>
    </xf>
    <xf numFmtId="1" fontId="0" fillId="0" borderId="0" xfId="0" applyNumberFormat="1"/>
    <xf numFmtId="10" fontId="6" fillId="8" borderId="0" xfId="2" applyNumberFormat="1" applyFont="1" applyFill="1" applyAlignment="1">
      <alignment horizontal="right" wrapText="1"/>
    </xf>
    <xf numFmtId="6" fontId="22" fillId="8" borderId="0" xfId="0" applyNumberFormat="1" applyFont="1" applyFill="1" applyAlignment="1">
      <alignment horizontal="center" wrapText="1"/>
    </xf>
    <xf numFmtId="178" fontId="6" fillId="8" borderId="0" xfId="0" applyNumberFormat="1" applyFont="1" applyFill="1" applyAlignment="1">
      <alignment horizontal="center" wrapText="1"/>
    </xf>
    <xf numFmtId="1" fontId="24" fillId="8" borderId="0" xfId="0" applyNumberFormat="1" applyFont="1" applyFill="1" applyAlignment="1">
      <alignment horizontal="right" wrapText="1"/>
    </xf>
    <xf numFmtId="178" fontId="6" fillId="8" borderId="0" xfId="0" applyNumberFormat="1" applyFont="1" applyFill="1" applyAlignment="1">
      <alignment horizontal="right" wrapText="1"/>
    </xf>
    <xf numFmtId="1" fontId="0" fillId="8" borderId="22" xfId="0" applyNumberFormat="1" applyFill="1" applyBorder="1"/>
    <xf numFmtId="175" fontId="3" fillId="8" borderId="0" xfId="0" applyNumberFormat="1" applyFont="1" applyFill="1" applyAlignment="1">
      <alignment horizontal="left" indent="1"/>
    </xf>
    <xf numFmtId="176" fontId="4" fillId="0" borderId="0" xfId="0" applyNumberFormat="1" applyFont="1" applyAlignment="1">
      <alignment horizontal="center"/>
    </xf>
    <xf numFmtId="1" fontId="43" fillId="0" borderId="0" xfId="0" applyNumberFormat="1" applyFont="1" applyAlignment="1">
      <alignment horizontal="center"/>
    </xf>
    <xf numFmtId="0" fontId="69" fillId="5" borderId="4" xfId="0" applyFont="1" applyFill="1" applyBorder="1" applyAlignment="1">
      <alignment horizontal="center"/>
    </xf>
    <xf numFmtId="0" fontId="69" fillId="5" borderId="6" xfId="0" applyFont="1" applyFill="1" applyBorder="1" applyAlignment="1">
      <alignment horizontal="center"/>
    </xf>
    <xf numFmtId="2" fontId="16" fillId="5" borderId="5" xfId="0" applyNumberFormat="1" applyFont="1" applyFill="1" applyBorder="1" applyAlignment="1">
      <alignment horizontal="center"/>
    </xf>
    <xf numFmtId="0" fontId="70" fillId="0" borderId="0" xfId="0" applyFont="1"/>
    <xf numFmtId="0" fontId="21" fillId="5" borderId="2" xfId="0" applyFont="1" applyFill="1" applyBorder="1" applyAlignment="1">
      <alignment horizontal="center"/>
    </xf>
    <xf numFmtId="0" fontId="22" fillId="0" borderId="0" xfId="0" applyFont="1" applyAlignment="1">
      <alignment horizontal="center"/>
    </xf>
    <xf numFmtId="0" fontId="6" fillId="4" borderId="0" xfId="0" applyFont="1" applyFill="1"/>
    <xf numFmtId="0" fontId="3" fillId="4" borderId="0" xfId="0" applyFont="1" applyFill="1" applyAlignment="1">
      <alignment horizontal="center"/>
    </xf>
    <xf numFmtId="0" fontId="6" fillId="4" borderId="23" xfId="0" applyFont="1" applyFill="1" applyBorder="1"/>
    <xf numFmtId="0" fontId="6" fillId="4" borderId="10" xfId="0" applyFont="1" applyFill="1" applyBorder="1"/>
    <xf numFmtId="0" fontId="3" fillId="4" borderId="10" xfId="0" applyFont="1" applyFill="1" applyBorder="1" applyAlignment="1">
      <alignment horizontal="center"/>
    </xf>
    <xf numFmtId="0" fontId="6" fillId="4" borderId="24" xfId="0" applyFont="1" applyFill="1" applyBorder="1"/>
    <xf numFmtId="0" fontId="6" fillId="4" borderId="8" xfId="0" applyFont="1" applyFill="1" applyBorder="1"/>
    <xf numFmtId="0" fontId="71" fillId="4" borderId="0" xfId="0" applyFont="1" applyFill="1"/>
    <xf numFmtId="0" fontId="6" fillId="4" borderId="25" xfId="0" applyFont="1" applyFill="1" applyBorder="1"/>
    <xf numFmtId="0" fontId="6" fillId="4" borderId="26" xfId="0" applyFont="1" applyFill="1" applyBorder="1"/>
    <xf numFmtId="0" fontId="6" fillId="4" borderId="22" xfId="0" applyFont="1" applyFill="1" applyBorder="1"/>
    <xf numFmtId="0" fontId="71" fillId="4" borderId="22" xfId="0" applyFont="1" applyFill="1" applyBorder="1"/>
    <xf numFmtId="0" fontId="3" fillId="4" borderId="22" xfId="0" applyFont="1" applyFill="1" applyBorder="1" applyAlignment="1">
      <alignment horizontal="center"/>
    </xf>
    <xf numFmtId="0" fontId="6" fillId="4" borderId="27" xfId="0" applyFont="1" applyFill="1" applyBorder="1"/>
    <xf numFmtId="0" fontId="60" fillId="4" borderId="10" xfId="0" applyFont="1" applyFill="1" applyBorder="1"/>
    <xf numFmtId="9" fontId="9" fillId="0" borderId="0" xfId="0" applyNumberFormat="1" applyFont="1" applyAlignment="1">
      <alignment horizontal="left"/>
    </xf>
    <xf numFmtId="0" fontId="16" fillId="5" borderId="4" xfId="0" applyFont="1" applyFill="1" applyBorder="1" applyAlignment="1">
      <alignment horizontal="center"/>
    </xf>
    <xf numFmtId="164" fontId="24" fillId="0" borderId="4" xfId="2" applyNumberFormat="1" applyFont="1" applyFill="1" applyBorder="1" applyAlignment="1">
      <alignment horizontal="center"/>
    </xf>
    <xf numFmtId="164" fontId="16" fillId="5" borderId="6" xfId="2" applyNumberFormat="1" applyFont="1" applyFill="1" applyBorder="1" applyAlignment="1">
      <alignment horizontal="center"/>
    </xf>
    <xf numFmtId="0" fontId="6" fillId="12" borderId="0" xfId="0" applyFont="1" applyFill="1"/>
    <xf numFmtId="169" fontId="6" fillId="12" borderId="0" xfId="0" applyNumberFormat="1" applyFont="1" applyFill="1" applyAlignment="1">
      <alignment horizontal="center"/>
    </xf>
    <xf numFmtId="170" fontId="4" fillId="12" borderId="0" xfId="0" applyNumberFormat="1" applyFont="1" applyFill="1" applyAlignment="1">
      <alignment horizontal="center"/>
    </xf>
    <xf numFmtId="9" fontId="5" fillId="12" borderId="0" xfId="2" applyFont="1" applyFill="1" applyBorder="1" applyAlignment="1">
      <alignment horizontal="center"/>
    </xf>
    <xf numFmtId="169" fontId="5" fillId="12" borderId="0" xfId="2" applyNumberFormat="1" applyFont="1" applyFill="1" applyBorder="1" applyAlignment="1">
      <alignment horizontal="center"/>
    </xf>
    <xf numFmtId="0" fontId="15" fillId="12" borderId="0" xfId="0" applyFont="1" applyFill="1" applyAlignment="1">
      <alignment horizontal="center"/>
    </xf>
    <xf numFmtId="0" fontId="3" fillId="12" borderId="0" xfId="0" applyFont="1" applyFill="1" applyAlignment="1">
      <alignment horizontal="center"/>
    </xf>
    <xf numFmtId="0" fontId="5" fillId="12" borderId="0" xfId="0" applyFont="1" applyFill="1" applyAlignment="1">
      <alignment horizontal="center"/>
    </xf>
    <xf numFmtId="2" fontId="0" fillId="8" borderId="0" xfId="0" applyNumberFormat="1" applyFill="1"/>
    <xf numFmtId="6" fontId="3" fillId="0" borderId="0" xfId="0" applyNumberFormat="1" applyFont="1" applyAlignment="1">
      <alignment horizontal="center"/>
    </xf>
    <xf numFmtId="0" fontId="3" fillId="0" borderId="33" xfId="0" applyFont="1" applyBorder="1" applyAlignment="1">
      <alignment horizontal="center"/>
    </xf>
    <xf numFmtId="2" fontId="44" fillId="10" borderId="35" xfId="0" applyNumberFormat="1" applyFont="1" applyFill="1" applyBorder="1" applyAlignment="1">
      <alignment horizontal="center"/>
    </xf>
    <xf numFmtId="0" fontId="21" fillId="0" borderId="35" xfId="0" applyFont="1" applyBorder="1" applyAlignment="1">
      <alignment horizontal="center"/>
    </xf>
    <xf numFmtId="0" fontId="55" fillId="0" borderId="13" xfId="0" applyFont="1" applyBorder="1" applyAlignment="1">
      <alignment horizontal="center"/>
    </xf>
    <xf numFmtId="164" fontId="72" fillId="0" borderId="14" xfId="2" applyNumberFormat="1" applyFont="1" applyFill="1" applyBorder="1" applyAlignment="1">
      <alignment horizontal="center"/>
    </xf>
    <xf numFmtId="0" fontId="77" fillId="0" borderId="12" xfId="0" applyFont="1" applyBorder="1"/>
    <xf numFmtId="2" fontId="3" fillId="0" borderId="0" xfId="0" applyNumberFormat="1" applyFont="1" applyAlignment="1">
      <alignment horizontal="center"/>
    </xf>
    <xf numFmtId="1" fontId="81" fillId="0" borderId="0" xfId="0" applyNumberFormat="1" applyFont="1" applyAlignment="1">
      <alignment horizontal="center"/>
    </xf>
    <xf numFmtId="6" fontId="27" fillId="0" borderId="0" xfId="0" applyNumberFormat="1" applyFont="1" applyAlignment="1">
      <alignment horizontal="center"/>
    </xf>
    <xf numFmtId="6" fontId="80" fillId="0" borderId="0" xfId="0" applyNumberFormat="1" applyFont="1"/>
    <xf numFmtId="6" fontId="80" fillId="0" borderId="0" xfId="0" applyNumberFormat="1" applyFont="1" applyAlignment="1">
      <alignment horizontal="center"/>
    </xf>
    <xf numFmtId="1" fontId="80" fillId="0" borderId="0" xfId="0" applyNumberFormat="1" applyFont="1" applyAlignment="1">
      <alignment horizontal="center"/>
    </xf>
    <xf numFmtId="0" fontId="81" fillId="0" borderId="0" xfId="0" applyFont="1"/>
    <xf numFmtId="0" fontId="6" fillId="0" borderId="18" xfId="0" applyFont="1" applyBorder="1"/>
    <xf numFmtId="0" fontId="8" fillId="0" borderId="17" xfId="0" applyFont="1" applyBorder="1" applyAlignment="1">
      <alignment horizontal="center"/>
    </xf>
    <xf numFmtId="0" fontId="6" fillId="0" borderId="34" xfId="0" applyFont="1" applyBorder="1"/>
    <xf numFmtId="0" fontId="4" fillId="0" borderId="34" xfId="0" applyFont="1" applyBorder="1" applyAlignment="1">
      <alignment horizontal="center"/>
    </xf>
    <xf numFmtId="0" fontId="4" fillId="0" borderId="22" xfId="0" applyFont="1" applyBorder="1" applyAlignment="1">
      <alignment horizontal="center"/>
    </xf>
    <xf numFmtId="0" fontId="15" fillId="0" borderId="34" xfId="0" applyFont="1" applyBorder="1" applyAlignment="1">
      <alignment horizontal="center"/>
    </xf>
    <xf numFmtId="0" fontId="51" fillId="5" borderId="1" xfId="0" applyFont="1" applyFill="1" applyBorder="1"/>
    <xf numFmtId="0" fontId="55" fillId="5" borderId="2" xfId="0" applyFont="1" applyFill="1" applyBorder="1" applyAlignment="1">
      <alignment horizontal="center"/>
    </xf>
    <xf numFmtId="0" fontId="72" fillId="7" borderId="7" xfId="0" applyFont="1" applyFill="1" applyBorder="1" applyAlignment="1">
      <alignment horizontal="center"/>
    </xf>
    <xf numFmtId="1" fontId="28" fillId="0" borderId="5" xfId="0" applyNumberFormat="1" applyFont="1" applyBorder="1" applyAlignment="1">
      <alignment horizontal="center"/>
    </xf>
    <xf numFmtId="2" fontId="24" fillId="0" borderId="5" xfId="0" applyNumberFormat="1" applyFont="1" applyBorder="1" applyAlignment="1">
      <alignment horizontal="center"/>
    </xf>
    <xf numFmtId="1" fontId="28" fillId="0" borderId="4" xfId="0" applyNumberFormat="1" applyFont="1" applyBorder="1" applyAlignment="1">
      <alignment horizontal="center"/>
    </xf>
    <xf numFmtId="2" fontId="24" fillId="0" borderId="4" xfId="0" applyNumberFormat="1" applyFont="1" applyBorder="1" applyAlignment="1">
      <alignment horizontal="center"/>
    </xf>
    <xf numFmtId="164" fontId="82" fillId="3" borderId="6" xfId="2" applyNumberFormat="1" applyFont="1" applyFill="1" applyBorder="1" applyAlignment="1">
      <alignment horizontal="center" vertical="center" wrapText="1"/>
    </xf>
    <xf numFmtId="3" fontId="3" fillId="5" borderId="6" xfId="0" applyNumberFormat="1" applyFont="1" applyFill="1" applyBorder="1" applyAlignment="1">
      <alignment horizontal="left"/>
    </xf>
    <xf numFmtId="0" fontId="6" fillId="0" borderId="23" xfId="0" applyFont="1" applyBorder="1"/>
    <xf numFmtId="0" fontId="59" fillId="0" borderId="10" xfId="0" applyFont="1" applyBorder="1" applyAlignment="1">
      <alignment horizontal="center" vertical="center" wrapText="1"/>
    </xf>
    <xf numFmtId="0" fontId="3" fillId="0" borderId="10" xfId="0" applyFont="1" applyBorder="1" applyAlignment="1">
      <alignment horizontal="center"/>
    </xf>
    <xf numFmtId="0" fontId="6" fillId="12" borderId="10" xfId="0" applyFont="1" applyFill="1" applyBorder="1"/>
    <xf numFmtId="0" fontId="24" fillId="0" borderId="10" xfId="0" applyFont="1" applyBorder="1" applyAlignment="1">
      <alignment horizontal="center" vertical="center" wrapText="1"/>
    </xf>
    <xf numFmtId="0" fontId="24" fillId="0" borderId="24" xfId="0" applyFont="1" applyBorder="1" applyAlignment="1">
      <alignment horizontal="center" vertical="center" wrapText="1"/>
    </xf>
    <xf numFmtId="0" fontId="24" fillId="0" borderId="25" xfId="0" applyFont="1" applyBorder="1" applyAlignment="1">
      <alignment horizontal="center" vertical="center"/>
    </xf>
    <xf numFmtId="166" fontId="11" fillId="0" borderId="25" xfId="0" applyNumberFormat="1" applyFont="1" applyBorder="1" applyAlignment="1">
      <alignment horizontal="center"/>
    </xf>
    <xf numFmtId="1" fontId="43" fillId="0" borderId="25" xfId="0" applyNumberFormat="1" applyFont="1" applyBorder="1" applyAlignment="1">
      <alignment horizontal="center"/>
    </xf>
    <xf numFmtId="1" fontId="43" fillId="0" borderId="25" xfId="0" applyNumberFormat="1" applyFont="1" applyBorder="1" applyAlignment="1">
      <alignment horizontal="left"/>
    </xf>
    <xf numFmtId="0" fontId="27" fillId="0" borderId="22" xfId="0" applyFont="1" applyBorder="1"/>
    <xf numFmtId="3" fontId="3" fillId="5" borderId="34" xfId="0" applyNumberFormat="1" applyFont="1" applyFill="1" applyBorder="1" applyAlignment="1">
      <alignment horizontal="left"/>
    </xf>
    <xf numFmtId="2" fontId="6" fillId="0" borderId="0" xfId="0" applyNumberFormat="1" applyFont="1" applyAlignment="1">
      <alignment horizontal="center"/>
    </xf>
    <xf numFmtId="2" fontId="70" fillId="0" borderId="0" xfId="2" applyNumberFormat="1" applyFont="1" applyFill="1" applyBorder="1" applyAlignment="1">
      <alignment horizontal="right"/>
    </xf>
    <xf numFmtId="0" fontId="51" fillId="13" borderId="12" xfId="0" applyFont="1" applyFill="1" applyBorder="1" applyAlignment="1">
      <alignment wrapText="1"/>
    </xf>
    <xf numFmtId="0" fontId="55" fillId="13" borderId="14" xfId="0" applyFont="1" applyFill="1" applyBorder="1" applyAlignment="1">
      <alignment horizontal="center"/>
    </xf>
    <xf numFmtId="0" fontId="51" fillId="13" borderId="17" xfId="0" applyFont="1" applyFill="1" applyBorder="1" applyAlignment="1">
      <alignment wrapText="1"/>
    </xf>
    <xf numFmtId="0" fontId="55" fillId="13" borderId="0" xfId="0" applyFont="1" applyFill="1" applyAlignment="1">
      <alignment horizontal="center"/>
    </xf>
    <xf numFmtId="166" fontId="21" fillId="5" borderId="3" xfId="0" applyNumberFormat="1" applyFont="1" applyFill="1" applyBorder="1" applyAlignment="1">
      <alignment horizontal="center"/>
    </xf>
    <xf numFmtId="0" fontId="3" fillId="0" borderId="14" xfId="0" applyFont="1" applyBorder="1" applyAlignment="1">
      <alignment horizontal="center"/>
    </xf>
    <xf numFmtId="169" fontId="4" fillId="8" borderId="0" xfId="0" applyNumberFormat="1" applyFont="1" applyFill="1" applyAlignment="1">
      <alignment horizontal="center"/>
    </xf>
    <xf numFmtId="9" fontId="6" fillId="8" borderId="0" xfId="2" applyFont="1" applyFill="1" applyAlignment="1">
      <alignment horizontal="center"/>
    </xf>
    <xf numFmtId="169" fontId="3" fillId="8" borderId="0" xfId="0" applyNumberFormat="1" applyFont="1" applyFill="1" applyAlignment="1">
      <alignment horizontal="center"/>
    </xf>
    <xf numFmtId="0" fontId="15" fillId="0" borderId="5" xfId="0" applyFont="1" applyBorder="1" applyAlignment="1">
      <alignment horizontal="center"/>
    </xf>
    <xf numFmtId="0" fontId="21" fillId="5" borderId="1" xfId="0" applyFont="1" applyFill="1" applyBorder="1"/>
    <xf numFmtId="0" fontId="15" fillId="0" borderId="39" xfId="0" applyFont="1" applyBorder="1" applyAlignment="1">
      <alignment horizontal="center"/>
    </xf>
    <xf numFmtId="3" fontId="3" fillId="5" borderId="6" xfId="0" applyNumberFormat="1" applyFont="1" applyFill="1" applyBorder="1" applyAlignment="1">
      <alignment horizontal="center"/>
    </xf>
    <xf numFmtId="0" fontId="15" fillId="0" borderId="40" xfId="0" applyFont="1" applyBorder="1" applyAlignment="1">
      <alignment horizontal="center" vertical="center"/>
    </xf>
    <xf numFmtId="10" fontId="3" fillId="11" borderId="3" xfId="2" applyNumberFormat="1" applyFont="1" applyFill="1" applyBorder="1" applyAlignment="1">
      <alignment horizontal="center" vertical="center"/>
    </xf>
    <xf numFmtId="0" fontId="3" fillId="11" borderId="23" xfId="0" applyFont="1" applyFill="1" applyBorder="1" applyAlignment="1">
      <alignment horizontal="left" vertical="center" wrapText="1"/>
    </xf>
    <xf numFmtId="0" fontId="3" fillId="11" borderId="24" xfId="0" applyFont="1" applyFill="1" applyBorder="1" applyAlignment="1">
      <alignment horizontal="left" vertical="center" wrapText="1"/>
    </xf>
    <xf numFmtId="6" fontId="3" fillId="11" borderId="3" xfId="0" applyNumberFormat="1" applyFont="1" applyFill="1" applyBorder="1" applyAlignment="1">
      <alignment horizontal="center"/>
    </xf>
    <xf numFmtId="169" fontId="6" fillId="8" borderId="9" xfId="0" applyNumberFormat="1" applyFont="1" applyFill="1" applyBorder="1" applyAlignment="1">
      <alignment horizontal="center"/>
    </xf>
    <xf numFmtId="9" fontId="6" fillId="8" borderId="9" xfId="2" applyFont="1" applyFill="1" applyBorder="1" applyAlignment="1">
      <alignment horizontal="center"/>
    </xf>
    <xf numFmtId="0" fontId="86" fillId="8" borderId="25" xfId="0" applyFont="1" applyFill="1" applyBorder="1" applyAlignment="1">
      <alignment horizontal="center" wrapText="1"/>
    </xf>
    <xf numFmtId="0" fontId="84" fillId="8" borderId="25" xfId="0" applyFont="1" applyFill="1" applyBorder="1" applyAlignment="1">
      <alignment horizontal="center"/>
    </xf>
    <xf numFmtId="0" fontId="45" fillId="8" borderId="25" xfId="0" applyFont="1" applyFill="1" applyBorder="1" applyAlignment="1">
      <alignment horizontal="center" wrapText="1"/>
    </xf>
    <xf numFmtId="0" fontId="45" fillId="12" borderId="25" xfId="0" applyFont="1" applyFill="1" applyBorder="1"/>
    <xf numFmtId="0" fontId="45" fillId="3" borderId="25" xfId="0" applyFont="1" applyFill="1" applyBorder="1"/>
    <xf numFmtId="0" fontId="84" fillId="6" borderId="25" xfId="0" applyFont="1" applyFill="1" applyBorder="1" applyAlignment="1">
      <alignment horizontal="center" wrapText="1"/>
    </xf>
    <xf numFmtId="0" fontId="87" fillId="0" borderId="25" xfId="0" applyFont="1" applyBorder="1" applyAlignment="1">
      <alignment horizontal="center" vertical="center" wrapText="1"/>
    </xf>
    <xf numFmtId="3" fontId="55" fillId="0" borderId="21" xfId="0" applyNumberFormat="1" applyFont="1" applyBorder="1" applyAlignment="1">
      <alignment horizontal="center"/>
    </xf>
    <xf numFmtId="0" fontId="6" fillId="2" borderId="41" xfId="0" applyFont="1" applyFill="1" applyBorder="1"/>
    <xf numFmtId="0" fontId="4" fillId="2" borderId="40" xfId="0" applyFont="1" applyFill="1" applyBorder="1" applyAlignment="1">
      <alignment horizontal="center"/>
    </xf>
    <xf numFmtId="174" fontId="24" fillId="0" borderId="42" xfId="5" applyNumberFormat="1" applyFont="1" applyFill="1" applyBorder="1" applyAlignment="1">
      <alignment horizontal="right"/>
    </xf>
    <xf numFmtId="0" fontId="6" fillId="0" borderId="43" xfId="0" applyFont="1" applyBorder="1"/>
    <xf numFmtId="164" fontId="24" fillId="0" borderId="32" xfId="2" applyNumberFormat="1" applyFont="1" applyFill="1" applyBorder="1" applyAlignment="1">
      <alignment horizontal="right"/>
    </xf>
    <xf numFmtId="0" fontId="6" fillId="2" borderId="44" xfId="0" applyFont="1" applyFill="1" applyBorder="1"/>
    <xf numFmtId="1" fontId="24" fillId="0" borderId="45" xfId="0" applyNumberFormat="1" applyFont="1" applyBorder="1" applyAlignment="1">
      <alignment horizontal="right"/>
    </xf>
    <xf numFmtId="3" fontId="6" fillId="0" borderId="32" xfId="0" applyNumberFormat="1" applyFont="1" applyBorder="1" applyAlignment="1">
      <alignment horizontal="right"/>
    </xf>
    <xf numFmtId="0" fontId="6" fillId="2" borderId="43" xfId="0" applyFont="1" applyFill="1" applyBorder="1"/>
    <xf numFmtId="0" fontId="6" fillId="0" borderId="46" xfId="0" applyFont="1" applyBorder="1"/>
    <xf numFmtId="0" fontId="4" fillId="2" borderId="34" xfId="0" applyFont="1" applyFill="1" applyBorder="1" applyAlignment="1">
      <alignment horizontal="center"/>
    </xf>
    <xf numFmtId="0" fontId="24" fillId="0" borderId="39" xfId="0" applyFont="1" applyBorder="1" applyAlignment="1">
      <alignment horizontal="right"/>
    </xf>
    <xf numFmtId="0" fontId="6" fillId="0" borderId="30" xfId="0" applyFont="1" applyBorder="1"/>
    <xf numFmtId="0" fontId="4" fillId="2" borderId="29" xfId="0" applyFont="1" applyFill="1" applyBorder="1" applyAlignment="1">
      <alignment horizontal="center"/>
    </xf>
    <xf numFmtId="2" fontId="24" fillId="6" borderId="31" xfId="0" applyNumberFormat="1" applyFont="1" applyFill="1" applyBorder="1" applyAlignment="1">
      <alignment horizontal="center"/>
    </xf>
    <xf numFmtId="0" fontId="68" fillId="5" borderId="43" xfId="0" applyFont="1" applyFill="1" applyBorder="1" applyAlignment="1">
      <alignment horizontal="left" indent="1"/>
    </xf>
    <xf numFmtId="6" fontId="16" fillId="5" borderId="32" xfId="0" applyNumberFormat="1" applyFont="1" applyFill="1" applyBorder="1" applyAlignment="1">
      <alignment horizontal="right"/>
    </xf>
    <xf numFmtId="169" fontId="68" fillId="5" borderId="45" xfId="0" applyNumberFormat="1" applyFont="1" applyFill="1" applyBorder="1" applyAlignment="1">
      <alignment horizontal="right"/>
    </xf>
    <xf numFmtId="0" fontId="73" fillId="5" borderId="46" xfId="3" applyFont="1" applyFill="1" applyBorder="1" applyAlignment="1" applyProtection="1"/>
    <xf numFmtId="0" fontId="69" fillId="5" borderId="34" xfId="0" applyFont="1" applyFill="1" applyBorder="1" applyAlignment="1">
      <alignment horizontal="center"/>
    </xf>
    <xf numFmtId="169" fontId="6" fillId="5" borderId="39" xfId="1" applyNumberFormat="1" applyFont="1" applyFill="1" applyBorder="1" applyAlignment="1">
      <alignment horizontal="right"/>
    </xf>
    <xf numFmtId="0" fontId="6" fillId="0" borderId="41" xfId="0" applyFont="1" applyBorder="1"/>
    <xf numFmtId="169" fontId="6" fillId="0" borderId="42" xfId="1" applyNumberFormat="1" applyFont="1" applyFill="1" applyBorder="1" applyAlignment="1">
      <alignment horizontal="right"/>
    </xf>
    <xf numFmtId="171" fontId="6" fillId="0" borderId="39" xfId="1" applyNumberFormat="1" applyFont="1" applyBorder="1" applyAlignment="1">
      <alignment horizontal="right"/>
    </xf>
    <xf numFmtId="0" fontId="4" fillId="0" borderId="40" xfId="0" applyFont="1" applyBorder="1" applyAlignment="1">
      <alignment horizontal="center"/>
    </xf>
    <xf numFmtId="171" fontId="24" fillId="2" borderId="42" xfId="0" applyNumberFormat="1" applyFont="1" applyFill="1" applyBorder="1" applyAlignment="1">
      <alignment horizontal="right"/>
    </xf>
    <xf numFmtId="2" fontId="24" fillId="2" borderId="45" xfId="0" applyNumberFormat="1" applyFont="1" applyFill="1" applyBorder="1" applyAlignment="1">
      <alignment horizontal="right"/>
    </xf>
    <xf numFmtId="0" fontId="6" fillId="0" borderId="43" xfId="0" applyFont="1" applyBorder="1" applyAlignment="1">
      <alignment horizontal="left"/>
    </xf>
    <xf numFmtId="164" fontId="24" fillId="2" borderId="32" xfId="2" applyNumberFormat="1" applyFont="1" applyFill="1" applyBorder="1" applyAlignment="1">
      <alignment horizontal="right"/>
    </xf>
    <xf numFmtId="0" fontId="24" fillId="0" borderId="32" xfId="0" applyFont="1" applyBorder="1" applyAlignment="1">
      <alignment horizontal="right"/>
    </xf>
    <xf numFmtId="0" fontId="6" fillId="0" borderId="46" xfId="0" applyFont="1" applyBorder="1" applyAlignment="1">
      <alignment horizontal="left"/>
    </xf>
    <xf numFmtId="164" fontId="24" fillId="0" borderId="39" xfId="0" applyNumberFormat="1" applyFont="1" applyBorder="1" applyAlignment="1">
      <alignment horizontal="right"/>
    </xf>
    <xf numFmtId="164" fontId="24" fillId="2" borderId="42" xfId="2" applyNumberFormat="1" applyFont="1" applyFill="1" applyBorder="1" applyAlignment="1">
      <alignment horizontal="right"/>
    </xf>
    <xf numFmtId="169" fontId="6" fillId="0" borderId="32" xfId="0" applyNumberFormat="1" applyFont="1" applyBorder="1" applyAlignment="1">
      <alignment horizontal="right"/>
    </xf>
    <xf numFmtId="169" fontId="24" fillId="2" borderId="45" xfId="0" applyNumberFormat="1" applyFont="1" applyFill="1" applyBorder="1" applyAlignment="1">
      <alignment horizontal="right"/>
    </xf>
    <xf numFmtId="164" fontId="24" fillId="2" borderId="45" xfId="2" applyNumberFormat="1" applyFont="1" applyFill="1" applyBorder="1" applyAlignment="1">
      <alignment horizontal="right"/>
    </xf>
    <xf numFmtId="169" fontId="6" fillId="0" borderId="39" xfId="0" applyNumberFormat="1" applyFont="1" applyBorder="1" applyAlignment="1">
      <alignment horizontal="right"/>
    </xf>
    <xf numFmtId="0" fontId="6" fillId="0" borderId="41" xfId="0" applyFont="1" applyBorder="1" applyAlignment="1">
      <alignment horizontal="left"/>
    </xf>
    <xf numFmtId="0" fontId="24" fillId="0" borderId="42" xfId="0" applyFont="1" applyBorder="1" applyAlignment="1">
      <alignment horizontal="right"/>
    </xf>
    <xf numFmtId="9" fontId="24" fillId="2" borderId="42" xfId="2" applyFont="1" applyFill="1" applyBorder="1" applyAlignment="1">
      <alignment horizontal="right"/>
    </xf>
    <xf numFmtId="10" fontId="24" fillId="2" borderId="45" xfId="2" applyNumberFormat="1" applyFont="1" applyFill="1" applyBorder="1" applyAlignment="1">
      <alignment horizontal="right"/>
    </xf>
    <xf numFmtId="0" fontId="6" fillId="2" borderId="46" xfId="0" applyFont="1" applyFill="1" applyBorder="1"/>
    <xf numFmtId="164" fontId="24" fillId="2" borderId="47" xfId="2" applyNumberFormat="1" applyFont="1" applyFill="1" applyBorder="1" applyAlignment="1">
      <alignment horizontal="right"/>
    </xf>
    <xf numFmtId="2" fontId="24" fillId="0" borderId="42" xfId="2" applyNumberFormat="1" applyFont="1" applyFill="1" applyBorder="1" applyAlignment="1">
      <alignment horizontal="right"/>
    </xf>
    <xf numFmtId="2" fontId="6" fillId="0" borderId="32" xfId="2" applyNumberFormat="1" applyFont="1" applyFill="1" applyBorder="1" applyAlignment="1">
      <alignment horizontal="right"/>
    </xf>
    <xf numFmtId="2" fontId="3" fillId="12" borderId="32" xfId="2" applyNumberFormat="1" applyFont="1" applyFill="1" applyBorder="1" applyAlignment="1">
      <alignment horizontal="right"/>
    </xf>
    <xf numFmtId="2" fontId="24" fillId="0" borderId="32" xfId="2" applyNumberFormat="1" applyFont="1" applyFill="1" applyBorder="1" applyAlignment="1">
      <alignment horizontal="right"/>
    </xf>
    <xf numFmtId="2" fontId="3" fillId="12" borderId="39" xfId="2" applyNumberFormat="1" applyFont="1" applyFill="1" applyBorder="1" applyAlignment="1">
      <alignment horizontal="right"/>
    </xf>
    <xf numFmtId="9" fontId="6" fillId="2" borderId="42" xfId="2" applyFont="1" applyFill="1" applyBorder="1" applyAlignment="1">
      <alignment horizontal="right"/>
    </xf>
    <xf numFmtId="0" fontId="6" fillId="0" borderId="48" xfId="0" applyFont="1" applyBorder="1"/>
    <xf numFmtId="10" fontId="24" fillId="2" borderId="47" xfId="2" applyNumberFormat="1" applyFont="1" applyFill="1" applyBorder="1" applyAlignment="1">
      <alignment horizontal="right"/>
    </xf>
    <xf numFmtId="10" fontId="6" fillId="2" borderId="42" xfId="2" applyNumberFormat="1" applyFont="1" applyFill="1" applyBorder="1" applyAlignment="1">
      <alignment horizontal="right"/>
    </xf>
    <xf numFmtId="169" fontId="24" fillId="2" borderId="39" xfId="0" applyNumberFormat="1" applyFont="1" applyFill="1" applyBorder="1" applyAlignment="1">
      <alignment horizontal="right"/>
    </xf>
    <xf numFmtId="169" fontId="6" fillId="0" borderId="42" xfId="0" applyNumberFormat="1" applyFont="1" applyBorder="1" applyAlignment="1">
      <alignment horizontal="right"/>
    </xf>
    <xf numFmtId="0" fontId="6" fillId="2" borderId="49" xfId="0" applyFont="1" applyFill="1" applyBorder="1"/>
    <xf numFmtId="0" fontId="3" fillId="0" borderId="48" xfId="0" applyFont="1" applyBorder="1"/>
    <xf numFmtId="0" fontId="4" fillId="2" borderId="51" xfId="0" applyFont="1" applyFill="1" applyBorder="1" applyAlignment="1">
      <alignment horizontal="center"/>
    </xf>
    <xf numFmtId="169" fontId="3" fillId="0" borderId="47" xfId="0" applyNumberFormat="1" applyFont="1" applyBorder="1"/>
    <xf numFmtId="0" fontId="6" fillId="0" borderId="29" xfId="0" applyFont="1" applyBorder="1"/>
    <xf numFmtId="9" fontId="24" fillId="6" borderId="31" xfId="2" applyFont="1" applyFill="1" applyBorder="1" applyAlignment="1">
      <alignment horizontal="center"/>
    </xf>
    <xf numFmtId="164" fontId="24" fillId="0" borderId="42" xfId="2" applyNumberFormat="1" applyFont="1" applyFill="1" applyBorder="1" applyAlignment="1">
      <alignment horizontal="right"/>
    </xf>
    <xf numFmtId="0" fontId="6" fillId="0" borderId="52" xfId="0" applyFont="1" applyBorder="1"/>
    <xf numFmtId="0" fontId="6" fillId="0" borderId="38" xfId="0" applyFont="1" applyBorder="1"/>
    <xf numFmtId="9" fontId="24" fillId="6" borderId="47" xfId="2" applyFont="1" applyFill="1" applyBorder="1" applyAlignment="1">
      <alignment horizontal="center"/>
    </xf>
    <xf numFmtId="0" fontId="6" fillId="0" borderId="53" xfId="0" applyFont="1" applyBorder="1"/>
    <xf numFmtId="0" fontId="4" fillId="2" borderId="54" xfId="0" applyFont="1" applyFill="1" applyBorder="1" applyAlignment="1">
      <alignment horizontal="center"/>
    </xf>
    <xf numFmtId="10" fontId="4" fillId="0" borderId="55" xfId="2" applyNumberFormat="1" applyFont="1" applyFill="1" applyBorder="1" applyAlignment="1">
      <alignment horizontal="right"/>
    </xf>
    <xf numFmtId="0" fontId="4" fillId="0" borderId="39" xfId="0" applyFont="1" applyBorder="1" applyAlignment="1">
      <alignment horizontal="center"/>
    </xf>
    <xf numFmtId="0" fontId="6" fillId="2" borderId="48" xfId="0" applyFont="1" applyFill="1" applyBorder="1"/>
    <xf numFmtId="164" fontId="24" fillId="0" borderId="39" xfId="2" applyNumberFormat="1" applyFont="1" applyFill="1" applyBorder="1" applyAlignment="1">
      <alignment horizontal="right"/>
    </xf>
    <xf numFmtId="0" fontId="68" fillId="5" borderId="41" xfId="0" applyFont="1" applyFill="1" applyBorder="1"/>
    <xf numFmtId="0" fontId="68" fillId="5" borderId="40" xfId="0" applyFont="1" applyFill="1" applyBorder="1"/>
    <xf numFmtId="2" fontId="16" fillId="5" borderId="42" xfId="0" applyNumberFormat="1" applyFont="1" applyFill="1" applyBorder="1" applyAlignment="1">
      <alignment horizontal="center"/>
    </xf>
    <xf numFmtId="0" fontId="68" fillId="5" borderId="43" xfId="0" applyFont="1" applyFill="1" applyBorder="1"/>
    <xf numFmtId="2" fontId="16" fillId="5" borderId="45" xfId="0" applyNumberFormat="1" applyFont="1" applyFill="1" applyBorder="1" applyAlignment="1">
      <alignment horizontal="right"/>
    </xf>
    <xf numFmtId="0" fontId="68" fillId="5" borderId="56" xfId="0" applyFont="1" applyFill="1" applyBorder="1"/>
    <xf numFmtId="164" fontId="16" fillId="5" borderId="57" xfId="2" applyNumberFormat="1" applyFont="1" applyFill="1" applyBorder="1" applyAlignment="1">
      <alignment horizontal="right"/>
    </xf>
    <xf numFmtId="0" fontId="74" fillId="5" borderId="52" xfId="3" applyFont="1" applyFill="1" applyBorder="1" applyAlignment="1" applyProtection="1"/>
    <xf numFmtId="0" fontId="6" fillId="5" borderId="37" xfId="0" applyFont="1" applyFill="1" applyBorder="1"/>
    <xf numFmtId="0" fontId="6" fillId="5" borderId="58" xfId="0" applyFont="1" applyFill="1" applyBorder="1"/>
    <xf numFmtId="9" fontId="24" fillId="6" borderId="42" xfId="2" applyFont="1" applyFill="1" applyBorder="1" applyAlignment="1">
      <alignment horizontal="center"/>
    </xf>
    <xf numFmtId="9" fontId="24" fillId="0" borderId="45" xfId="2" applyFont="1" applyFill="1" applyBorder="1" applyAlignment="1">
      <alignment horizontal="right"/>
    </xf>
    <xf numFmtId="169" fontId="6" fillId="0" borderId="47" xfId="2" applyNumberFormat="1" applyFont="1" applyFill="1" applyBorder="1" applyAlignment="1">
      <alignment horizontal="right"/>
    </xf>
    <xf numFmtId="0" fontId="6" fillId="0" borderId="40" xfId="0" applyFont="1" applyBorder="1"/>
    <xf numFmtId="0" fontId="24" fillId="6" borderId="42" xfId="0" applyFont="1" applyFill="1" applyBorder="1" applyAlignment="1">
      <alignment horizontal="center"/>
    </xf>
    <xf numFmtId="2" fontId="24" fillId="2" borderId="32" xfId="0" applyNumberFormat="1" applyFont="1" applyFill="1" applyBorder="1" applyAlignment="1">
      <alignment horizontal="right"/>
    </xf>
    <xf numFmtId="164" fontId="24" fillId="0" borderId="45" xfId="2" applyNumberFormat="1" applyFont="1" applyFill="1" applyBorder="1" applyAlignment="1">
      <alignment horizontal="right"/>
    </xf>
    <xf numFmtId="0" fontId="3" fillId="0" borderId="41" xfId="0" applyFont="1" applyBorder="1"/>
    <xf numFmtId="6" fontId="24" fillId="0" borderId="42" xfId="0" applyNumberFormat="1" applyFont="1" applyBorder="1" applyAlignment="1">
      <alignment horizontal="right"/>
    </xf>
    <xf numFmtId="9" fontId="24" fillId="0" borderId="32" xfId="2" applyFont="1" applyFill="1" applyBorder="1" applyAlignment="1">
      <alignment horizontal="right"/>
    </xf>
    <xf numFmtId="0" fontId="24" fillId="6" borderId="32" xfId="0" applyFont="1" applyFill="1" applyBorder="1" applyAlignment="1">
      <alignment horizontal="center"/>
    </xf>
    <xf numFmtId="1" fontId="24" fillId="0" borderId="42" xfId="0" applyNumberFormat="1" applyFont="1" applyBorder="1" applyAlignment="1">
      <alignment horizontal="right"/>
    </xf>
    <xf numFmtId="177" fontId="24" fillId="2" borderId="45" xfId="0" applyNumberFormat="1" applyFont="1" applyFill="1" applyBorder="1" applyAlignment="1">
      <alignment horizontal="right"/>
    </xf>
    <xf numFmtId="177" fontId="24" fillId="2" borderId="47" xfId="0" applyNumberFormat="1" applyFont="1" applyFill="1" applyBorder="1" applyAlignment="1">
      <alignment horizontal="right"/>
    </xf>
    <xf numFmtId="0" fontId="21" fillId="0" borderId="60" xfId="0" applyFont="1" applyBorder="1" applyAlignment="1">
      <alignment horizontal="left"/>
    </xf>
    <xf numFmtId="0" fontId="3" fillId="0" borderId="61" xfId="0" applyFont="1" applyBorder="1" applyAlignment="1">
      <alignment horizontal="center"/>
    </xf>
    <xf numFmtId="0" fontId="3" fillId="0" borderId="62" xfId="0" applyFont="1" applyBorder="1" applyAlignment="1">
      <alignment horizontal="center"/>
    </xf>
    <xf numFmtId="0" fontId="6" fillId="0" borderId="63" xfId="0" applyFont="1" applyBorder="1" applyAlignment="1">
      <alignment horizontal="left"/>
    </xf>
    <xf numFmtId="0" fontId="21" fillId="0" borderId="60" xfId="0" applyFont="1" applyBorder="1"/>
    <xf numFmtId="0" fontId="6" fillId="0" borderId="61" xfId="0" applyFont="1" applyBorder="1"/>
    <xf numFmtId="0" fontId="6" fillId="0" borderId="62" xfId="0" applyFont="1" applyBorder="1"/>
    <xf numFmtId="6" fontId="6" fillId="0" borderId="39" xfId="0" applyNumberFormat="1" applyFont="1" applyBorder="1" applyAlignment="1">
      <alignment horizontal="right"/>
    </xf>
    <xf numFmtId="0" fontId="6" fillId="0" borderId="62" xfId="0" applyFont="1" applyBorder="1" applyAlignment="1">
      <alignment horizontal="right"/>
    </xf>
    <xf numFmtId="164" fontId="24" fillId="0" borderId="31" xfId="0" applyNumberFormat="1" applyFont="1" applyBorder="1" applyAlignment="1">
      <alignment horizontal="right"/>
    </xf>
    <xf numFmtId="0" fontId="21" fillId="0" borderId="30" xfId="0" applyFont="1" applyBorder="1" applyAlignment="1">
      <alignment horizontal="left"/>
    </xf>
    <xf numFmtId="0" fontId="3" fillId="0" borderId="30" xfId="0" applyFont="1" applyBorder="1" applyAlignment="1">
      <alignment horizontal="left"/>
    </xf>
    <xf numFmtId="0" fontId="22" fillId="0" borderId="29" xfId="0" applyFont="1" applyBorder="1" applyAlignment="1">
      <alignment horizontal="center"/>
    </xf>
    <xf numFmtId="0" fontId="22" fillId="0" borderId="31" xfId="0" applyFont="1" applyBorder="1" applyAlignment="1">
      <alignment horizontal="center"/>
    </xf>
    <xf numFmtId="0" fontId="6" fillId="0" borderId="30" xfId="0" applyFont="1" applyBorder="1" applyAlignment="1">
      <alignment horizontal="left" indent="1"/>
    </xf>
    <xf numFmtId="164" fontId="24" fillId="0" borderId="29" xfId="2" applyNumberFormat="1" applyFont="1" applyFill="1" applyBorder="1" applyAlignment="1">
      <alignment horizontal="center"/>
    </xf>
    <xf numFmtId="164" fontId="24" fillId="0" borderId="31" xfId="2" applyNumberFormat="1" applyFont="1" applyFill="1" applyBorder="1" applyAlignment="1">
      <alignment horizontal="center"/>
    </xf>
    <xf numFmtId="0" fontId="6" fillId="0" borderId="41" xfId="0" applyFont="1" applyBorder="1" applyAlignment="1">
      <alignment horizontal="left" indent="1"/>
    </xf>
    <xf numFmtId="164" fontId="24" fillId="0" borderId="40" xfId="2" applyNumberFormat="1" applyFont="1" applyFill="1" applyBorder="1" applyAlignment="1">
      <alignment horizontal="center"/>
    </xf>
    <xf numFmtId="164" fontId="24" fillId="0" borderId="42" xfId="2" applyNumberFormat="1" applyFont="1" applyFill="1" applyBorder="1" applyAlignment="1">
      <alignment horizontal="center"/>
    </xf>
    <xf numFmtId="0" fontId="6" fillId="0" borderId="43" xfId="0" applyFont="1" applyBorder="1" applyAlignment="1">
      <alignment horizontal="left" indent="1"/>
    </xf>
    <xf numFmtId="164" fontId="24" fillId="0" borderId="32" xfId="2" applyNumberFormat="1" applyFont="1" applyFill="1" applyBorder="1" applyAlignment="1">
      <alignment horizontal="center"/>
    </xf>
    <xf numFmtId="0" fontId="6" fillId="0" borderId="46" xfId="0" applyFont="1" applyBorder="1" applyAlignment="1">
      <alignment horizontal="left" indent="1"/>
    </xf>
    <xf numFmtId="164" fontId="24" fillId="0" borderId="34" xfId="2" applyNumberFormat="1" applyFont="1" applyFill="1" applyBorder="1" applyAlignment="1">
      <alignment horizontal="center"/>
    </xf>
    <xf numFmtId="164" fontId="24" fillId="0" borderId="39" xfId="2" applyNumberFormat="1" applyFont="1" applyFill="1" applyBorder="1" applyAlignment="1">
      <alignment horizontal="center"/>
    </xf>
    <xf numFmtId="0" fontId="75" fillId="0" borderId="30" xfId="3" applyFont="1" applyFill="1" applyBorder="1" applyAlignment="1" applyProtection="1"/>
    <xf numFmtId="0" fontId="3" fillId="0" borderId="29" xfId="0" applyFont="1" applyBorder="1"/>
    <xf numFmtId="0" fontId="3" fillId="0" borderId="64" xfId="0" applyFont="1" applyBorder="1"/>
    <xf numFmtId="0" fontId="3" fillId="0" borderId="31" xfId="0" applyFont="1" applyBorder="1"/>
    <xf numFmtId="0" fontId="29" fillId="8" borderId="8" xfId="0" applyFont="1" applyFill="1" applyBorder="1" applyAlignment="1">
      <alignment horizontal="left" vertical="center" wrapText="1"/>
    </xf>
    <xf numFmtId="0" fontId="88" fillId="8" borderId="0" xfId="3" applyFont="1" applyFill="1" applyBorder="1" applyAlignment="1" applyProtection="1"/>
    <xf numFmtId="0" fontId="29" fillId="8" borderId="23" xfId="0" applyFont="1" applyFill="1" applyBorder="1" applyAlignment="1">
      <alignment vertical="center" wrapText="1"/>
    </xf>
    <xf numFmtId="0" fontId="45" fillId="8" borderId="10" xfId="0" applyFont="1" applyFill="1" applyBorder="1" applyAlignment="1">
      <alignment vertical="center" wrapText="1"/>
    </xf>
    <xf numFmtId="0" fontId="45" fillId="8" borderId="24" xfId="0" applyFont="1" applyFill="1" applyBorder="1" applyAlignment="1">
      <alignment vertical="center"/>
    </xf>
    <xf numFmtId="166" fontId="21" fillId="5" borderId="2" xfId="0" applyNumberFormat="1" applyFont="1" applyFill="1" applyBorder="1" applyAlignment="1">
      <alignment horizontal="center"/>
    </xf>
    <xf numFmtId="0" fontId="90" fillId="8" borderId="0" xfId="3" applyFont="1" applyFill="1" applyBorder="1" applyAlignment="1" applyProtection="1"/>
    <xf numFmtId="0" fontId="6" fillId="14" borderId="0" xfId="0" applyFont="1" applyFill="1"/>
    <xf numFmtId="0" fontId="60" fillId="14" borderId="0" xfId="0" applyFont="1" applyFill="1"/>
    <xf numFmtId="0" fontId="89" fillId="14" borderId="0" xfId="0" applyFont="1" applyFill="1"/>
    <xf numFmtId="0" fontId="53" fillId="14" borderId="0" xfId="0" applyFont="1" applyFill="1"/>
    <xf numFmtId="0" fontId="17" fillId="14" borderId="0" xfId="3" applyFill="1" applyBorder="1" applyAlignment="1" applyProtection="1"/>
    <xf numFmtId="0" fontId="8" fillId="0" borderId="8" xfId="0" applyFont="1" applyBorder="1" applyAlignment="1">
      <alignment horizontal="center"/>
    </xf>
    <xf numFmtId="0" fontId="62" fillId="5" borderId="1" xfId="0" applyFont="1" applyFill="1" applyBorder="1" applyAlignment="1">
      <alignment vertical="center"/>
    </xf>
    <xf numFmtId="9" fontId="24" fillId="0" borderId="39" xfId="0" applyNumberFormat="1" applyFont="1" applyBorder="1" applyAlignment="1">
      <alignment horizontal="center"/>
    </xf>
    <xf numFmtId="0" fontId="3" fillId="0" borderId="23" xfId="0" applyFont="1" applyBorder="1"/>
    <xf numFmtId="0" fontId="6" fillId="0" borderId="67" xfId="0" applyFont="1" applyBorder="1"/>
    <xf numFmtId="0" fontId="24" fillId="6" borderId="55" xfId="0" applyFont="1" applyFill="1" applyBorder="1" applyAlignment="1">
      <alignment horizontal="center"/>
    </xf>
    <xf numFmtId="0" fontId="6" fillId="0" borderId="44" xfId="0" applyFont="1" applyBorder="1"/>
    <xf numFmtId="0" fontId="24" fillId="6" borderId="45" xfId="0" applyFont="1" applyFill="1" applyBorder="1" applyAlignment="1">
      <alignment horizontal="center"/>
    </xf>
    <xf numFmtId="6" fontId="6" fillId="0" borderId="39" xfId="0" applyNumberFormat="1" applyFont="1" applyBorder="1"/>
    <xf numFmtId="9" fontId="4" fillId="2" borderId="4" xfId="2" applyFont="1" applyFill="1" applyBorder="1" applyAlignment="1">
      <alignment horizontal="center"/>
    </xf>
    <xf numFmtId="9" fontId="4" fillId="2" borderId="54" xfId="2" applyFont="1" applyFill="1" applyBorder="1" applyAlignment="1">
      <alignment horizontal="center"/>
    </xf>
    <xf numFmtId="9" fontId="4" fillId="2" borderId="28" xfId="2" applyFont="1" applyFill="1" applyBorder="1" applyAlignment="1">
      <alignment horizontal="center"/>
    </xf>
    <xf numFmtId="0" fontId="90" fillId="8" borderId="0" xfId="3" applyFont="1" applyFill="1" applyBorder="1" applyAlignment="1" applyProtection="1">
      <alignment vertical="center" wrapText="1"/>
    </xf>
    <xf numFmtId="0" fontId="91" fillId="8" borderId="0" xfId="0" applyFont="1" applyFill="1" applyAlignment="1">
      <alignment wrapText="1"/>
    </xf>
    <xf numFmtId="0" fontId="29" fillId="8" borderId="8" xfId="0" applyFont="1" applyFill="1" applyBorder="1" applyAlignment="1">
      <alignment vertical="center" wrapText="1"/>
    </xf>
    <xf numFmtId="0" fontId="45" fillId="8" borderId="25" xfId="0" applyFont="1" applyFill="1" applyBorder="1" applyAlignment="1">
      <alignment vertical="center"/>
    </xf>
    <xf numFmtId="6" fontId="6" fillId="0" borderId="50" xfId="0" applyNumberFormat="1" applyFont="1" applyBorder="1" applyAlignment="1">
      <alignment horizontal="right"/>
    </xf>
    <xf numFmtId="0" fontId="68" fillId="5" borderId="41" xfId="0" applyFont="1" applyFill="1" applyBorder="1" applyAlignment="1">
      <alignment horizontal="left" indent="1"/>
    </xf>
    <xf numFmtId="0" fontId="69" fillId="5" borderId="40" xfId="0" applyFont="1" applyFill="1" applyBorder="1" applyAlignment="1">
      <alignment horizontal="center"/>
    </xf>
    <xf numFmtId="171" fontId="16" fillId="5" borderId="42" xfId="0" applyNumberFormat="1" applyFont="1" applyFill="1" applyBorder="1" applyAlignment="1">
      <alignment horizontal="right"/>
    </xf>
    <xf numFmtId="0" fontId="6" fillId="0" borderId="14" xfId="0" applyFont="1" applyBorder="1"/>
    <xf numFmtId="0" fontId="93" fillId="0" borderId="21" xfId="0" applyFont="1" applyBorder="1" applyAlignment="1">
      <alignment horizontal="center"/>
    </xf>
    <xf numFmtId="0" fontId="93" fillId="0" borderId="5" xfId="0" applyFont="1" applyBorder="1" applyAlignment="1">
      <alignment horizontal="center"/>
    </xf>
    <xf numFmtId="0" fontId="6" fillId="0" borderId="13" xfId="0" applyFont="1" applyBorder="1"/>
    <xf numFmtId="164" fontId="29" fillId="0" borderId="6" xfId="0" applyNumberFormat="1" applyFont="1" applyBorder="1" applyAlignment="1">
      <alignment horizontal="center" vertical="center" wrapText="1"/>
    </xf>
    <xf numFmtId="164" fontId="92" fillId="0" borderId="5" xfId="0" applyNumberFormat="1" applyFont="1" applyBorder="1" applyAlignment="1">
      <alignment horizontal="center"/>
    </xf>
    <xf numFmtId="164" fontId="92" fillId="0" borderId="6" xfId="0" applyNumberFormat="1" applyFont="1" applyBorder="1" applyAlignment="1">
      <alignment horizontal="center"/>
    </xf>
    <xf numFmtId="164" fontId="92" fillId="0" borderId="21" xfId="0" applyNumberFormat="1" applyFont="1" applyBorder="1" applyAlignment="1">
      <alignment horizontal="center"/>
    </xf>
    <xf numFmtId="0" fontId="55" fillId="0" borderId="0" xfId="0" applyFont="1" applyAlignment="1">
      <alignment horizontal="right"/>
    </xf>
    <xf numFmtId="40" fontId="49" fillId="0" borderId="21" xfId="0" applyNumberFormat="1" applyFont="1" applyBorder="1" applyAlignment="1">
      <alignment horizontal="center"/>
    </xf>
    <xf numFmtId="0" fontId="95" fillId="0" borderId="17" xfId="0" applyFont="1" applyBorder="1"/>
    <xf numFmtId="9" fontId="49" fillId="0" borderId="21" xfId="2" applyFont="1" applyBorder="1" applyAlignment="1">
      <alignment horizontal="center"/>
    </xf>
    <xf numFmtId="0" fontId="51" fillId="0" borderId="15" xfId="0" applyFont="1" applyBorder="1" applyAlignment="1">
      <alignment vertical="center"/>
    </xf>
    <xf numFmtId="0" fontId="49" fillId="0" borderId="16" xfId="0" applyFont="1" applyBorder="1"/>
    <xf numFmtId="0" fontId="49" fillId="0" borderId="5" xfId="0" applyFont="1" applyBorder="1"/>
    <xf numFmtId="0" fontId="51" fillId="0" borderId="9" xfId="0" applyFont="1" applyBorder="1"/>
    <xf numFmtId="6" fontId="49" fillId="0" borderId="21" xfId="0" applyNumberFormat="1" applyFont="1" applyBorder="1" applyAlignment="1">
      <alignment horizontal="center"/>
    </xf>
    <xf numFmtId="9" fontId="49" fillId="0" borderId="5" xfId="0" applyNumberFormat="1" applyFont="1" applyBorder="1" applyAlignment="1">
      <alignment horizontal="center"/>
    </xf>
    <xf numFmtId="0" fontId="7" fillId="0" borderId="0" xfId="0" applyFont="1"/>
    <xf numFmtId="0" fontId="8" fillId="0" borderId="25" xfId="0" applyFont="1" applyBorder="1" applyAlignment="1">
      <alignment horizontal="center"/>
    </xf>
    <xf numFmtId="0" fontId="3" fillId="0" borderId="25" xfId="0" applyFont="1" applyBorder="1" applyAlignment="1">
      <alignment horizontal="center"/>
    </xf>
    <xf numFmtId="0" fontId="8" fillId="0" borderId="24" xfId="0" applyFont="1" applyBorder="1" applyAlignment="1">
      <alignment horizontal="center"/>
    </xf>
    <xf numFmtId="0" fontId="59" fillId="0" borderId="0" xfId="0" applyFont="1" applyAlignment="1">
      <alignment horizontal="center"/>
    </xf>
    <xf numFmtId="0" fontId="3" fillId="0" borderId="53" xfId="0" applyFont="1" applyBorder="1"/>
    <xf numFmtId="8" fontId="24" fillId="0" borderId="55" xfId="0" applyNumberFormat="1" applyFont="1" applyBorder="1" applyAlignment="1">
      <alignment horizontal="right"/>
    </xf>
    <xf numFmtId="6" fontId="24" fillId="0" borderId="32" xfId="0" applyNumberFormat="1" applyFont="1" applyBorder="1" applyAlignment="1">
      <alignment horizontal="right"/>
    </xf>
    <xf numFmtId="5" fontId="24" fillId="2" borderId="32" xfId="1" applyNumberFormat="1" applyFont="1" applyFill="1" applyBorder="1" applyAlignment="1">
      <alignment horizontal="right"/>
    </xf>
    <xf numFmtId="0" fontId="6" fillId="0" borderId="63" xfId="0" applyFont="1" applyBorder="1"/>
    <xf numFmtId="0" fontId="9" fillId="6" borderId="32" xfId="0" applyFont="1" applyFill="1" applyBorder="1" applyAlignment="1">
      <alignment horizontal="center"/>
    </xf>
    <xf numFmtId="164" fontId="29" fillId="0" borderId="4" xfId="0" applyNumberFormat="1" applyFont="1" applyBorder="1" applyAlignment="1">
      <alignment horizontal="center" wrapText="1"/>
    </xf>
    <xf numFmtId="9" fontId="24" fillId="6" borderId="32" xfId="2" applyFont="1" applyFill="1" applyBorder="1" applyAlignment="1">
      <alignment horizontal="center"/>
    </xf>
    <xf numFmtId="0" fontId="50" fillId="0" borderId="17" xfId="0" applyFont="1" applyBorder="1" applyAlignment="1">
      <alignment horizontal="center" vertical="center"/>
    </xf>
    <xf numFmtId="0" fontId="98" fillId="0" borderId="0" xfId="0" applyFont="1" applyAlignment="1">
      <alignment horizontal="center" vertical="center"/>
    </xf>
    <xf numFmtId="2" fontId="50" fillId="0" borderId="17" xfId="0" applyNumberFormat="1" applyFont="1" applyBorder="1" applyAlignment="1">
      <alignment horizontal="center" vertical="center"/>
    </xf>
    <xf numFmtId="0" fontId="99" fillId="0" borderId="17" xfId="0" applyFont="1" applyBorder="1" applyAlignment="1">
      <alignment horizontal="center" vertical="center"/>
    </xf>
    <xf numFmtId="0" fontId="99" fillId="0" borderId="0" xfId="0" applyFont="1" applyAlignment="1">
      <alignment horizontal="center" vertical="center"/>
    </xf>
    <xf numFmtId="0" fontId="50" fillId="0" borderId="12" xfId="0" applyFont="1" applyBorder="1" applyAlignment="1">
      <alignment horizontal="center" vertical="center"/>
    </xf>
    <xf numFmtId="0" fontId="98" fillId="0" borderId="14" xfId="0" applyFont="1" applyBorder="1" applyAlignment="1">
      <alignment horizontal="center" vertical="center"/>
    </xf>
    <xf numFmtId="2" fontId="50" fillId="0" borderId="4" xfId="0" applyNumberFormat="1" applyFont="1" applyBorder="1" applyAlignment="1">
      <alignment horizontal="center" vertical="center"/>
    </xf>
    <xf numFmtId="164" fontId="53" fillId="0" borderId="32" xfId="2" applyNumberFormat="1" applyFont="1" applyFill="1" applyBorder="1" applyAlignment="1">
      <alignment horizontal="right"/>
    </xf>
    <xf numFmtId="164" fontId="6" fillId="0" borderId="0" xfId="2" applyNumberFormat="1" applyFont="1" applyFill="1" applyBorder="1"/>
    <xf numFmtId="0" fontId="93" fillId="0" borderId="0" xfId="0" applyFont="1" applyAlignment="1">
      <alignment horizontal="center"/>
    </xf>
    <xf numFmtId="164" fontId="92" fillId="0" borderId="0" xfId="0" applyNumberFormat="1" applyFont="1" applyAlignment="1">
      <alignment horizontal="center"/>
    </xf>
    <xf numFmtId="164" fontId="24" fillId="0" borderId="12" xfId="2" applyNumberFormat="1" applyFont="1" applyFill="1" applyBorder="1" applyAlignment="1">
      <alignment horizontal="center"/>
    </xf>
    <xf numFmtId="164" fontId="24" fillId="0" borderId="36" xfId="2" applyNumberFormat="1" applyFont="1" applyFill="1" applyBorder="1" applyAlignment="1">
      <alignment horizontal="center"/>
    </xf>
    <xf numFmtId="0" fontId="22" fillId="0" borderId="64" xfId="0" applyFont="1" applyBorder="1" applyAlignment="1">
      <alignment horizontal="center"/>
    </xf>
    <xf numFmtId="164" fontId="24" fillId="0" borderId="64" xfId="2" applyNumberFormat="1" applyFont="1" applyFill="1" applyBorder="1" applyAlignment="1">
      <alignment horizontal="center"/>
    </xf>
    <xf numFmtId="164" fontId="24" fillId="0" borderId="65" xfId="2" applyNumberFormat="1" applyFont="1" applyFill="1" applyBorder="1" applyAlignment="1">
      <alignment horizontal="center"/>
    </xf>
    <xf numFmtId="164" fontId="82" fillId="0" borderId="6" xfId="2" applyNumberFormat="1" applyFont="1" applyFill="1" applyBorder="1" applyAlignment="1">
      <alignment horizontal="center" vertical="center" wrapText="1"/>
    </xf>
    <xf numFmtId="0" fontId="87" fillId="5" borderId="8" xfId="0" applyFont="1" applyFill="1" applyBorder="1" applyAlignment="1">
      <alignment vertical="center"/>
    </xf>
    <xf numFmtId="0" fontId="87" fillId="5" borderId="0" xfId="0" applyFont="1" applyFill="1" applyAlignment="1">
      <alignment vertical="center" wrapText="1"/>
    </xf>
    <xf numFmtId="0" fontId="6" fillId="0" borderId="11" xfId="0" applyFont="1" applyBorder="1"/>
    <xf numFmtId="0" fontId="6" fillId="0" borderId="20" xfId="0" applyFont="1" applyBorder="1" applyAlignment="1">
      <alignment horizontal="center"/>
    </xf>
    <xf numFmtId="0" fontId="24" fillId="0" borderId="45" xfId="0" applyFont="1" applyBorder="1" applyAlignment="1">
      <alignment horizontal="right"/>
    </xf>
    <xf numFmtId="9" fontId="3" fillId="0" borderId="25" xfId="0" applyNumberFormat="1" applyFont="1" applyBorder="1" applyAlignment="1">
      <alignment horizontal="center"/>
    </xf>
    <xf numFmtId="164" fontId="52" fillId="0" borderId="6" xfId="2" applyNumberFormat="1" applyFont="1" applyFill="1" applyBorder="1" applyAlignment="1">
      <alignment horizontal="center" vertical="center" wrapText="1"/>
    </xf>
    <xf numFmtId="164" fontId="24" fillId="0" borderId="12" xfId="2" applyNumberFormat="1" applyFont="1" applyFill="1" applyBorder="1" applyAlignment="1">
      <alignment horizontal="center"/>
    </xf>
    <xf numFmtId="164" fontId="24" fillId="0" borderId="13" xfId="2" applyNumberFormat="1" applyFont="1" applyFill="1" applyBorder="1" applyAlignment="1">
      <alignment horizontal="center"/>
    </xf>
    <xf numFmtId="164" fontId="24" fillId="0" borderId="14" xfId="2" applyNumberFormat="1" applyFont="1" applyFill="1" applyBorder="1" applyAlignment="1">
      <alignment horizontal="center"/>
    </xf>
    <xf numFmtId="164" fontId="24" fillId="0" borderId="36" xfId="2" applyNumberFormat="1" applyFont="1" applyFill="1" applyBorder="1" applyAlignment="1">
      <alignment horizontal="center"/>
    </xf>
    <xf numFmtId="164" fontId="24" fillId="0" borderId="37" xfId="2" applyNumberFormat="1" applyFont="1" applyFill="1" applyBorder="1" applyAlignment="1">
      <alignment horizontal="center"/>
    </xf>
    <xf numFmtId="164" fontId="24" fillId="0" borderId="38" xfId="2" applyNumberFormat="1" applyFont="1" applyFill="1" applyBorder="1" applyAlignment="1">
      <alignment horizontal="center"/>
    </xf>
    <xf numFmtId="0" fontId="3" fillId="0" borderId="64" xfId="0" applyFont="1" applyBorder="1" applyAlignment="1">
      <alignment horizontal="center"/>
    </xf>
    <xf numFmtId="0" fontId="3" fillId="0" borderId="2" xfId="0" applyFont="1" applyBorder="1" applyAlignment="1">
      <alignment horizontal="center"/>
    </xf>
    <xf numFmtId="0" fontId="3" fillId="0" borderId="59" xfId="0" applyFont="1" applyBorder="1" applyAlignment="1">
      <alignment horizontal="center"/>
    </xf>
    <xf numFmtId="164" fontId="29" fillId="5" borderId="19" xfId="0" applyNumberFormat="1" applyFont="1" applyFill="1" applyBorder="1" applyAlignment="1">
      <alignment horizontal="center" vertical="center" wrapText="1"/>
    </xf>
    <xf numFmtId="164" fontId="29" fillId="5" borderId="20" xfId="0" applyNumberFormat="1" applyFont="1" applyFill="1" applyBorder="1" applyAlignment="1">
      <alignment horizontal="center" vertical="center" wrapText="1"/>
    </xf>
    <xf numFmtId="164" fontId="29" fillId="5" borderId="15" xfId="0" applyNumberFormat="1" applyFont="1" applyFill="1" applyBorder="1" applyAlignment="1">
      <alignment horizontal="center" vertical="center" wrapText="1"/>
    </xf>
    <xf numFmtId="164" fontId="29" fillId="5" borderId="16" xfId="0" applyNumberFormat="1" applyFont="1" applyFill="1" applyBorder="1" applyAlignment="1">
      <alignment horizontal="center" vertical="center" wrapText="1"/>
    </xf>
    <xf numFmtId="0" fontId="65" fillId="0" borderId="22" xfId="0" applyFont="1" applyBorder="1" applyAlignment="1">
      <alignment horizontal="center"/>
    </xf>
    <xf numFmtId="0" fontId="8" fillId="5" borderId="2" xfId="0" applyFont="1" applyFill="1" applyBorder="1" applyAlignment="1">
      <alignment horizontal="center" vertical="center"/>
    </xf>
    <xf numFmtId="0" fontId="22" fillId="0" borderId="64" xfId="0" applyFont="1" applyBorder="1" applyAlignment="1">
      <alignment horizontal="center"/>
    </xf>
    <xf numFmtId="0" fontId="22" fillId="0" borderId="2" xfId="0" applyFont="1" applyBorder="1" applyAlignment="1">
      <alignment horizontal="center"/>
    </xf>
    <xf numFmtId="0" fontId="22" fillId="0" borderId="59" xfId="0" applyFont="1" applyBorder="1" applyAlignment="1">
      <alignment horizontal="center"/>
    </xf>
    <xf numFmtId="164" fontId="24" fillId="0" borderId="64" xfId="2" applyNumberFormat="1" applyFont="1" applyFill="1" applyBorder="1" applyAlignment="1">
      <alignment horizontal="center"/>
    </xf>
    <xf numFmtId="164" fontId="24" fillId="0" borderId="2" xfId="2" applyNumberFormat="1" applyFont="1" applyFill="1" applyBorder="1" applyAlignment="1">
      <alignment horizontal="center"/>
    </xf>
    <xf numFmtId="164" fontId="24" fillId="0" borderId="59" xfId="2" applyNumberFormat="1" applyFont="1" applyFill="1" applyBorder="1" applyAlignment="1">
      <alignment horizontal="center"/>
    </xf>
    <xf numFmtId="164" fontId="24" fillId="0" borderId="65" xfId="2" applyNumberFormat="1" applyFont="1" applyFill="1" applyBorder="1" applyAlignment="1">
      <alignment horizontal="center"/>
    </xf>
    <xf numFmtId="164" fontId="24" fillId="0" borderId="61" xfId="2" applyNumberFormat="1" applyFont="1" applyFill="1" applyBorder="1" applyAlignment="1">
      <alignment horizontal="center"/>
    </xf>
    <xf numFmtId="164" fontId="24" fillId="0" borderId="66" xfId="2" applyNumberFormat="1" applyFont="1" applyFill="1" applyBorder="1" applyAlignment="1">
      <alignment horizontal="center"/>
    </xf>
    <xf numFmtId="0" fontId="54" fillId="0" borderId="12" xfId="0" applyFont="1" applyBorder="1" applyAlignment="1">
      <alignment horizontal="center" vertical="center" wrapText="1"/>
    </xf>
    <xf numFmtId="0" fontId="54" fillId="0" borderId="13" xfId="0" applyFont="1" applyBorder="1" applyAlignment="1">
      <alignment horizontal="center" vertical="center" wrapText="1"/>
    </xf>
    <xf numFmtId="0" fontId="54" fillId="0" borderId="14" xfId="0" applyFont="1" applyBorder="1" applyAlignment="1">
      <alignment horizontal="center" vertical="center" wrapText="1"/>
    </xf>
    <xf numFmtId="0" fontId="49" fillId="0" borderId="0" xfId="0" applyFont="1" applyAlignment="1">
      <alignment horizontal="center" vertical="center"/>
    </xf>
    <xf numFmtId="0" fontId="49" fillId="0" borderId="0" xfId="0" applyFont="1" applyAlignment="1">
      <alignment horizontal="center"/>
    </xf>
    <xf numFmtId="0" fontId="56" fillId="6" borderId="1" xfId="0" applyFont="1" applyFill="1" applyBorder="1" applyAlignment="1">
      <alignment horizontal="center" vertical="center" wrapText="1"/>
    </xf>
    <xf numFmtId="0" fontId="56" fillId="6" borderId="2" xfId="0" applyFont="1" applyFill="1" applyBorder="1" applyAlignment="1">
      <alignment horizontal="center" vertical="center" wrapText="1"/>
    </xf>
    <xf numFmtId="0" fontId="56" fillId="6" borderId="3" xfId="0" applyFont="1" applyFill="1" applyBorder="1" applyAlignment="1">
      <alignment horizontal="center" vertical="center" wrapText="1"/>
    </xf>
    <xf numFmtId="0" fontId="66" fillId="0" borderId="19" xfId="0" applyFont="1" applyBorder="1" applyAlignment="1">
      <alignment horizontal="center" vertical="center" wrapText="1"/>
    </xf>
    <xf numFmtId="0" fontId="66" fillId="0" borderId="15" xfId="0" applyFont="1" applyBorder="1" applyAlignment="1">
      <alignment horizontal="center" vertical="center" wrapText="1"/>
    </xf>
    <xf numFmtId="0" fontId="66" fillId="0" borderId="20" xfId="0" applyFont="1" applyBorder="1" applyAlignment="1">
      <alignment horizontal="center" vertical="center" wrapText="1"/>
    </xf>
    <xf numFmtId="0" fontId="66" fillId="0" borderId="16" xfId="0" applyFont="1" applyBorder="1" applyAlignment="1">
      <alignment horizontal="center" vertical="center" wrapText="1"/>
    </xf>
    <xf numFmtId="0" fontId="66" fillId="0" borderId="12" xfId="0" applyFont="1" applyBorder="1" applyAlignment="1">
      <alignment horizontal="center"/>
    </xf>
    <xf numFmtId="0" fontId="66" fillId="0" borderId="14" xfId="0" applyFont="1" applyBorder="1" applyAlignment="1">
      <alignment horizontal="center"/>
    </xf>
    <xf numFmtId="0" fontId="3" fillId="8" borderId="0" xfId="0" applyFont="1" applyFill="1" applyAlignment="1">
      <alignment horizontal="center"/>
    </xf>
    <xf numFmtId="0" fontId="3" fillId="11" borderId="1" xfId="0" applyFont="1" applyFill="1" applyBorder="1" applyAlignment="1">
      <alignment horizontal="left" vertical="center" wrapText="1"/>
    </xf>
    <xf numFmtId="0" fontId="3" fillId="11" borderId="3" xfId="0" applyFont="1" applyFill="1" applyBorder="1" applyAlignment="1">
      <alignment horizontal="left" vertical="center" wrapText="1"/>
    </xf>
    <xf numFmtId="179" fontId="3" fillId="11" borderId="1" xfId="0" applyNumberFormat="1" applyFont="1" applyFill="1" applyBorder="1" applyAlignment="1">
      <alignment horizontal="left"/>
    </xf>
    <xf numFmtId="179" fontId="3" fillId="11" borderId="3" xfId="0" applyNumberFormat="1" applyFont="1" applyFill="1" applyBorder="1" applyAlignment="1">
      <alignment horizontal="left"/>
    </xf>
    <xf numFmtId="0" fontId="38" fillId="4" borderId="1" xfId="0" applyFont="1" applyFill="1" applyBorder="1" applyAlignment="1">
      <alignment horizontal="center" vertical="center" wrapText="1"/>
    </xf>
    <xf numFmtId="0" fontId="38" fillId="4" borderId="2" xfId="0" applyFont="1" applyFill="1" applyBorder="1" applyAlignment="1">
      <alignment horizontal="center" vertical="center" wrapText="1"/>
    </xf>
    <xf numFmtId="0" fontId="38" fillId="4" borderId="3" xfId="0" applyFont="1" applyFill="1" applyBorder="1" applyAlignment="1">
      <alignment horizontal="center" vertical="center" wrapText="1"/>
    </xf>
    <xf numFmtId="0" fontId="28" fillId="0" borderId="12" xfId="0" applyFont="1" applyBorder="1" applyAlignment="1">
      <alignment horizontal="left" wrapText="1"/>
    </xf>
    <xf numFmtId="0" fontId="28" fillId="0" borderId="14" xfId="0" applyFont="1" applyBorder="1" applyAlignment="1">
      <alignment horizontal="left" wrapText="1"/>
    </xf>
  </cellXfs>
  <cellStyles count="6">
    <cellStyle name="Comma" xfId="5" builtinId="3"/>
    <cellStyle name="Currency" xfId="1" builtinId="4"/>
    <cellStyle name="Hyperlink" xfId="3" builtinId="8"/>
    <cellStyle name="Normal" xfId="0" builtinId="0"/>
    <cellStyle name="Percent" xfId="2" builtinId="5"/>
    <cellStyle name="Percent 2" xfId="4" xr:uid="{00000000-0005-0000-0000-000005000000}"/>
  </cellStyles>
  <dxfs count="146">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font>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00B05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ill>
        <patternFill patternType="none">
          <bgColor auto="1"/>
        </patternFill>
      </fill>
    </dxf>
    <dxf>
      <fill>
        <patternFill patternType="none">
          <bgColor auto="1"/>
        </patternFill>
      </fill>
    </dxf>
    <dxf>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b/>
        <i val="0"/>
        <color rgb="FFFF0000"/>
      </font>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theme="0" tint="-0.14996795556505021"/>
      </font>
      <fill>
        <patternFill>
          <bgColor theme="0" tint="-0.14996795556505021"/>
        </patternFill>
      </fill>
    </dxf>
    <dxf>
      <fill>
        <patternFill>
          <bgColor rgb="FFFF0000"/>
        </patternFill>
      </fill>
    </dxf>
    <dxf>
      <font>
        <color rgb="FF0070C0"/>
      </font>
      <fill>
        <patternFill>
          <bgColor theme="0"/>
        </patternFill>
      </fill>
    </dxf>
    <dxf>
      <font>
        <color rgb="FF0070C0"/>
      </font>
      <fill>
        <patternFill>
          <bgColor theme="0"/>
        </patternFill>
      </fill>
    </dxf>
    <dxf>
      <fill>
        <patternFill patternType="none">
          <bgColor auto="1"/>
        </patternFill>
      </fill>
    </dxf>
    <dxf>
      <fill>
        <patternFill>
          <bgColor rgb="FFFF0000"/>
        </patternFill>
      </fill>
    </dxf>
    <dxf>
      <font>
        <color theme="0" tint="-0.14996795556505021"/>
      </font>
      <fill>
        <patternFill>
          <bgColor theme="0" tint="-0.14996795556505021"/>
        </patternFill>
      </fill>
    </dxf>
    <dxf>
      <fill>
        <patternFill>
          <bgColor rgb="FFFF00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ont>
        <color theme="0" tint="-0.14996795556505021"/>
      </font>
      <fill>
        <patternFill>
          <bgColor theme="0" tint="-0.1499679555650502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FF0000"/>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14996795556505021"/>
      </font>
      <fill>
        <patternFill>
          <bgColor theme="0" tint="-0.1499679555650502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3" tint="0.39994506668294322"/>
      </font>
      <fill>
        <patternFill>
          <bgColor rgb="FFFFFF99"/>
        </patternFill>
      </fill>
    </dxf>
    <dxf>
      <font>
        <color auto="1"/>
      </font>
      <fill>
        <patternFill patternType="none">
          <bgColor auto="1"/>
        </patternFill>
      </fill>
    </dxf>
    <dxf>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theme="0" tint="-0.14996795556505021"/>
      </font>
      <fill>
        <patternFill>
          <bgColor theme="0" tint="-0.14996795556505021"/>
        </patternFill>
      </fill>
    </dxf>
    <dxf>
      <font>
        <color theme="3" tint="0.39994506668294322"/>
      </font>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auto="1"/>
      </font>
      <fill>
        <patternFill patternType="none">
          <bgColor auto="1"/>
        </patternFill>
      </fill>
    </dxf>
    <dxf>
      <font>
        <color theme="3" tint="0.39994506668294322"/>
      </font>
      <fill>
        <patternFill patternType="none">
          <bgColor auto="1"/>
        </patternFill>
      </fill>
    </dxf>
    <dxf>
      <font>
        <b/>
        <i val="0"/>
        <color rgb="FFFFFF00"/>
      </font>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b/>
        <i val="0"/>
        <color rgb="FFFFFF00"/>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ont>
        <color theme="0" tint="-0.14996795556505021"/>
      </font>
      <fill>
        <patternFill>
          <bgColor theme="0" tint="-0.14996795556505021"/>
        </patternFill>
      </fill>
    </dxf>
    <dxf>
      <fill>
        <patternFill>
          <bgColor rgb="FF00B050"/>
        </patternFill>
      </fill>
    </dxf>
    <dxf>
      <fill>
        <patternFill>
          <bgColor rgb="FF00B050"/>
        </patternFill>
      </fill>
    </dxf>
    <dxf>
      <fill>
        <patternFill>
          <bgColor rgb="FFFF0000"/>
        </patternFill>
      </fill>
    </dxf>
    <dxf>
      <fill>
        <patternFill>
          <bgColor theme="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Light16"/>
  <colors>
    <mruColors>
      <color rgb="FFFFFF99"/>
      <color rgb="FF000000"/>
      <color rgb="FF1C1C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1"/>
    </c:title>
    <c:autoTitleDeleted val="0"/>
    <c:plotArea>
      <c:layout/>
      <c:lineChart>
        <c:grouping val="standard"/>
        <c:varyColors val="0"/>
        <c:ser>
          <c:idx val="0"/>
          <c:order val="0"/>
          <c:tx>
            <c:strRef>
              <c:f>'Annual Cash Flows &amp; Returns'!$N$4</c:f>
              <c:strCache>
                <c:ptCount val="1"/>
                <c:pt idx="0">
                  <c:v>Cumulative Cash Flow</c:v>
                </c:pt>
              </c:strCache>
            </c:strRef>
          </c:tx>
          <c:marker>
            <c:symbol val="none"/>
          </c:marker>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Returns'!$N$6:$N$36</c:f>
              <c:numCache>
                <c:formatCode>"$"#,##0_);[Red]\("$"#,##0\)</c:formatCode>
                <c:ptCount val="31"/>
                <c:pt idx="0">
                  <c:v>-3371851.5683789058</c:v>
                </c:pt>
                <c:pt idx="1">
                  <c:v>-2868293.0251887487</c:v>
                </c:pt>
                <c:pt idx="2">
                  <c:v>-2345986.3332186574</c:v>
                </c:pt>
                <c:pt idx="3">
                  <c:v>-1805245.393981368</c:v>
                </c:pt>
                <c:pt idx="4">
                  <c:v>-1246331.3622867013</c:v>
                </c:pt>
                <c:pt idx="5">
                  <c:v>-669457.60573516123</c:v>
                </c:pt>
                <c:pt idx="6">
                  <c:v>-74794.1636147073</c:v>
                </c:pt>
                <c:pt idx="7">
                  <c:v>522033.19489778299</c:v>
                </c:pt>
                <c:pt idx="8">
                  <c:v>1088046.225984517</c:v>
                </c:pt>
                <c:pt idx="9">
                  <c:v>1669379.6580146102</c:v>
                </c:pt>
                <c:pt idx="10">
                  <c:v>2326927.7213815469</c:v>
                </c:pt>
                <c:pt idx="11">
                  <c:v>2927579.8369851792</c:v>
                </c:pt>
                <c:pt idx="12">
                  <c:v>3310772.2097802297</c:v>
                </c:pt>
                <c:pt idx="13">
                  <c:v>3683987.7369976547</c:v>
                </c:pt>
                <c:pt idx="14">
                  <c:v>4063029.494046187</c:v>
                </c:pt>
                <c:pt idx="15">
                  <c:v>4435571.9406545097</c:v>
                </c:pt>
                <c:pt idx="16">
                  <c:v>4791845.3350258647</c:v>
                </c:pt>
                <c:pt idx="17">
                  <c:v>5143622.8488365076</c:v>
                </c:pt>
                <c:pt idx="18">
                  <c:v>5500041.9449855518</c:v>
                </c:pt>
                <c:pt idx="19">
                  <c:v>6229098.2976076901</c:v>
                </c:pt>
                <c:pt idx="20">
                  <c:v>6945327.9643312553</c:v>
                </c:pt>
                <c:pt idx="21">
                  <c:v>7087577.4460442793</c:v>
                </c:pt>
                <c:pt idx="22">
                  <c:v>7230803.2766891392</c:v>
                </c:pt>
                <c:pt idx="23">
                  <c:v>7347033.6895907205</c:v>
                </c:pt>
                <c:pt idx="24">
                  <c:v>7466570.3424019553</c:v>
                </c:pt>
                <c:pt idx="25">
                  <c:v>7657236.2314774524</c:v>
                </c:pt>
                <c:pt idx="26">
                  <c:v>7657236.2314774524</c:v>
                </c:pt>
                <c:pt idx="27">
                  <c:v>7657236.2314774524</c:v>
                </c:pt>
                <c:pt idx="28">
                  <c:v>7657236.2314774524</c:v>
                </c:pt>
                <c:pt idx="29">
                  <c:v>7657236.2314774524</c:v>
                </c:pt>
                <c:pt idx="30">
                  <c:v>7657236.2314774524</c:v>
                </c:pt>
              </c:numCache>
            </c:numRef>
          </c:val>
          <c:smooth val="0"/>
          <c:extLst>
            <c:ext xmlns:c16="http://schemas.microsoft.com/office/drawing/2014/chart" uri="{C3380CC4-5D6E-409C-BE32-E72D297353CC}">
              <c16:uniqueId val="{00000000-EC18-CF48-A421-37725181AD50}"/>
            </c:ext>
          </c:extLst>
        </c:ser>
        <c:dLbls>
          <c:showLegendKey val="0"/>
          <c:showVal val="0"/>
          <c:showCatName val="0"/>
          <c:showSerName val="0"/>
          <c:showPercent val="0"/>
          <c:showBubbleSize val="0"/>
        </c:dLbls>
        <c:smooth val="0"/>
        <c:axId val="109747584"/>
        <c:axId val="109795584"/>
      </c:lineChart>
      <c:catAx>
        <c:axId val="109747584"/>
        <c:scaling>
          <c:orientation val="minMax"/>
        </c:scaling>
        <c:delete val="0"/>
        <c:axPos val="b"/>
        <c:title>
          <c:tx>
            <c:rich>
              <a:bodyPr/>
              <a:lstStyle/>
              <a:p>
                <a:pPr>
                  <a:defRPr sz="1100"/>
                </a:pPr>
                <a:r>
                  <a:rPr lang="en-US" sz="1100"/>
                  <a:t>Project Year</a:t>
                </a:r>
              </a:p>
            </c:rich>
          </c:tx>
          <c:overlay val="0"/>
        </c:title>
        <c:numFmt formatCode="General" sourceLinked="1"/>
        <c:majorTickMark val="out"/>
        <c:minorTickMark val="none"/>
        <c:tickLblPos val="nextTo"/>
        <c:crossAx val="109795584"/>
        <c:crosses val="autoZero"/>
        <c:auto val="1"/>
        <c:lblAlgn val="ctr"/>
        <c:lblOffset val="100"/>
        <c:tickLblSkip val="5"/>
        <c:noMultiLvlLbl val="0"/>
      </c:catAx>
      <c:valAx>
        <c:axId val="109795584"/>
        <c:scaling>
          <c:orientation val="minMax"/>
        </c:scaling>
        <c:delete val="0"/>
        <c:axPos val="l"/>
        <c:title>
          <c:tx>
            <c:rich>
              <a:bodyPr rot="-5400000" vert="horz"/>
              <a:lstStyle/>
              <a:p>
                <a:pPr>
                  <a:defRPr sz="1100" b="1"/>
                </a:pPr>
                <a:r>
                  <a:rPr lang="en-US" sz="1100" b="1"/>
                  <a:t>Cumulative Cash Flow ($)</a:t>
                </a:r>
              </a:p>
            </c:rich>
          </c:tx>
          <c:overlay val="0"/>
        </c:title>
        <c:numFmt formatCode="&quot;$&quot;#,##0_);[Red]\(&quot;$&quot;#,##0\)" sourceLinked="1"/>
        <c:majorTickMark val="out"/>
        <c:minorTickMark val="none"/>
        <c:tickLblPos val="nextTo"/>
        <c:crossAx val="109747584"/>
        <c:crosses val="autoZero"/>
        <c:crossBetween val="between"/>
      </c:valAx>
      <c:spPr>
        <a:solidFill>
          <a:srgbClr val="FFFF99"/>
        </a:solidFill>
      </c:spPr>
    </c:plotArea>
    <c:plotVisOnly val="1"/>
    <c:dispBlanksAs val="gap"/>
    <c:showDLblsOverMax val="0"/>
  </c:chart>
  <c:spPr>
    <a:solidFill>
      <a:srgbClr val="FFFF99"/>
    </a:solidFill>
  </c:spPr>
  <c:printSettings>
    <c:headerFooter/>
    <c:pageMargins b="0.7500000000000101" l="0.70000000000000062" r="0.70000000000000062" t="0.75000000000001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Revenue + Tax Benefits / (Liability) v. </a:t>
            </a:r>
          </a:p>
          <a:p>
            <a:pPr>
              <a:defRPr/>
            </a:pPr>
            <a:r>
              <a:rPr lang="en-US"/>
              <a:t>Expenses + Cash Obligations</a:t>
            </a:r>
          </a:p>
        </c:rich>
      </c:tx>
      <c:overlay val="1"/>
    </c:title>
    <c:autoTitleDeleted val="0"/>
    <c:plotArea>
      <c:layout/>
      <c:areaChart>
        <c:grouping val="standard"/>
        <c:varyColors val="0"/>
        <c:ser>
          <c:idx val="1"/>
          <c:order val="1"/>
          <c:tx>
            <c:strRef>
              <c:f>'Annual Cash Flows &amp; Returns'!$S$4</c:f>
              <c:strCache>
                <c:ptCount val="1"/>
                <c:pt idx="0">
                  <c:v>Expenses + Cash Obligations</c:v>
                </c:pt>
              </c:strCache>
            </c:strRef>
          </c:tx>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Returns'!$S$6:$S$36</c:f>
              <c:numCache>
                <c:formatCode>"$"#,##0_);[Red]\("$"#,##0\)</c:formatCode>
                <c:ptCount val="31"/>
                <c:pt idx="1">
                  <c:v>476603.73325436545</c:v>
                </c:pt>
                <c:pt idx="2">
                  <c:v>473539.58429274475</c:v>
                </c:pt>
                <c:pt idx="3">
                  <c:v>471005.9099967081</c:v>
                </c:pt>
                <c:pt idx="4">
                  <c:v>468953.19060331822</c:v>
                </c:pt>
                <c:pt idx="5">
                  <c:v>467336.91392464103</c:v>
                </c:pt>
                <c:pt idx="6">
                  <c:v>466117.07546733442</c:v>
                </c:pt>
                <c:pt idx="7">
                  <c:v>465257.72855412547</c:v>
                </c:pt>
                <c:pt idx="8">
                  <c:v>464726.57944720791</c:v>
                </c:pt>
                <c:pt idx="9">
                  <c:v>464494.62297358894</c:v>
                </c:pt>
                <c:pt idx="10">
                  <c:v>407091.37015797192</c:v>
                </c:pt>
                <c:pt idx="11">
                  <c:v>467271.21977376239</c:v>
                </c:pt>
                <c:pt idx="12">
                  <c:v>467790.97053172917</c:v>
                </c:pt>
                <c:pt idx="13">
                  <c:v>468520.69317612378</c:v>
                </c:pt>
                <c:pt idx="14">
                  <c:v>469443.51538664376</c:v>
                </c:pt>
                <c:pt idx="15">
                  <c:v>470544.31709478667</c:v>
                </c:pt>
                <c:pt idx="16">
                  <c:v>471809.55628451594</c:v>
                </c:pt>
                <c:pt idx="17">
                  <c:v>473227.1122290598</c:v>
                </c:pt>
                <c:pt idx="18">
                  <c:v>474786.14442048443</c:v>
                </c:pt>
                <c:pt idx="19">
                  <c:v>107407.68196635631</c:v>
                </c:pt>
                <c:pt idx="20">
                  <c:v>172355.84964473004</c:v>
                </c:pt>
                <c:pt idx="21">
                  <c:v>143469.76736786455</c:v>
                </c:pt>
                <c:pt idx="22">
                  <c:v>145133.37298616848</c:v>
                </c:pt>
                <c:pt idx="23">
                  <c:v>146895.96119823214</c:v>
                </c:pt>
                <c:pt idx="24">
                  <c:v>148752.11059707098</c:v>
                </c:pt>
                <c:pt idx="25">
                  <c:v>69868.545505738322</c:v>
                </c:pt>
                <c:pt idx="26">
                  <c:v>0</c:v>
                </c:pt>
                <c:pt idx="27">
                  <c:v>0</c:v>
                </c:pt>
                <c:pt idx="28">
                  <c:v>0</c:v>
                </c:pt>
                <c:pt idx="29">
                  <c:v>0</c:v>
                </c:pt>
                <c:pt idx="30">
                  <c:v>0</c:v>
                </c:pt>
              </c:numCache>
            </c:numRef>
          </c:val>
          <c:extLst>
            <c:ext xmlns:c16="http://schemas.microsoft.com/office/drawing/2014/chart" uri="{C3380CC4-5D6E-409C-BE32-E72D297353CC}">
              <c16:uniqueId val="{00000000-9691-B940-9B26-CD7E60166CE5}"/>
            </c:ext>
          </c:extLst>
        </c:ser>
        <c:dLbls>
          <c:showLegendKey val="0"/>
          <c:showVal val="0"/>
          <c:showCatName val="0"/>
          <c:showSerName val="0"/>
          <c:showPercent val="0"/>
          <c:showBubbleSize val="0"/>
        </c:dLbls>
        <c:axId val="140103680"/>
        <c:axId val="140107136"/>
      </c:areaChart>
      <c:lineChart>
        <c:grouping val="standard"/>
        <c:varyColors val="0"/>
        <c:ser>
          <c:idx val="0"/>
          <c:order val="0"/>
          <c:tx>
            <c:strRef>
              <c:f>'Annual Cash Flows &amp; Returns'!$R$4</c:f>
              <c:strCache>
                <c:ptCount val="1"/>
                <c:pt idx="0">
                  <c:v>Revenue + Tax Benefit/(Liability)</c:v>
                </c:pt>
              </c:strCache>
            </c:strRef>
          </c:tx>
          <c:marker>
            <c:symbol val="none"/>
          </c:marker>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Returns'!$R$6:$R$36</c:f>
              <c:numCache>
                <c:formatCode>"$"#,##0_);[Red]\("$"#,##0\)</c:formatCode>
                <c:ptCount val="31"/>
                <c:pt idx="1">
                  <c:v>980162.27644452266</c:v>
                </c:pt>
                <c:pt idx="2">
                  <c:v>995846.27626283583</c:v>
                </c:pt>
                <c:pt idx="3">
                  <c:v>1011746.8492339975</c:v>
                </c:pt>
                <c:pt idx="4">
                  <c:v>1027867.2222979849</c:v>
                </c:pt>
                <c:pt idx="5">
                  <c:v>1044210.6704761812</c:v>
                </c:pt>
                <c:pt idx="6">
                  <c:v>1060780.5175877884</c:v>
                </c:pt>
                <c:pt idx="7">
                  <c:v>1062085.0870666157</c:v>
                </c:pt>
                <c:pt idx="8">
                  <c:v>1030739.6105339421</c:v>
                </c:pt>
                <c:pt idx="9">
                  <c:v>1045828.0550036822</c:v>
                </c:pt>
                <c:pt idx="10">
                  <c:v>1064639.4335249087</c:v>
                </c:pt>
                <c:pt idx="11">
                  <c:v>1067923.3353773947</c:v>
                </c:pt>
                <c:pt idx="12">
                  <c:v>850983.34332677978</c:v>
                </c:pt>
                <c:pt idx="13">
                  <c:v>841736.22039354872</c:v>
                </c:pt>
                <c:pt idx="14">
                  <c:v>848485.2724351763</c:v>
                </c:pt>
                <c:pt idx="15">
                  <c:v>843086.763703109</c:v>
                </c:pt>
                <c:pt idx="16">
                  <c:v>828082.95065587107</c:v>
                </c:pt>
                <c:pt idx="17">
                  <c:v>825004.62603970256</c:v>
                </c:pt>
                <c:pt idx="18">
                  <c:v>831205.24056952808</c:v>
                </c:pt>
                <c:pt idx="19">
                  <c:v>836464.03458849492</c:v>
                </c:pt>
                <c:pt idx="20">
                  <c:v>888585.5163682953</c:v>
                </c:pt>
                <c:pt idx="21">
                  <c:v>285719.24908088887</c:v>
                </c:pt>
                <c:pt idx="22">
                  <c:v>288359.20363102865</c:v>
                </c:pt>
                <c:pt idx="23">
                  <c:v>263126.37409981381</c:v>
                </c:pt>
                <c:pt idx="24">
                  <c:v>268288.76340830565</c:v>
                </c:pt>
                <c:pt idx="25">
                  <c:v>260534.43458123517</c:v>
                </c:pt>
                <c:pt idx="26">
                  <c:v>0</c:v>
                </c:pt>
                <c:pt idx="27">
                  <c:v>0</c:v>
                </c:pt>
                <c:pt idx="28">
                  <c:v>0</c:v>
                </c:pt>
                <c:pt idx="29">
                  <c:v>0</c:v>
                </c:pt>
                <c:pt idx="30">
                  <c:v>0</c:v>
                </c:pt>
              </c:numCache>
            </c:numRef>
          </c:val>
          <c:smooth val="0"/>
          <c:extLst>
            <c:ext xmlns:c16="http://schemas.microsoft.com/office/drawing/2014/chart" uri="{C3380CC4-5D6E-409C-BE32-E72D297353CC}">
              <c16:uniqueId val="{00000001-9691-B940-9B26-CD7E60166CE5}"/>
            </c:ext>
          </c:extLst>
        </c:ser>
        <c:dLbls>
          <c:showLegendKey val="0"/>
          <c:showVal val="0"/>
          <c:showCatName val="0"/>
          <c:showSerName val="0"/>
          <c:showPercent val="0"/>
          <c:showBubbleSize val="0"/>
        </c:dLbls>
        <c:marker val="1"/>
        <c:smooth val="0"/>
        <c:axId val="140103680"/>
        <c:axId val="140107136"/>
      </c:lineChart>
      <c:catAx>
        <c:axId val="140103680"/>
        <c:scaling>
          <c:orientation val="minMax"/>
        </c:scaling>
        <c:delete val="0"/>
        <c:axPos val="b"/>
        <c:title>
          <c:tx>
            <c:rich>
              <a:bodyPr/>
              <a:lstStyle/>
              <a:p>
                <a:pPr>
                  <a:defRPr sz="1100"/>
                </a:pPr>
                <a:r>
                  <a:rPr lang="en-US" sz="1100"/>
                  <a:t>Project Year</a:t>
                </a:r>
              </a:p>
            </c:rich>
          </c:tx>
          <c:overlay val="0"/>
        </c:title>
        <c:numFmt formatCode="General" sourceLinked="1"/>
        <c:majorTickMark val="out"/>
        <c:minorTickMark val="none"/>
        <c:tickLblPos val="nextTo"/>
        <c:crossAx val="140107136"/>
        <c:crosses val="autoZero"/>
        <c:auto val="1"/>
        <c:lblAlgn val="ctr"/>
        <c:lblOffset val="100"/>
        <c:tickLblSkip val="5"/>
        <c:noMultiLvlLbl val="0"/>
      </c:catAx>
      <c:valAx>
        <c:axId val="140107136"/>
        <c:scaling>
          <c:orientation val="minMax"/>
        </c:scaling>
        <c:delete val="0"/>
        <c:axPos val="l"/>
        <c:title>
          <c:tx>
            <c:rich>
              <a:bodyPr rot="-5400000" vert="horz"/>
              <a:lstStyle/>
              <a:p>
                <a:pPr>
                  <a:defRPr sz="1100" b="1"/>
                </a:pPr>
                <a:r>
                  <a:rPr lang="en-US" sz="1100" b="1"/>
                  <a:t>( $)</a:t>
                </a:r>
              </a:p>
            </c:rich>
          </c:tx>
          <c:overlay val="0"/>
        </c:title>
        <c:numFmt formatCode="&quot;$&quot;#,##0" sourceLinked="0"/>
        <c:majorTickMark val="out"/>
        <c:minorTickMark val="none"/>
        <c:tickLblPos val="nextTo"/>
        <c:crossAx val="140103680"/>
        <c:crosses val="autoZero"/>
        <c:crossBetween val="between"/>
      </c:valAx>
      <c:spPr>
        <a:solidFill>
          <a:srgbClr val="FFFF99"/>
        </a:solidFill>
      </c:spPr>
    </c:plotArea>
    <c:legend>
      <c:legendPos val="r"/>
      <c:overlay val="1"/>
    </c:legend>
    <c:plotVisOnly val="1"/>
    <c:dispBlanksAs val="gap"/>
    <c:showDLblsOverMax val="0"/>
  </c:chart>
  <c:spPr>
    <a:solidFill>
      <a:srgbClr val="FFFF99"/>
    </a:solidFill>
  </c:spPr>
  <c:printSettings>
    <c:headerFooter/>
    <c:pageMargins b="0.75000000000001033" l="0.70000000000000062" r="0.70000000000000062" t="0.7500000000000103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83341</xdr:colOff>
      <xdr:row>37</xdr:row>
      <xdr:rowOff>130969</xdr:rowOff>
    </xdr:from>
    <xdr:to>
      <xdr:col>8</xdr:col>
      <xdr:colOff>452437</xdr:colOff>
      <xdr:row>61</xdr:row>
      <xdr:rowOff>35719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535780</xdr:colOff>
      <xdr:row>37</xdr:row>
      <xdr:rowOff>154781</xdr:rowOff>
    </xdr:from>
    <xdr:to>
      <xdr:col>16</xdr:col>
      <xdr:colOff>23813</xdr:colOff>
      <xdr:row>61</xdr:row>
      <xdr:rowOff>71437</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dsireusa.org/" TargetMode="External"/><Relationship Id="rId7" Type="http://schemas.openxmlformats.org/officeDocument/2006/relationships/hyperlink" Target="http://financere.nrel.gov/finance/content/crest-model" TargetMode="External"/><Relationship Id="rId2" Type="http://schemas.openxmlformats.org/officeDocument/2006/relationships/hyperlink" Target="http://www.nrel.gov/docs/fy02osti/31455.pdf" TargetMode="External"/><Relationship Id="rId1" Type="http://schemas.openxmlformats.org/officeDocument/2006/relationships/hyperlink" Target="http://www.pvwatts.org/" TargetMode="External"/><Relationship Id="rId6" Type="http://schemas.openxmlformats.org/officeDocument/2006/relationships/hyperlink" Target="http://financere.nrel.gov/finance/content/crest-model" TargetMode="External"/><Relationship Id="rId5" Type="http://schemas.openxmlformats.org/officeDocument/2006/relationships/hyperlink" Target="http://dsireusa.org/incentives/index.cfm?state=us&amp;re=1&amp;EE=1" TargetMode="External"/><Relationship Id="rId10" Type="http://schemas.openxmlformats.org/officeDocument/2006/relationships/comments" Target="../comments1.xml"/><Relationship Id="rId4" Type="http://schemas.openxmlformats.org/officeDocument/2006/relationships/hyperlink" Target="http://dsireusa.org/incentives/incentive.cfm?Incentive_Code=US02F&amp;re=1&amp;ee=1"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R45"/>
  <sheetViews>
    <sheetView showGridLines="0" zoomScale="80" zoomScaleNormal="80" workbookViewId="0">
      <pane ySplit="4" topLeftCell="A5" activePane="bottomLeft" state="frozen"/>
      <selection pane="bottomLeft" activeCell="C4" sqref="C4"/>
    </sheetView>
  </sheetViews>
  <sheetFormatPr defaultColWidth="9.140625" defaultRowHeight="15.75" x14ac:dyDescent="0.25"/>
  <cols>
    <col min="1" max="1" width="2.7109375" style="133" customWidth="1"/>
    <col min="2" max="2" width="26.85546875" style="133" customWidth="1"/>
    <col min="3" max="3" width="140.140625" style="133" customWidth="1"/>
    <col min="4" max="4" width="16.85546875" style="133" customWidth="1"/>
    <col min="5" max="12" width="9.140625" style="133"/>
    <col min="13" max="14" width="9.42578125" style="133" customWidth="1"/>
    <col min="15" max="15" width="5.28515625" style="133" customWidth="1"/>
    <col min="16" max="16384" width="9.140625" style="133"/>
  </cols>
  <sheetData>
    <row r="1" spans="2:18" ht="9" customHeight="1" thickBot="1" x14ac:dyDescent="0.3"/>
    <row r="2" spans="2:18" ht="30" customHeight="1" x14ac:dyDescent="0.25">
      <c r="B2" s="190" t="s">
        <v>203</v>
      </c>
      <c r="C2" s="191" t="s">
        <v>354</v>
      </c>
      <c r="D2" s="192"/>
      <c r="E2" s="130"/>
      <c r="F2" s="130"/>
      <c r="G2" s="130"/>
      <c r="H2" s="130"/>
      <c r="I2" s="130"/>
      <c r="J2" s="130"/>
      <c r="K2" s="130"/>
      <c r="L2" s="130"/>
      <c r="M2" s="130"/>
      <c r="N2" s="130"/>
      <c r="P2" s="128"/>
      <c r="Q2" s="129"/>
      <c r="R2" s="129"/>
    </row>
    <row r="3" spans="2:18" ht="30" customHeight="1" x14ac:dyDescent="0.25">
      <c r="B3" s="267" t="s">
        <v>222</v>
      </c>
      <c r="C3" s="268" t="s">
        <v>509</v>
      </c>
      <c r="D3" s="269"/>
      <c r="E3" s="130"/>
      <c r="F3" s="130"/>
      <c r="G3" s="130"/>
      <c r="H3" s="130"/>
      <c r="I3" s="130"/>
      <c r="J3" s="130"/>
      <c r="K3" s="130"/>
      <c r="L3" s="130"/>
      <c r="M3" s="130"/>
      <c r="N3" s="130"/>
      <c r="P3" s="128"/>
      <c r="Q3" s="129"/>
      <c r="R3" s="129"/>
    </row>
    <row r="4" spans="2:18" ht="60" customHeight="1" thickBot="1" x14ac:dyDescent="0.3">
      <c r="B4" s="685" t="s">
        <v>511</v>
      </c>
      <c r="C4" s="686" t="s">
        <v>510</v>
      </c>
      <c r="D4" s="269"/>
      <c r="E4" s="130"/>
      <c r="F4" s="130"/>
      <c r="G4" s="130"/>
      <c r="H4" s="130"/>
      <c r="I4" s="130"/>
      <c r="J4" s="130"/>
      <c r="K4" s="130"/>
      <c r="L4" s="130"/>
      <c r="M4" s="130"/>
      <c r="N4" s="130"/>
      <c r="P4" s="128"/>
      <c r="Q4" s="129"/>
      <c r="R4" s="129"/>
    </row>
    <row r="5" spans="2:18" ht="30" customHeight="1" x14ac:dyDescent="0.25">
      <c r="B5" s="606" t="s">
        <v>421</v>
      </c>
      <c r="C5" s="607" t="s">
        <v>420</v>
      </c>
      <c r="D5" s="608"/>
      <c r="E5" s="130"/>
      <c r="F5" s="130"/>
      <c r="G5" s="130"/>
      <c r="H5" s="130"/>
      <c r="I5" s="130"/>
      <c r="J5" s="130"/>
      <c r="K5" s="130"/>
      <c r="L5" s="130"/>
      <c r="M5" s="130"/>
      <c r="N5" s="130"/>
      <c r="P5" s="129"/>
      <c r="Q5" s="129"/>
      <c r="R5" s="129"/>
    </row>
    <row r="6" spans="2:18" ht="60" customHeight="1" x14ac:dyDescent="0.25">
      <c r="B6" s="630" t="s">
        <v>416</v>
      </c>
      <c r="C6" s="197" t="s">
        <v>418</v>
      </c>
      <c r="D6" s="631"/>
      <c r="E6" s="130"/>
      <c r="F6" s="130"/>
      <c r="G6" s="130"/>
      <c r="H6" s="130"/>
      <c r="I6" s="130"/>
      <c r="J6" s="130"/>
      <c r="K6" s="130"/>
      <c r="L6" s="130"/>
      <c r="M6" s="130"/>
      <c r="N6" s="130"/>
      <c r="P6" s="129"/>
      <c r="Q6" s="129"/>
      <c r="R6" s="129"/>
    </row>
    <row r="7" spans="2:18" ht="60" customHeight="1" x14ac:dyDescent="0.25">
      <c r="B7" s="630" t="s">
        <v>417</v>
      </c>
      <c r="C7" s="197" t="s">
        <v>419</v>
      </c>
      <c r="D7" s="631"/>
      <c r="E7" s="130"/>
      <c r="F7" s="130"/>
      <c r="G7" s="130"/>
      <c r="H7" s="130"/>
      <c r="I7" s="130"/>
      <c r="J7" s="130"/>
      <c r="K7" s="130"/>
      <c r="L7" s="130"/>
      <c r="M7" s="130"/>
      <c r="N7" s="130"/>
      <c r="P7" s="129"/>
      <c r="Q7" s="129"/>
      <c r="R7" s="129"/>
    </row>
    <row r="8" spans="2:18" x14ac:dyDescent="0.25">
      <c r="B8" s="193"/>
      <c r="C8" s="194"/>
      <c r="D8" s="195"/>
      <c r="E8" s="131"/>
      <c r="F8" s="131"/>
      <c r="G8" s="131"/>
      <c r="H8" s="131"/>
      <c r="I8" s="131"/>
      <c r="J8" s="131"/>
      <c r="K8" s="131"/>
      <c r="L8" s="131"/>
      <c r="M8" s="131"/>
      <c r="N8" s="131"/>
      <c r="P8" s="129"/>
      <c r="Q8" s="129"/>
      <c r="R8" s="129"/>
    </row>
    <row r="9" spans="2:18" ht="110.25" x14ac:dyDescent="0.25">
      <c r="B9" s="196" t="s">
        <v>204</v>
      </c>
      <c r="C9" s="197" t="s">
        <v>414</v>
      </c>
      <c r="D9" s="198"/>
      <c r="E9" s="132"/>
      <c r="F9" s="132"/>
      <c r="G9" s="132"/>
      <c r="H9" s="132"/>
      <c r="I9" s="132"/>
      <c r="J9" s="132"/>
      <c r="K9" s="132"/>
      <c r="L9" s="132"/>
      <c r="M9" s="132"/>
      <c r="N9" s="132"/>
      <c r="P9" s="128"/>
      <c r="Q9" s="129"/>
      <c r="R9" s="129"/>
    </row>
    <row r="10" spans="2:18" x14ac:dyDescent="0.25">
      <c r="B10" s="196"/>
      <c r="C10" s="628" t="s">
        <v>401</v>
      </c>
      <c r="D10" s="198"/>
      <c r="E10" s="132"/>
      <c r="F10" s="132"/>
      <c r="G10" s="132"/>
      <c r="H10" s="132"/>
      <c r="I10" s="132"/>
      <c r="J10" s="132"/>
      <c r="K10" s="132"/>
      <c r="L10" s="132"/>
      <c r="M10" s="132"/>
      <c r="N10" s="132"/>
      <c r="P10" s="128"/>
      <c r="Q10" s="129"/>
      <c r="R10" s="129"/>
    </row>
    <row r="11" spans="2:18" x14ac:dyDescent="0.25">
      <c r="B11" s="196"/>
      <c r="C11" s="197"/>
      <c r="D11" s="198"/>
      <c r="E11" s="132"/>
      <c r="F11" s="132"/>
      <c r="G11" s="132"/>
      <c r="H11" s="132"/>
      <c r="I11" s="132"/>
      <c r="J11" s="132"/>
      <c r="K11" s="132"/>
      <c r="L11" s="132"/>
      <c r="M11" s="132"/>
      <c r="N11" s="132"/>
      <c r="P11" s="128"/>
      <c r="Q11" s="129"/>
      <c r="R11" s="129"/>
    </row>
    <row r="12" spans="2:18" ht="63" x14ac:dyDescent="0.25">
      <c r="B12" s="202" t="s">
        <v>371</v>
      </c>
      <c r="C12" s="197" t="s">
        <v>403</v>
      </c>
      <c r="D12" s="198"/>
      <c r="E12" s="132"/>
      <c r="F12" s="132"/>
      <c r="G12" s="132"/>
      <c r="H12" s="132"/>
      <c r="I12" s="132"/>
      <c r="J12" s="132"/>
      <c r="K12" s="132"/>
      <c r="L12" s="132"/>
      <c r="M12" s="132"/>
      <c r="N12" s="132"/>
      <c r="P12" s="128"/>
      <c r="Q12" s="129"/>
      <c r="R12" s="129"/>
    </row>
    <row r="13" spans="2:18" x14ac:dyDescent="0.25">
      <c r="B13" s="202"/>
      <c r="C13" s="628" t="s">
        <v>401</v>
      </c>
      <c r="D13" s="198"/>
      <c r="E13" s="132"/>
      <c r="F13" s="132"/>
      <c r="G13" s="132"/>
      <c r="H13" s="132"/>
      <c r="I13" s="132"/>
      <c r="J13" s="132"/>
      <c r="K13" s="132"/>
      <c r="L13" s="132"/>
      <c r="M13" s="132"/>
      <c r="N13" s="132"/>
      <c r="P13" s="128"/>
      <c r="Q13" s="129"/>
      <c r="R13" s="129"/>
    </row>
    <row r="14" spans="2:18" x14ac:dyDescent="0.25">
      <c r="B14" s="202"/>
      <c r="C14" s="197" t="s">
        <v>402</v>
      </c>
      <c r="D14" s="198"/>
      <c r="E14" s="132"/>
      <c r="F14" s="132"/>
      <c r="G14" s="132"/>
      <c r="H14" s="132"/>
      <c r="I14" s="132"/>
      <c r="J14" s="132"/>
      <c r="K14" s="132"/>
      <c r="L14" s="132"/>
      <c r="M14" s="132"/>
      <c r="N14" s="132"/>
      <c r="P14" s="128"/>
      <c r="Q14" s="129"/>
      <c r="R14" s="129"/>
    </row>
    <row r="15" spans="2:18" x14ac:dyDescent="0.25">
      <c r="B15" s="199"/>
      <c r="C15" s="200"/>
      <c r="D15" s="201"/>
      <c r="P15" s="129"/>
      <c r="Q15" s="129"/>
      <c r="R15" s="129"/>
    </row>
    <row r="16" spans="2:18" ht="94.5" x14ac:dyDescent="0.25">
      <c r="B16" s="202" t="s">
        <v>214</v>
      </c>
      <c r="C16" s="266" t="s">
        <v>385</v>
      </c>
      <c r="D16" s="204"/>
      <c r="E16" s="134"/>
      <c r="F16" s="134"/>
      <c r="G16" s="134"/>
      <c r="H16" s="134"/>
      <c r="I16" s="134"/>
      <c r="J16" s="134"/>
      <c r="K16" s="134"/>
      <c r="L16" s="134"/>
      <c r="M16" s="134"/>
      <c r="N16" s="134"/>
      <c r="P16" s="129"/>
      <c r="Q16" s="129"/>
      <c r="R16" s="129"/>
    </row>
    <row r="17" spans="2:18" x14ac:dyDescent="0.25">
      <c r="B17" s="202"/>
      <c r="C17" s="203"/>
      <c r="D17" s="473" t="s">
        <v>372</v>
      </c>
      <c r="E17" s="134"/>
      <c r="F17" s="134"/>
      <c r="G17" s="134"/>
      <c r="H17" s="134"/>
      <c r="I17" s="134"/>
      <c r="J17" s="134"/>
      <c r="K17" s="134"/>
      <c r="L17" s="134"/>
      <c r="M17" s="134"/>
      <c r="N17" s="134"/>
      <c r="P17" s="129"/>
      <c r="Q17" s="129"/>
      <c r="R17" s="129"/>
    </row>
    <row r="18" spans="2:18" ht="31.5" x14ac:dyDescent="0.25">
      <c r="B18" s="202" t="s">
        <v>223</v>
      </c>
      <c r="C18" s="197" t="s">
        <v>343</v>
      </c>
      <c r="D18" s="474" t="s">
        <v>373</v>
      </c>
      <c r="E18" s="134"/>
      <c r="F18" s="134"/>
      <c r="G18" s="134"/>
      <c r="H18" s="134"/>
      <c r="I18" s="134"/>
      <c r="J18" s="134"/>
      <c r="K18" s="134"/>
      <c r="L18" s="134"/>
      <c r="M18" s="134"/>
      <c r="N18" s="134"/>
      <c r="P18" s="129"/>
      <c r="Q18" s="129"/>
      <c r="R18" s="129"/>
    </row>
    <row r="19" spans="2:18" ht="30" customHeight="1" x14ac:dyDescent="0.25">
      <c r="B19" s="202"/>
      <c r="C19" s="270" t="s">
        <v>215</v>
      </c>
      <c r="D19" s="475" t="s">
        <v>374</v>
      </c>
      <c r="P19" s="129"/>
      <c r="Q19" s="129"/>
      <c r="R19" s="129"/>
    </row>
    <row r="20" spans="2:18" ht="30" customHeight="1" x14ac:dyDescent="0.25">
      <c r="B20" s="202"/>
      <c r="C20" s="271" t="s">
        <v>224</v>
      </c>
      <c r="D20" s="476"/>
      <c r="E20" s="134"/>
      <c r="F20" s="134"/>
      <c r="G20" s="134"/>
      <c r="H20" s="134"/>
      <c r="I20" s="134"/>
      <c r="J20" s="134"/>
      <c r="K20" s="134"/>
      <c r="L20" s="134"/>
      <c r="M20" s="134"/>
      <c r="N20" s="134"/>
      <c r="P20" s="128"/>
      <c r="Q20" s="129"/>
      <c r="R20" s="129"/>
    </row>
    <row r="21" spans="2:18" ht="30" customHeight="1" x14ac:dyDescent="0.25">
      <c r="B21" s="202"/>
      <c r="C21" s="271" t="s">
        <v>344</v>
      </c>
      <c r="D21" s="477"/>
      <c r="E21" s="134"/>
      <c r="F21" s="134"/>
      <c r="G21" s="134"/>
      <c r="H21" s="134"/>
      <c r="I21" s="134"/>
      <c r="J21" s="134"/>
      <c r="K21" s="134"/>
      <c r="L21" s="134"/>
      <c r="M21" s="134"/>
      <c r="N21" s="134"/>
      <c r="P21" s="129"/>
      <c r="Q21" s="129"/>
      <c r="R21" s="129"/>
    </row>
    <row r="22" spans="2:18" ht="30" customHeight="1" x14ac:dyDescent="0.25">
      <c r="B22" s="202"/>
      <c r="C22" s="270" t="s">
        <v>345</v>
      </c>
      <c r="D22" s="478" t="s">
        <v>375</v>
      </c>
    </row>
    <row r="23" spans="2:18" ht="47.25" x14ac:dyDescent="0.25">
      <c r="B23" s="202"/>
      <c r="C23" s="271" t="s">
        <v>346</v>
      </c>
      <c r="D23" s="479" t="s">
        <v>8</v>
      </c>
      <c r="E23" s="134"/>
      <c r="F23" s="134"/>
      <c r="G23" s="134"/>
      <c r="H23" s="134"/>
      <c r="I23" s="134"/>
      <c r="J23" s="134"/>
      <c r="K23" s="134"/>
      <c r="L23" s="134"/>
      <c r="M23" s="134"/>
      <c r="N23" s="134"/>
    </row>
    <row r="24" spans="2:18" ht="15" customHeight="1" x14ac:dyDescent="0.25">
      <c r="B24" s="202"/>
      <c r="C24" s="205"/>
      <c r="D24" s="204"/>
      <c r="E24" s="134"/>
      <c r="F24" s="134"/>
      <c r="G24" s="134"/>
      <c r="H24" s="134"/>
      <c r="I24" s="134"/>
      <c r="J24" s="134"/>
      <c r="K24" s="134"/>
      <c r="L24" s="134"/>
      <c r="M24" s="134"/>
      <c r="N24" s="134"/>
    </row>
    <row r="25" spans="2:18" ht="157.5" x14ac:dyDescent="0.25">
      <c r="B25" s="202" t="s">
        <v>290</v>
      </c>
      <c r="C25" s="203" t="s">
        <v>376</v>
      </c>
      <c r="D25" s="204"/>
      <c r="E25" s="134"/>
      <c r="F25" s="134"/>
      <c r="G25" s="134"/>
      <c r="H25" s="134"/>
      <c r="I25" s="134"/>
      <c r="J25" s="134"/>
      <c r="K25" s="134"/>
      <c r="L25" s="134"/>
      <c r="M25" s="134"/>
      <c r="N25" s="134"/>
    </row>
    <row r="26" spans="2:18" x14ac:dyDescent="0.25">
      <c r="B26" s="202"/>
      <c r="C26" s="203"/>
      <c r="D26" s="204"/>
      <c r="E26" s="134"/>
      <c r="F26" s="134"/>
      <c r="G26" s="134"/>
      <c r="H26" s="134"/>
      <c r="I26" s="134"/>
      <c r="J26" s="134"/>
      <c r="K26" s="134"/>
      <c r="L26" s="134"/>
      <c r="M26" s="134"/>
      <c r="N26" s="134"/>
    </row>
    <row r="27" spans="2:18" ht="78.75" x14ac:dyDescent="0.25">
      <c r="B27" s="202" t="s">
        <v>291</v>
      </c>
      <c r="C27" s="266" t="s">
        <v>347</v>
      </c>
      <c r="D27" s="206"/>
      <c r="E27" s="135"/>
      <c r="F27" s="135"/>
      <c r="G27" s="135"/>
      <c r="H27" s="135"/>
      <c r="I27" s="135"/>
      <c r="J27" s="135"/>
      <c r="K27" s="135"/>
      <c r="L27" s="135"/>
      <c r="M27" s="135"/>
      <c r="N27" s="135"/>
    </row>
    <row r="28" spans="2:18" x14ac:dyDescent="0.25">
      <c r="B28" s="199"/>
      <c r="C28" s="200"/>
      <c r="D28" s="201"/>
    </row>
    <row r="29" spans="2:18" ht="107.25" customHeight="1" x14ac:dyDescent="0.25">
      <c r="B29" s="604" t="s">
        <v>386</v>
      </c>
      <c r="C29" s="271" t="s">
        <v>387</v>
      </c>
      <c r="D29" s="201"/>
    </row>
    <row r="30" spans="2:18" x14ac:dyDescent="0.25">
      <c r="B30" s="199" t="s">
        <v>388</v>
      </c>
      <c r="C30" s="605" t="s">
        <v>389</v>
      </c>
      <c r="D30" s="201"/>
    </row>
    <row r="31" spans="2:18" x14ac:dyDescent="0.25">
      <c r="B31" s="199" t="s">
        <v>397</v>
      </c>
      <c r="C31" s="610" t="s">
        <v>393</v>
      </c>
      <c r="D31" s="201"/>
    </row>
    <row r="32" spans="2:18" x14ac:dyDescent="0.25">
      <c r="B32" s="199" t="s">
        <v>394</v>
      </c>
      <c r="C32" s="610" t="s">
        <v>390</v>
      </c>
      <c r="D32" s="201"/>
    </row>
    <row r="33" spans="2:4" x14ac:dyDescent="0.25">
      <c r="B33" s="199" t="s">
        <v>395</v>
      </c>
      <c r="C33" s="610" t="s">
        <v>391</v>
      </c>
      <c r="D33" s="201"/>
    </row>
    <row r="34" spans="2:4" x14ac:dyDescent="0.25">
      <c r="B34" s="199" t="s">
        <v>396</v>
      </c>
      <c r="C34" s="610" t="s">
        <v>392</v>
      </c>
      <c r="D34" s="201"/>
    </row>
    <row r="35" spans="2:4" x14ac:dyDescent="0.25">
      <c r="B35" s="199"/>
      <c r="C35" s="200"/>
      <c r="D35" s="201"/>
    </row>
    <row r="36" spans="2:4" ht="78.75" x14ac:dyDescent="0.25">
      <c r="B36" s="202" t="s">
        <v>404</v>
      </c>
      <c r="C36" s="203" t="s">
        <v>413</v>
      </c>
      <c r="D36" s="201"/>
    </row>
    <row r="37" spans="2:4" x14ac:dyDescent="0.25">
      <c r="B37" s="202"/>
      <c r="C37" s="629" t="s">
        <v>405</v>
      </c>
      <c r="D37" s="201"/>
    </row>
    <row r="38" spans="2:4" x14ac:dyDescent="0.25">
      <c r="B38" s="202"/>
      <c r="C38" s="629" t="s">
        <v>406</v>
      </c>
      <c r="D38" s="201"/>
    </row>
    <row r="39" spans="2:4" x14ac:dyDescent="0.25">
      <c r="B39" s="202"/>
      <c r="C39" s="629" t="s">
        <v>407</v>
      </c>
      <c r="D39" s="201"/>
    </row>
    <row r="40" spans="2:4" x14ac:dyDescent="0.25">
      <c r="B40" s="202"/>
      <c r="C40" s="629" t="s">
        <v>408</v>
      </c>
      <c r="D40" s="201"/>
    </row>
    <row r="41" spans="2:4" x14ac:dyDescent="0.25">
      <c r="B41" s="202"/>
      <c r="C41" s="629" t="s">
        <v>409</v>
      </c>
      <c r="D41" s="201"/>
    </row>
    <row r="42" spans="2:4" x14ac:dyDescent="0.25">
      <c r="B42" s="202"/>
      <c r="C42" s="629" t="s">
        <v>410</v>
      </c>
      <c r="D42" s="201"/>
    </row>
    <row r="43" spans="2:4" x14ac:dyDescent="0.25">
      <c r="B43" s="202"/>
      <c r="C43" s="629" t="s">
        <v>411</v>
      </c>
      <c r="D43" s="201"/>
    </row>
    <row r="44" spans="2:4" x14ac:dyDescent="0.25">
      <c r="B44" s="202"/>
      <c r="C44" s="629" t="s">
        <v>412</v>
      </c>
      <c r="D44" s="201"/>
    </row>
    <row r="45" spans="2:4" ht="16.5" thickBot="1" x14ac:dyDescent="0.3">
      <c r="B45" s="207"/>
      <c r="C45" s="208"/>
      <c r="D45" s="209"/>
    </row>
  </sheetData>
  <sheetProtection password="8895" sheet="1" objects="1" scenarios="1"/>
  <hyperlinks>
    <hyperlink ref="C30" r:id="rId1" xr:uid="{00000000-0004-0000-0000-000000000000}"/>
    <hyperlink ref="C31" r:id="rId2" xr:uid="{00000000-0004-0000-0000-000001000000}"/>
    <hyperlink ref="C32" r:id="rId3" xr:uid="{00000000-0004-0000-0000-000002000000}"/>
    <hyperlink ref="C33" r:id="rId4" xr:uid="{00000000-0004-0000-0000-000003000000}"/>
    <hyperlink ref="C34" r:id="rId5" xr:uid="{00000000-0004-0000-0000-000004000000}"/>
    <hyperlink ref="C10" r:id="rId6" xr:uid="{00000000-0004-0000-0000-000005000000}"/>
    <hyperlink ref="C13" r:id="rId7" xr:uid="{00000000-0004-0000-0000-000006000000}"/>
  </hyperlinks>
  <pageMargins left="0.7" right="0.7" top="0.75" bottom="0.75" header="0.3" footer="0.3"/>
  <pageSetup scale="54" orientation="portrait" horizontalDpi="4294967293" verticalDpi="0" r:id="rId8"/>
  <legacy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F104"/>
  <sheetViews>
    <sheetView showGridLines="0" zoomScale="70" zoomScaleNormal="70" workbookViewId="0">
      <pane ySplit="4" topLeftCell="A9" activePane="bottomLeft" state="frozen"/>
      <selection pane="bottomLeft" activeCell="G33" sqref="G33"/>
    </sheetView>
  </sheetViews>
  <sheetFormatPr defaultColWidth="9.140625" defaultRowHeight="15" x14ac:dyDescent="0.2"/>
  <cols>
    <col min="1" max="1" width="1.7109375" style="1" customWidth="1"/>
    <col min="2" max="2" width="1" style="1" customWidth="1"/>
    <col min="3" max="3" width="7.7109375" style="1" customWidth="1"/>
    <col min="4" max="4" width="1" style="1" customWidth="1"/>
    <col min="5" max="5" width="54" style="1" customWidth="1"/>
    <col min="6" max="6" width="13.42578125" style="1" customWidth="1"/>
    <col min="7" max="7" width="19.140625" style="1" bestFit="1" customWidth="1"/>
    <col min="8" max="8" width="0.85546875" style="1" customWidth="1"/>
    <col min="9" max="9" width="6.7109375" style="1" customWidth="1"/>
    <col min="10" max="11" width="1.85546875" style="1" customWidth="1"/>
    <col min="12" max="12" width="1.140625" style="1" customWidth="1"/>
    <col min="13" max="13" width="7.7109375" style="1" customWidth="1"/>
    <col min="14" max="14" width="1" style="1" customWidth="1"/>
    <col min="15" max="15" width="55.42578125" style="1" customWidth="1"/>
    <col min="16" max="16" width="19" style="1" customWidth="1"/>
    <col min="17" max="17" width="24.28515625" style="1" customWidth="1"/>
    <col min="18" max="18" width="0.85546875" style="1" customWidth="1"/>
    <col min="19" max="19" width="6.85546875" style="1" customWidth="1"/>
    <col min="20" max="20" width="11.140625" style="1" customWidth="1"/>
    <col min="21" max="26" width="19.140625" style="1" customWidth="1"/>
    <col min="27" max="27" width="0.85546875" style="1" customWidth="1"/>
    <col min="28" max="29" width="9.140625" style="1"/>
    <col min="30" max="30" width="19.140625" style="1" bestFit="1" customWidth="1"/>
    <col min="31" max="31" width="12.85546875" style="1" bestFit="1" customWidth="1"/>
    <col min="32" max="16384" width="9.140625" style="1"/>
  </cols>
  <sheetData>
    <row r="1" spans="2:32" ht="7.5" customHeight="1" thickBot="1" x14ac:dyDescent="0.25">
      <c r="B1" s="39"/>
    </row>
    <row r="2" spans="2:32" s="286" customFormat="1" ht="30" customHeight="1" thickBot="1" x14ac:dyDescent="0.3">
      <c r="B2" s="617"/>
      <c r="C2" s="706" t="s">
        <v>267</v>
      </c>
      <c r="D2" s="706"/>
      <c r="E2" s="706"/>
      <c r="F2" s="706"/>
      <c r="G2" s="706"/>
      <c r="H2" s="706"/>
      <c r="I2" s="706"/>
      <c r="J2" s="706"/>
      <c r="K2" s="706"/>
      <c r="L2" s="706"/>
      <c r="M2" s="706"/>
      <c r="N2" s="706"/>
      <c r="O2" s="706"/>
      <c r="P2" s="706"/>
      <c r="Q2" s="706"/>
      <c r="R2" s="706"/>
      <c r="S2" s="706"/>
      <c r="T2" s="706"/>
      <c r="U2" s="362"/>
      <c r="V2" s="363"/>
      <c r="W2" s="363"/>
      <c r="X2" s="363"/>
      <c r="Y2" s="363"/>
      <c r="Z2" s="363"/>
      <c r="AA2" s="363"/>
      <c r="AB2" s="364"/>
      <c r="AD2" s="701" t="s">
        <v>491</v>
      </c>
      <c r="AE2" s="702"/>
    </row>
    <row r="3" spans="2:32" ht="18.75" customHeight="1" x14ac:dyDescent="0.25">
      <c r="B3" s="439"/>
      <c r="C3" s="300"/>
      <c r="D3" s="300"/>
      <c r="E3" s="300"/>
      <c r="F3" s="300"/>
      <c r="G3" s="300"/>
      <c r="H3" s="300"/>
      <c r="I3" s="300"/>
      <c r="J3" s="657"/>
      <c r="K3" s="655"/>
      <c r="L3" s="616"/>
      <c r="M3" s="14"/>
      <c r="N3" s="14"/>
      <c r="O3" s="14"/>
      <c r="P3" s="14"/>
      <c r="Q3" s="14"/>
      <c r="R3" s="14"/>
      <c r="S3" s="14"/>
      <c r="T3" s="14"/>
      <c r="U3" s="300"/>
      <c r="V3" s="301"/>
      <c r="W3" s="301"/>
      <c r="X3" s="301"/>
      <c r="Y3" s="301"/>
      <c r="Z3" s="301"/>
      <c r="AA3" s="301"/>
      <c r="AB3" s="329"/>
      <c r="AD3" s="703"/>
      <c r="AE3" s="704"/>
    </row>
    <row r="4" spans="2:32" ht="32.25" thickBot="1" x14ac:dyDescent="0.3">
      <c r="B4" s="11"/>
      <c r="C4" s="438" t="s">
        <v>21</v>
      </c>
      <c r="D4" s="14"/>
      <c r="F4" s="15"/>
      <c r="H4" s="424"/>
      <c r="I4" s="465" t="s">
        <v>20</v>
      </c>
      <c r="J4" s="285"/>
      <c r="K4" s="656"/>
      <c r="L4" s="330"/>
      <c r="M4" s="438" t="s">
        <v>21</v>
      </c>
      <c r="N4" s="15"/>
      <c r="O4" s="705" t="s">
        <v>15</v>
      </c>
      <c r="P4" s="705"/>
      <c r="Q4" s="449"/>
      <c r="R4" s="339"/>
      <c r="S4" s="450" t="s">
        <v>20</v>
      </c>
      <c r="T4" s="425"/>
      <c r="U4" s="14"/>
      <c r="AB4" s="285"/>
      <c r="AD4" s="640" t="s">
        <v>473</v>
      </c>
      <c r="AE4" s="665" t="s">
        <v>474</v>
      </c>
    </row>
    <row r="5" spans="2:32" ht="30" customHeight="1" thickBot="1" x14ac:dyDescent="0.3">
      <c r="B5" s="439"/>
      <c r="C5" s="442"/>
      <c r="D5" s="301"/>
      <c r="E5" s="83" t="s">
        <v>16</v>
      </c>
      <c r="F5" s="16"/>
      <c r="G5" s="66" t="s">
        <v>14</v>
      </c>
      <c r="H5" s="443"/>
      <c r="I5" s="466" t="s">
        <v>8</v>
      </c>
      <c r="J5" s="444"/>
      <c r="L5" s="439"/>
      <c r="M5" s="301"/>
      <c r="N5" s="301"/>
      <c r="O5" s="440" t="s">
        <v>14</v>
      </c>
      <c r="P5" s="440" t="s">
        <v>163</v>
      </c>
      <c r="Q5" s="301"/>
      <c r="R5" s="441"/>
      <c r="S5" s="301"/>
      <c r="T5" s="441"/>
      <c r="U5" s="441"/>
      <c r="V5" s="301"/>
      <c r="W5" s="301"/>
      <c r="X5" s="301"/>
      <c r="Y5" s="301"/>
      <c r="Z5" s="301"/>
      <c r="AA5" s="301"/>
      <c r="AB5" s="329"/>
      <c r="AD5" s="637" t="s">
        <v>506</v>
      </c>
      <c r="AE5" s="642">
        <v>9.0377305263157889E-2</v>
      </c>
      <c r="AF5" s="676"/>
    </row>
    <row r="6" spans="2:32" ht="18.75" thickBot="1" x14ac:dyDescent="0.3">
      <c r="B6" s="11"/>
      <c r="E6" s="20"/>
      <c r="F6" s="16"/>
      <c r="G6" s="19"/>
      <c r="H6" s="124"/>
      <c r="I6" s="17"/>
      <c r="J6" s="445"/>
      <c r="K6" s="15"/>
      <c r="L6" s="11"/>
      <c r="AB6" s="285"/>
      <c r="AD6" s="637" t="s">
        <v>424</v>
      </c>
      <c r="AE6" s="643">
        <v>0.15122328571428573</v>
      </c>
      <c r="AF6" s="676"/>
    </row>
    <row r="7" spans="2:32" ht="16.5" thickBot="1" x14ac:dyDescent="0.3">
      <c r="B7" s="11"/>
      <c r="E7" s="2" t="s">
        <v>17</v>
      </c>
      <c r="F7" s="380" t="s">
        <v>313</v>
      </c>
      <c r="G7" s="457" t="s">
        <v>351</v>
      </c>
      <c r="H7" s="56"/>
      <c r="I7" s="17"/>
      <c r="J7" s="446"/>
      <c r="K7" s="15"/>
      <c r="L7" s="11"/>
      <c r="O7" s="2" t="s">
        <v>399</v>
      </c>
      <c r="P7" s="380" t="s">
        <v>313</v>
      </c>
      <c r="Q7" s="457" t="s">
        <v>351</v>
      </c>
      <c r="AB7" s="285"/>
      <c r="AD7" s="637" t="s">
        <v>426</v>
      </c>
      <c r="AE7" s="643">
        <v>0.15075472222222225</v>
      </c>
      <c r="AF7" s="676"/>
    </row>
    <row r="8" spans="2:32" ht="15.75" x14ac:dyDescent="0.25">
      <c r="B8" s="11"/>
      <c r="E8" s="481" t="s">
        <v>31</v>
      </c>
      <c r="F8" s="7" t="str">
        <f>IF($G$5="Photovoltaic","kW dc","kW ac")</f>
        <v>kW dc</v>
      </c>
      <c r="G8" s="483">
        <v>2200</v>
      </c>
      <c r="H8" s="303"/>
      <c r="I8" s="12" t="s">
        <v>8</v>
      </c>
      <c r="J8" s="447"/>
      <c r="K8" s="15"/>
      <c r="L8" s="11"/>
      <c r="M8" s="403"/>
      <c r="N8" s="1">
        <f>IF(OR(Q8&lt;=0,Q8&gt;G15),1,0)</f>
        <v>0</v>
      </c>
      <c r="O8" s="481" t="s">
        <v>482</v>
      </c>
      <c r="P8" s="482" t="s">
        <v>4</v>
      </c>
      <c r="Q8" s="519">
        <v>20</v>
      </c>
      <c r="R8" s="306"/>
      <c r="S8" s="12" t="s">
        <v>8</v>
      </c>
      <c r="T8" s="375"/>
      <c r="AB8" s="285"/>
      <c r="AD8" s="637" t="s">
        <v>425</v>
      </c>
      <c r="AE8" s="643">
        <v>0.19350838888888891</v>
      </c>
      <c r="AF8" s="676"/>
    </row>
    <row r="9" spans="2:32" ht="15.75" x14ac:dyDescent="0.25">
      <c r="B9" s="11"/>
      <c r="C9" s="401"/>
      <c r="E9" s="663" t="s">
        <v>498</v>
      </c>
      <c r="F9" s="636"/>
      <c r="G9" s="664" t="s">
        <v>422</v>
      </c>
      <c r="I9" s="12" t="s">
        <v>8</v>
      </c>
      <c r="J9" s="285"/>
      <c r="K9" s="15"/>
      <c r="L9" s="11"/>
      <c r="M9" s="352"/>
      <c r="O9" s="484" t="s">
        <v>227</v>
      </c>
      <c r="P9" s="7" t="s">
        <v>1</v>
      </c>
      <c r="Q9" s="485">
        <v>1</v>
      </c>
      <c r="R9" s="304"/>
      <c r="S9" s="12" t="s">
        <v>8</v>
      </c>
      <c r="T9" s="375"/>
      <c r="AB9" s="285"/>
      <c r="AD9" s="637" t="s">
        <v>427</v>
      </c>
      <c r="AE9" s="643">
        <v>0.18045645833333335</v>
      </c>
      <c r="AF9" s="676"/>
    </row>
    <row r="10" spans="2:32" ht="16.5" thickBot="1" x14ac:dyDescent="0.3">
      <c r="B10" s="11"/>
      <c r="C10" s="654"/>
      <c r="E10" s="663" t="s">
        <v>423</v>
      </c>
      <c r="F10" s="639"/>
      <c r="G10" s="664" t="s">
        <v>427</v>
      </c>
      <c r="I10" s="12" t="s">
        <v>8</v>
      </c>
      <c r="J10" s="285"/>
      <c r="K10" s="15"/>
      <c r="L10" s="11"/>
      <c r="M10" s="351"/>
      <c r="O10" s="549" t="s">
        <v>400</v>
      </c>
      <c r="P10" s="491" t="s">
        <v>1</v>
      </c>
      <c r="Q10" s="550">
        <v>0.02</v>
      </c>
      <c r="R10" s="304"/>
      <c r="S10" s="12" t="s">
        <v>8</v>
      </c>
      <c r="T10" s="375"/>
      <c r="U10" s="15"/>
      <c r="AB10" s="285"/>
      <c r="AD10" s="637" t="s">
        <v>428</v>
      </c>
      <c r="AE10" s="643">
        <v>0.17701791999999997</v>
      </c>
      <c r="AF10" s="676"/>
    </row>
    <row r="11" spans="2:32" ht="16.5" thickBot="1" x14ac:dyDescent="0.3">
      <c r="B11" s="11"/>
      <c r="C11" s="654"/>
      <c r="E11" s="484" t="s">
        <v>472</v>
      </c>
      <c r="F11" s="7" t="str">
        <f>IF($G$5="Photovoltaic","% dc","% ac")</f>
        <v>% dc</v>
      </c>
      <c r="G11" s="485">
        <v>0.15</v>
      </c>
      <c r="I11" s="12" t="s">
        <v>8</v>
      </c>
      <c r="J11" s="285"/>
      <c r="K11" s="15"/>
      <c r="L11" s="330"/>
      <c r="M11" s="15"/>
      <c r="N11" s="15"/>
      <c r="O11" s="15"/>
      <c r="P11" s="15"/>
      <c r="Q11" s="15"/>
      <c r="R11" s="15"/>
      <c r="S11" s="15"/>
      <c r="T11" s="15"/>
      <c r="U11" s="136"/>
      <c r="V11" s="136"/>
      <c r="W11" s="136"/>
      <c r="X11" s="136"/>
      <c r="Y11" s="136"/>
      <c r="Z11" s="136"/>
      <c r="AB11" s="285"/>
      <c r="AD11" s="637" t="s">
        <v>429</v>
      </c>
      <c r="AE11" s="643">
        <v>0.13725642857142858</v>
      </c>
      <c r="AF11" s="676"/>
    </row>
    <row r="12" spans="2:32" ht="16.5" thickBot="1" x14ac:dyDescent="0.3">
      <c r="B12" s="11"/>
      <c r="C12" s="402"/>
      <c r="D12" s="1">
        <f>IF(OR(G12&lt;=0,G12&gt;1),1,0)</f>
        <v>0</v>
      </c>
      <c r="E12" s="484" t="s">
        <v>293</v>
      </c>
      <c r="F12" s="7"/>
      <c r="G12" s="675">
        <f>IF($G$9="Custom",$G$11,IF($G$5=$O$5,INDEX($AD$5:$AE$55,MATCH($G$10,$AD$5:$AD$55,0),2),"use Custom CF for solar thermal"))</f>
        <v>0.18045645833333335</v>
      </c>
      <c r="H12" s="304"/>
      <c r="I12" s="12" t="s">
        <v>8</v>
      </c>
      <c r="J12" s="447"/>
      <c r="K12" s="15"/>
      <c r="L12" s="330"/>
      <c r="O12" s="2" t="s">
        <v>415</v>
      </c>
      <c r="P12" s="3"/>
      <c r="Q12" s="4"/>
      <c r="R12" s="15"/>
      <c r="S12" s="12" t="s">
        <v>8</v>
      </c>
      <c r="T12" s="136"/>
      <c r="U12" s="211"/>
      <c r="V12" s="211"/>
      <c r="W12" s="211"/>
      <c r="X12" s="211"/>
      <c r="Y12" s="211"/>
      <c r="Z12" s="211"/>
      <c r="AB12" s="285"/>
      <c r="AD12" s="637" t="s">
        <v>430</v>
      </c>
      <c r="AE12" s="643">
        <v>0.14515900000000001</v>
      </c>
      <c r="AF12" s="676"/>
    </row>
    <row r="13" spans="2:32" ht="15.75" x14ac:dyDescent="0.25">
      <c r="B13" s="11"/>
      <c r="C13" s="317"/>
      <c r="E13" s="484" t="s">
        <v>301</v>
      </c>
      <c r="F13" s="8" t="s">
        <v>2</v>
      </c>
      <c r="G13" s="488">
        <f>G8*G12*8760</f>
        <v>3477756.8650000002</v>
      </c>
      <c r="H13" s="305"/>
      <c r="I13" s="12" t="s">
        <v>8</v>
      </c>
      <c r="J13" s="447"/>
      <c r="K13" s="15"/>
      <c r="L13" s="330"/>
      <c r="M13" s="401"/>
      <c r="O13" s="551" t="s">
        <v>277</v>
      </c>
      <c r="P13" s="552"/>
      <c r="Q13" s="553" t="s">
        <v>338</v>
      </c>
      <c r="S13" s="378" t="s">
        <v>8</v>
      </c>
      <c r="T13" s="379">
        <f>IF(Q8&lt;G15,1,0)</f>
        <v>1</v>
      </c>
      <c r="Y13" s="136"/>
      <c r="Z13" s="136"/>
      <c r="AB13" s="285"/>
      <c r="AD13" s="637" t="s">
        <v>431</v>
      </c>
      <c r="AE13" s="643">
        <v>0.15991028571428573</v>
      </c>
      <c r="AF13" s="676"/>
    </row>
    <row r="14" spans="2:32" ht="15.75" x14ac:dyDescent="0.25">
      <c r="B14" s="11"/>
      <c r="C14" s="401"/>
      <c r="D14" s="1">
        <f>IF(OR(G14&lt;0,G14&gt;1),1,0)</f>
        <v>0</v>
      </c>
      <c r="E14" s="489" t="s">
        <v>226</v>
      </c>
      <c r="F14" s="7" t="s">
        <v>1</v>
      </c>
      <c r="G14" s="485">
        <v>5.0000000000000001E-3</v>
      </c>
      <c r="H14" s="304"/>
      <c r="I14" s="12" t="s">
        <v>8</v>
      </c>
      <c r="J14" s="447"/>
      <c r="K14" s="15"/>
      <c r="L14" s="330"/>
      <c r="M14" s="401"/>
      <c r="N14" s="1">
        <f>IF(OR(Q14&lt;=0,Q14=""),1,0)</f>
        <v>0</v>
      </c>
      <c r="O14" s="554" t="s">
        <v>240</v>
      </c>
      <c r="P14" s="376" t="s">
        <v>56</v>
      </c>
      <c r="Q14" s="555">
        <v>5</v>
      </c>
      <c r="S14" s="378" t="s">
        <v>8</v>
      </c>
      <c r="T14" s="379">
        <f>IF(AND($Q$8&lt;$G$15,$Q$13="Year One"),1,0)</f>
        <v>1</v>
      </c>
      <c r="Y14" s="136"/>
      <c r="Z14" s="136"/>
      <c r="AB14" s="285"/>
      <c r="AD14" s="637" t="s">
        <v>432</v>
      </c>
      <c r="AE14" s="643">
        <v>0.15345157894736841</v>
      </c>
      <c r="AF14" s="676"/>
    </row>
    <row r="15" spans="2:32" ht="16.5" thickBot="1" x14ac:dyDescent="0.3">
      <c r="B15" s="11"/>
      <c r="C15" s="403"/>
      <c r="D15" s="1">
        <f>IF(OR(G15&lt;1,G15&gt;30),1,0)</f>
        <v>0</v>
      </c>
      <c r="E15" s="490" t="s">
        <v>239</v>
      </c>
      <c r="F15" s="491" t="s">
        <v>4</v>
      </c>
      <c r="G15" s="492">
        <v>25</v>
      </c>
      <c r="H15" s="306"/>
      <c r="I15" s="12" t="s">
        <v>8</v>
      </c>
      <c r="J15" s="447"/>
      <c r="K15" s="15"/>
      <c r="L15" s="330"/>
      <c r="M15" s="401"/>
      <c r="N15" s="1">
        <f>IF(OR(Q15&lt;=0,Q15=""),1,0)</f>
        <v>0</v>
      </c>
      <c r="O15" s="556" t="s">
        <v>241</v>
      </c>
      <c r="P15" s="377" t="s">
        <v>1</v>
      </c>
      <c r="Q15" s="557">
        <v>0.03</v>
      </c>
      <c r="S15" s="400" t="s">
        <v>8</v>
      </c>
      <c r="T15" s="379">
        <f>IF(AND($Q$8&lt;$G$15,$Q$13="Year One"),1,0)</f>
        <v>1</v>
      </c>
      <c r="Y15" s="136"/>
      <c r="Z15" s="136"/>
      <c r="AB15" s="285"/>
      <c r="AD15" s="637" t="s">
        <v>507</v>
      </c>
      <c r="AE15" s="643">
        <v>0.16900110000000002</v>
      </c>
      <c r="AF15" s="676"/>
    </row>
    <row r="16" spans="2:32" ht="16.5" thickBot="1" x14ac:dyDescent="0.3">
      <c r="B16" s="11"/>
      <c r="G16" s="17"/>
      <c r="H16" s="17"/>
      <c r="I16" s="13"/>
      <c r="J16" s="447"/>
      <c r="K16" s="15"/>
      <c r="L16" s="330"/>
      <c r="O16" s="558" t="str">
        <f>IF(OR($Q$13="Year One",$Q$8=$G$15),"","Click Here for Complex Input Worksheet")</f>
        <v/>
      </c>
      <c r="P16" s="559"/>
      <c r="Q16" s="560"/>
      <c r="S16" s="398" t="s">
        <v>8</v>
      </c>
      <c r="T16" s="379">
        <f>IF(AND($Q$8&lt;$G$15,$Q$13="Year-by-Year"),1,0)</f>
        <v>0</v>
      </c>
      <c r="U16" s="136"/>
      <c r="V16" s="136"/>
      <c r="W16" s="136"/>
      <c r="X16" s="136"/>
      <c r="Y16" s="136"/>
      <c r="Z16" s="136"/>
      <c r="AB16" s="285"/>
      <c r="AD16" s="637" t="s">
        <v>436</v>
      </c>
      <c r="AE16" s="643">
        <v>0.1383748974358974</v>
      </c>
      <c r="AF16" s="676"/>
    </row>
    <row r="17" spans="2:32" ht="16.5" thickBot="1" x14ac:dyDescent="0.3">
      <c r="B17" s="11"/>
      <c r="E17" s="10" t="s">
        <v>167</v>
      </c>
      <c r="F17" s="380" t="s">
        <v>313</v>
      </c>
      <c r="G17" s="457" t="s">
        <v>351</v>
      </c>
      <c r="H17" s="315"/>
      <c r="I17" s="13"/>
      <c r="J17" s="447"/>
      <c r="K17" s="15"/>
      <c r="L17" s="330"/>
      <c r="T17" s="212"/>
      <c r="U17" s="136"/>
      <c r="V17" s="136"/>
      <c r="W17" s="136"/>
      <c r="X17" s="136"/>
      <c r="Y17" s="136"/>
      <c r="Z17" s="136"/>
      <c r="AB17" s="285"/>
      <c r="AD17" s="637" t="s">
        <v>433</v>
      </c>
      <c r="AE17" s="643">
        <v>0.16156215384615386</v>
      </c>
      <c r="AF17" s="676"/>
    </row>
    <row r="18" spans="2:32" ht="16.5" thickBot="1" x14ac:dyDescent="0.3">
      <c r="B18" s="11"/>
      <c r="C18" s="353"/>
      <c r="E18" s="493" t="s">
        <v>9</v>
      </c>
      <c r="F18" s="494"/>
      <c r="G18" s="495" t="s">
        <v>508</v>
      </c>
      <c r="H18" s="313"/>
      <c r="I18" s="12" t="s">
        <v>8</v>
      </c>
      <c r="J18" s="447"/>
      <c r="K18" s="15"/>
      <c r="L18" s="330"/>
      <c r="O18" s="5" t="s">
        <v>27</v>
      </c>
      <c r="P18" s="380" t="s">
        <v>313</v>
      </c>
      <c r="Q18" s="457" t="s">
        <v>351</v>
      </c>
      <c r="R18" s="125"/>
      <c r="S18" s="13"/>
      <c r="T18" s="15"/>
      <c r="AA18" s="15"/>
      <c r="AB18" s="285"/>
      <c r="AD18" s="637" t="s">
        <v>434</v>
      </c>
      <c r="AE18" s="643">
        <v>0.14037910526315789</v>
      </c>
      <c r="AF18" s="676"/>
    </row>
    <row r="19" spans="2:32" ht="15.75" x14ac:dyDescent="0.25">
      <c r="B19" s="11"/>
      <c r="C19" s="354"/>
      <c r="E19" s="633" t="s">
        <v>143</v>
      </c>
      <c r="F19" s="634" t="str">
        <f>IF($G$5="Photovoltaic","$/Watt dc","$/Watt ac")</f>
        <v>$/Watt dc</v>
      </c>
      <c r="G19" s="635">
        <v>3.6</v>
      </c>
      <c r="H19" s="307"/>
      <c r="I19" s="398" t="s">
        <v>8</v>
      </c>
      <c r="J19" s="448"/>
      <c r="K19" s="15"/>
      <c r="L19" s="330"/>
      <c r="M19" s="406"/>
      <c r="O19" s="619" t="s">
        <v>499</v>
      </c>
      <c r="P19" s="620"/>
      <c r="Q19" s="621" t="s">
        <v>514</v>
      </c>
      <c r="R19" s="379">
        <f>IF(OR(Q19="Performance-Based",Q19="Neither"),1,IF(OR(Q19="Cost-Based",Q19="Neither"),2,0))</f>
        <v>2</v>
      </c>
      <c r="S19" s="12" t="s">
        <v>8</v>
      </c>
      <c r="T19" s="15"/>
      <c r="Z19" s="15"/>
      <c r="AA19" s="15"/>
      <c r="AB19" s="656"/>
      <c r="AD19" s="637" t="s">
        <v>435</v>
      </c>
      <c r="AE19" s="643">
        <v>0.13658869999999998</v>
      </c>
      <c r="AF19" s="676"/>
    </row>
    <row r="20" spans="2:32" ht="15.75" x14ac:dyDescent="0.25">
      <c r="B20" s="11"/>
      <c r="C20" s="355"/>
      <c r="E20" s="496" t="s">
        <v>168</v>
      </c>
      <c r="F20" s="376" t="s">
        <v>0</v>
      </c>
      <c r="G20" s="497">
        <v>2000000</v>
      </c>
      <c r="H20" s="308"/>
      <c r="I20" s="398" t="s">
        <v>8</v>
      </c>
      <c r="J20" s="447"/>
      <c r="K20" s="15"/>
      <c r="L20" s="330"/>
      <c r="M20" s="406"/>
      <c r="O20" s="489" t="s">
        <v>329</v>
      </c>
      <c r="P20" s="7"/>
      <c r="Q20" s="666" t="s">
        <v>515</v>
      </c>
      <c r="R20" s="15"/>
      <c r="S20" s="12" t="s">
        <v>8</v>
      </c>
      <c r="T20" s="15"/>
      <c r="Z20" s="15"/>
      <c r="AA20" s="15"/>
      <c r="AB20" s="656"/>
      <c r="AD20" s="637" t="s">
        <v>437</v>
      </c>
      <c r="AE20" s="643">
        <v>0.16386139130434785</v>
      </c>
      <c r="AF20" s="676"/>
    </row>
    <row r="21" spans="2:32" ht="15.75" x14ac:dyDescent="0.25">
      <c r="B21" s="11"/>
      <c r="C21" s="408"/>
      <c r="E21" s="496" t="s">
        <v>170</v>
      </c>
      <c r="F21" s="376" t="s">
        <v>0</v>
      </c>
      <c r="G21" s="497">
        <v>2000000</v>
      </c>
      <c r="H21" s="308"/>
      <c r="I21" s="398" t="s">
        <v>8</v>
      </c>
      <c r="J21" s="447"/>
      <c r="K21" s="15"/>
      <c r="L21" s="330"/>
      <c r="M21" s="406"/>
      <c r="N21" s="1">
        <f>IF(OR(Q21&lt;0,Q21&gt;1,Q21=""),1,0)</f>
        <v>0</v>
      </c>
      <c r="O21" s="486" t="s">
        <v>249</v>
      </c>
      <c r="P21" s="6" t="s">
        <v>1</v>
      </c>
      <c r="Q21" s="562">
        <v>0.26</v>
      </c>
      <c r="R21" s="15"/>
      <c r="S21" s="12" t="s">
        <v>8</v>
      </c>
      <c r="T21" s="15"/>
      <c r="Z21" s="15"/>
      <c r="AA21" s="15"/>
      <c r="AB21" s="690"/>
      <c r="AD21" s="637" t="s">
        <v>438</v>
      </c>
      <c r="AE21" s="643">
        <v>0.14003133333333331</v>
      </c>
      <c r="AF21" s="676"/>
    </row>
    <row r="22" spans="2:32" ht="15.75" x14ac:dyDescent="0.25">
      <c r="B22" s="11"/>
      <c r="C22" s="408"/>
      <c r="E22" s="496" t="s">
        <v>171</v>
      </c>
      <c r="F22" s="376" t="s">
        <v>0</v>
      </c>
      <c r="G22" s="497">
        <v>500000</v>
      </c>
      <c r="H22" s="308"/>
      <c r="I22" s="398" t="s">
        <v>8</v>
      </c>
      <c r="J22" s="447"/>
      <c r="K22" s="15"/>
      <c r="L22" s="11"/>
      <c r="N22" s="687">
        <f>IF(OR(Q22&lt;0,Q22&gt;1,Q22=""),1,0)</f>
        <v>0</v>
      </c>
      <c r="O22" s="486" t="s">
        <v>19</v>
      </c>
      <c r="P22" s="6" t="s">
        <v>1</v>
      </c>
      <c r="Q22" s="562">
        <v>1</v>
      </c>
      <c r="R22" s="688">
        <f>IF(AND($Q$19="Cost-Based",$Q$20="ITC"),1,0)</f>
        <v>1</v>
      </c>
      <c r="AB22" s="285"/>
      <c r="AD22" s="637" t="s">
        <v>439</v>
      </c>
      <c r="AE22" s="643">
        <v>0.15126782352941176</v>
      </c>
      <c r="AF22" s="676"/>
    </row>
    <row r="23" spans="2:32" ht="16.5" thickBot="1" x14ac:dyDescent="0.3">
      <c r="B23" s="11"/>
      <c r="C23" s="408"/>
      <c r="E23" s="496" t="s">
        <v>172</v>
      </c>
      <c r="F23" s="376" t="s">
        <v>0</v>
      </c>
      <c r="G23" s="497">
        <v>1000000</v>
      </c>
      <c r="H23" s="308"/>
      <c r="I23" s="398" t="s">
        <v>8</v>
      </c>
      <c r="J23" s="447"/>
      <c r="K23" s="15"/>
      <c r="L23" s="330"/>
      <c r="O23" s="490" t="s">
        <v>141</v>
      </c>
      <c r="P23" s="537" t="s">
        <v>0</v>
      </c>
      <c r="Q23" s="563">
        <f>IF($G$73="Yes",IF($Q$20="ITC",IF($G$18="Complex",'Complex Inputs'!$D$121,'Cash Flow'!$C$99)*Inputs!$Q$21*Inputs!$Q$22,IF($Q$20="Cash Grant",IF($G$18="Complex",'Complex Inputs'!$D$121,'Cash Flow'!$C$99)*Inputs!$Q$21,0)),0)</f>
        <v>967200</v>
      </c>
      <c r="R23" s="126"/>
      <c r="S23" s="12" t="s">
        <v>8</v>
      </c>
      <c r="AB23" s="285"/>
      <c r="AD23" s="637" t="s">
        <v>442</v>
      </c>
      <c r="AE23" s="643">
        <v>0.13314893333333333</v>
      </c>
      <c r="AF23" s="676"/>
    </row>
    <row r="24" spans="2:32" ht="15.75" x14ac:dyDescent="0.25">
      <c r="B24" s="11"/>
      <c r="C24" s="356"/>
      <c r="E24" s="496" t="s">
        <v>104</v>
      </c>
      <c r="F24" s="376" t="s">
        <v>0</v>
      </c>
      <c r="G24" s="498">
        <f>($G$54*$G$51*SUM($G$20:$G$23)+$G$48+$G$64+$Q$63+$Q$66)</f>
        <v>346851.568378906</v>
      </c>
      <c r="H24" s="309"/>
      <c r="I24" s="398" t="s">
        <v>8</v>
      </c>
      <c r="J24" s="447"/>
      <c r="K24" s="15"/>
      <c r="L24" s="330"/>
      <c r="M24" s="406"/>
      <c r="O24" s="502" t="s">
        <v>331</v>
      </c>
      <c r="P24" s="564"/>
      <c r="Q24" s="565" t="s">
        <v>328</v>
      </c>
      <c r="S24" s="12" t="s">
        <v>8</v>
      </c>
      <c r="AB24" s="285"/>
      <c r="AD24" s="637" t="s">
        <v>441</v>
      </c>
      <c r="AE24" s="643">
        <v>0.14594820000000003</v>
      </c>
      <c r="AF24" s="676"/>
    </row>
    <row r="25" spans="2:32" ht="16.5" thickBot="1" x14ac:dyDescent="0.3">
      <c r="B25" s="11"/>
      <c r="C25" s="356"/>
      <c r="E25" s="499" t="s">
        <v>333</v>
      </c>
      <c r="F25" s="500" t="str">
        <f>IF($G$18="Complex","$","")</f>
        <v/>
      </c>
      <c r="G25" s="501" t="str">
        <f>IF($G$18="Complex",'Complex Inputs'!$C$121,"")</f>
        <v/>
      </c>
      <c r="H25" s="310"/>
      <c r="I25" s="398" t="s">
        <v>8</v>
      </c>
      <c r="J25" s="447"/>
      <c r="K25" s="15"/>
      <c r="L25" s="330"/>
      <c r="M25" s="401"/>
      <c r="O25" s="484" t="s">
        <v>144</v>
      </c>
      <c r="P25" s="8" t="s">
        <v>56</v>
      </c>
      <c r="Q25" s="566">
        <v>2.2999999999999998</v>
      </c>
      <c r="R25" s="15"/>
      <c r="S25" s="12" t="s">
        <v>8</v>
      </c>
      <c r="AB25" s="285"/>
      <c r="AD25" s="637" t="s">
        <v>440</v>
      </c>
      <c r="AE25" s="643">
        <v>0.13126406666666665</v>
      </c>
      <c r="AF25" s="676"/>
    </row>
    <row r="26" spans="2:32" ht="15.75" x14ac:dyDescent="0.25">
      <c r="B26" s="11"/>
      <c r="C26" s="357"/>
      <c r="E26" s="502" t="s">
        <v>488</v>
      </c>
      <c r="F26" s="482" t="s">
        <v>0</v>
      </c>
      <c r="G26" s="503">
        <f>IF($G$18="Simple",($G$19*$G$8*1000),IF($G$18="Intermediate",SUM($G$20:$G$24),IF($G$18="Complex",$G$25,0)))</f>
        <v>5846851.5683789058</v>
      </c>
      <c r="H26" s="310"/>
      <c r="I26" s="12" t="s">
        <v>8</v>
      </c>
      <c r="J26" s="447"/>
      <c r="K26" s="15"/>
      <c r="L26" s="11"/>
      <c r="N26" s="1">
        <f>IF(OR(Q26&lt;0,Q26&gt;1),1,0)</f>
        <v>0</v>
      </c>
      <c r="O26" s="484" t="s">
        <v>377</v>
      </c>
      <c r="P26" s="6" t="s">
        <v>1</v>
      </c>
      <c r="Q26" s="567">
        <v>1</v>
      </c>
      <c r="T26" s="15"/>
      <c r="AB26" s="285"/>
      <c r="AD26" s="637" t="s">
        <v>443</v>
      </c>
      <c r="AE26" s="643">
        <v>0.13152564516129034</v>
      </c>
      <c r="AF26" s="676"/>
    </row>
    <row r="27" spans="2:32" ht="16.5" thickBot="1" x14ac:dyDescent="0.3">
      <c r="B27" s="11"/>
      <c r="C27" s="357"/>
      <c r="E27" s="490" t="s">
        <v>488</v>
      </c>
      <c r="F27" s="427" t="str">
        <f>F19</f>
        <v>$/Watt dc</v>
      </c>
      <c r="G27" s="504">
        <f>G26/G8/1000</f>
        <v>2.6576598038085937</v>
      </c>
      <c r="H27" s="316"/>
      <c r="I27" s="12" t="s">
        <v>8</v>
      </c>
      <c r="J27" s="447"/>
      <c r="K27" s="15"/>
      <c r="L27" s="330"/>
      <c r="M27" s="401"/>
      <c r="N27" s="1">
        <f>IF(OR(Q27&lt;0,Q27&gt;G15),1,0)</f>
        <v>0</v>
      </c>
      <c r="O27" s="484" t="s">
        <v>36</v>
      </c>
      <c r="P27" s="8" t="s">
        <v>35</v>
      </c>
      <c r="Q27" s="689">
        <v>10</v>
      </c>
      <c r="R27" s="15"/>
      <c r="S27" s="12" t="s">
        <v>8</v>
      </c>
      <c r="AB27" s="285"/>
      <c r="AD27" s="637" t="s">
        <v>444</v>
      </c>
      <c r="AE27" s="643">
        <v>0.13474461111111113</v>
      </c>
      <c r="AF27" s="676"/>
    </row>
    <row r="28" spans="2:32" ht="16.5" thickBot="1" x14ac:dyDescent="0.3">
      <c r="B28" s="11"/>
      <c r="C28" s="358"/>
      <c r="E28" s="18"/>
      <c r="I28" s="17"/>
      <c r="J28" s="447"/>
      <c r="K28" s="15"/>
      <c r="L28" s="330"/>
      <c r="M28" s="401"/>
      <c r="O28" s="484" t="s">
        <v>149</v>
      </c>
      <c r="P28" s="6" t="s">
        <v>1</v>
      </c>
      <c r="Q28" s="567">
        <v>0.02</v>
      </c>
      <c r="R28" s="15"/>
      <c r="S28" s="12" t="s">
        <v>8</v>
      </c>
      <c r="T28" s="15"/>
      <c r="AB28" s="285"/>
      <c r="AD28" s="637" t="s">
        <v>446</v>
      </c>
      <c r="AE28" s="643">
        <v>0.14885788235294117</v>
      </c>
      <c r="AF28" s="676"/>
    </row>
    <row r="29" spans="2:32" ht="16.5" thickBot="1" x14ac:dyDescent="0.3">
      <c r="B29" s="11"/>
      <c r="E29" s="5" t="s">
        <v>10</v>
      </c>
      <c r="F29" s="380" t="s">
        <v>313</v>
      </c>
      <c r="G29" s="457" t="s">
        <v>351</v>
      </c>
      <c r="H29" s="317"/>
      <c r="I29" s="17"/>
      <c r="J29" s="447"/>
      <c r="K29" s="15"/>
      <c r="L29" s="330"/>
      <c r="M29" s="401"/>
      <c r="O29" s="568" t="s">
        <v>502</v>
      </c>
      <c r="P29" s="505" t="s">
        <v>0</v>
      </c>
      <c r="Q29" s="569">
        <v>0</v>
      </c>
      <c r="R29" s="126"/>
      <c r="S29" s="12" t="s">
        <v>8</v>
      </c>
      <c r="T29" s="15"/>
      <c r="AB29" s="285"/>
      <c r="AD29" s="637" t="s">
        <v>445</v>
      </c>
      <c r="AE29" s="643">
        <v>0.15322899999999998</v>
      </c>
      <c r="AF29" s="676"/>
    </row>
    <row r="30" spans="2:32" ht="16.5" thickBot="1" x14ac:dyDescent="0.3">
      <c r="B30" s="11"/>
      <c r="C30" s="353"/>
      <c r="E30" s="493" t="s">
        <v>9</v>
      </c>
      <c r="F30" s="494"/>
      <c r="G30" s="495" t="s">
        <v>508</v>
      </c>
      <c r="H30" s="313"/>
      <c r="I30" s="12" t="s">
        <v>8</v>
      </c>
      <c r="J30" s="447"/>
      <c r="K30" s="15"/>
      <c r="L30" s="330"/>
      <c r="M30" s="406"/>
      <c r="O30" s="490" t="s">
        <v>268</v>
      </c>
      <c r="P30" s="491"/>
      <c r="Q30" s="544" t="s">
        <v>13</v>
      </c>
      <c r="R30" s="21"/>
      <c r="S30" s="12" t="s">
        <v>8</v>
      </c>
      <c r="T30" s="15"/>
      <c r="AB30" s="285"/>
      <c r="AD30" s="637" t="s">
        <v>447</v>
      </c>
      <c r="AE30" s="643">
        <v>0.1495389375</v>
      </c>
      <c r="AF30" s="676"/>
    </row>
    <row r="31" spans="2:32" ht="16.5" thickBot="1" x14ac:dyDescent="0.3">
      <c r="B31" s="11"/>
      <c r="C31" s="359"/>
      <c r="E31" s="481" t="s">
        <v>238</v>
      </c>
      <c r="F31" s="505" t="str">
        <f>IF($G$5=$O$5,"$/kW-yr dc",IF($G$5=$P$5,"$/kW-yr ac","error"))</f>
        <v>$/kW-yr dc</v>
      </c>
      <c r="G31" s="506">
        <v>5</v>
      </c>
      <c r="H31" s="318"/>
      <c r="I31" s="12" t="s">
        <v>8</v>
      </c>
      <c r="J31" s="447"/>
      <c r="K31" s="15"/>
      <c r="L31" s="11"/>
      <c r="AB31" s="285"/>
      <c r="AD31" s="637" t="s">
        <v>454</v>
      </c>
      <c r="AE31" s="643">
        <v>0.15266604545454546</v>
      </c>
      <c r="AF31" s="676"/>
    </row>
    <row r="32" spans="2:32" ht="16.5" thickBot="1" x14ac:dyDescent="0.3">
      <c r="B32" s="11"/>
      <c r="C32" s="401"/>
      <c r="E32" s="486" t="s">
        <v>105</v>
      </c>
      <c r="F32" s="6" t="s">
        <v>106</v>
      </c>
      <c r="G32" s="507">
        <v>0.01</v>
      </c>
      <c r="H32" s="319"/>
      <c r="I32" s="12" t="s">
        <v>8</v>
      </c>
      <c r="J32" s="447"/>
      <c r="K32" s="15"/>
      <c r="L32" s="330"/>
      <c r="O32" s="5" t="s">
        <v>494</v>
      </c>
      <c r="P32" s="380" t="s">
        <v>313</v>
      </c>
      <c r="Q32" s="457" t="s">
        <v>351</v>
      </c>
      <c r="R32" s="15"/>
      <c r="AB32" s="285"/>
      <c r="AD32" s="637" t="s">
        <v>455</v>
      </c>
      <c r="AE32" s="643">
        <v>0.14229880000000003</v>
      </c>
      <c r="AF32" s="676"/>
    </row>
    <row r="33" spans="2:32" ht="15.75" x14ac:dyDescent="0.25">
      <c r="B33" s="11"/>
      <c r="C33" s="360"/>
      <c r="D33" s="15"/>
      <c r="E33" s="508" t="s">
        <v>237</v>
      </c>
      <c r="F33" s="7" t="s">
        <v>1</v>
      </c>
      <c r="G33" s="509">
        <v>1.6E-2</v>
      </c>
      <c r="H33" s="318"/>
      <c r="I33" s="12" t="s">
        <v>8</v>
      </c>
      <c r="J33" s="448"/>
      <c r="K33" s="15"/>
      <c r="L33" s="330"/>
      <c r="M33" s="406"/>
      <c r="O33" s="619" t="s">
        <v>500</v>
      </c>
      <c r="P33" s="620"/>
      <c r="Q33" s="621" t="s">
        <v>497</v>
      </c>
      <c r="S33" s="12" t="s">
        <v>8</v>
      </c>
      <c r="AB33" s="285"/>
      <c r="AD33" s="637" t="s">
        <v>448</v>
      </c>
      <c r="AE33" s="643">
        <v>0.15780880769230771</v>
      </c>
      <c r="AF33" s="676"/>
    </row>
    <row r="34" spans="2:32" ht="15.75" x14ac:dyDescent="0.25">
      <c r="B34" s="11"/>
      <c r="C34" s="352"/>
      <c r="E34" s="484" t="s">
        <v>235</v>
      </c>
      <c r="F34" s="7" t="s">
        <v>30</v>
      </c>
      <c r="G34" s="510">
        <v>10</v>
      </c>
      <c r="H34" s="318"/>
      <c r="I34" s="12" t="s">
        <v>8</v>
      </c>
      <c r="J34" s="448"/>
      <c r="K34" s="15"/>
      <c r="L34" s="330"/>
      <c r="M34" s="401"/>
      <c r="N34" s="1">
        <f>IF(OR(Q34&lt;0,Q34&gt;1),1,0)</f>
        <v>0</v>
      </c>
      <c r="O34" s="489" t="s">
        <v>229</v>
      </c>
      <c r="P34" s="7" t="s">
        <v>1</v>
      </c>
      <c r="Q34" s="570">
        <v>0.3</v>
      </c>
      <c r="R34" s="658">
        <f>IF(OR($Q$33="Performance-Based",$Q$33="Neither"),1,0)</f>
        <v>1</v>
      </c>
      <c r="S34" s="12" t="s">
        <v>8</v>
      </c>
      <c r="T34" s="15"/>
      <c r="AB34" s="285"/>
      <c r="AD34" s="637" t="s">
        <v>450</v>
      </c>
      <c r="AE34" s="643">
        <v>0.13193012500000001</v>
      </c>
      <c r="AF34" s="676"/>
    </row>
    <row r="35" spans="2:32" ht="16.5" thickBot="1" x14ac:dyDescent="0.3">
      <c r="B35" s="11"/>
      <c r="C35" s="360"/>
      <c r="D35" s="15"/>
      <c r="E35" s="511" t="s">
        <v>236</v>
      </c>
      <c r="F35" s="491" t="s">
        <v>1</v>
      </c>
      <c r="G35" s="512">
        <v>1.6E-2</v>
      </c>
      <c r="H35" s="318"/>
      <c r="I35" s="12" t="s">
        <v>8</v>
      </c>
      <c r="J35" s="447"/>
      <c r="K35" s="15"/>
      <c r="L35" s="11"/>
      <c r="N35" s="1">
        <f>IF(OR(Q35&lt;0,Q35&gt;1),1,0)</f>
        <v>0</v>
      </c>
      <c r="O35" s="489" t="s">
        <v>28</v>
      </c>
      <c r="P35" s="7" t="s">
        <v>1</v>
      </c>
      <c r="Q35" s="570">
        <v>1</v>
      </c>
      <c r="AB35" s="285"/>
      <c r="AD35" s="637" t="s">
        <v>451</v>
      </c>
      <c r="AE35" s="643">
        <v>0.1446861111111111</v>
      </c>
      <c r="AF35" s="676"/>
    </row>
    <row r="36" spans="2:32" ht="15.75" x14ac:dyDescent="0.25">
      <c r="B36" s="11"/>
      <c r="C36" s="401"/>
      <c r="E36" s="502" t="s">
        <v>69</v>
      </c>
      <c r="F36" s="482" t="s">
        <v>1</v>
      </c>
      <c r="G36" s="513">
        <v>5.0000000000000001E-3</v>
      </c>
      <c r="H36" s="318"/>
      <c r="I36" s="398" t="s">
        <v>8</v>
      </c>
      <c r="J36" s="447"/>
      <c r="K36" s="15"/>
      <c r="L36" s="330"/>
      <c r="M36" s="401"/>
      <c r="N36" s="1">
        <f>IF(OR(Q36&lt;1,Q36&gt;G15),1,0)</f>
        <v>0</v>
      </c>
      <c r="O36" s="484" t="s">
        <v>34</v>
      </c>
      <c r="P36" s="8" t="s">
        <v>35</v>
      </c>
      <c r="Q36" s="689">
        <v>5</v>
      </c>
      <c r="R36" s="379"/>
      <c r="S36" s="12" t="s">
        <v>8</v>
      </c>
      <c r="AB36" s="285"/>
      <c r="AD36" s="637" t="s">
        <v>452</v>
      </c>
      <c r="AE36" s="643">
        <v>0.19511670588235294</v>
      </c>
      <c r="AF36" s="676"/>
    </row>
    <row r="37" spans="2:32" ht="16.5" thickBot="1" x14ac:dyDescent="0.3">
      <c r="B37" s="11"/>
      <c r="E37" s="484" t="s">
        <v>341</v>
      </c>
      <c r="F37" s="7" t="s">
        <v>0</v>
      </c>
      <c r="G37" s="514">
        <f>$G$36*IF($G$18="Simple",$G$26,IF($G$18="Intermediate",SUM($G$20:$G$23),SUM('Complex Inputs'!$C$116:$C$119)))</f>
        <v>27500</v>
      </c>
      <c r="H37" s="318"/>
      <c r="I37" s="398" t="s">
        <v>8</v>
      </c>
      <c r="J37" s="447"/>
      <c r="K37" s="15"/>
      <c r="L37" s="11"/>
      <c r="O37" s="490" t="s">
        <v>398</v>
      </c>
      <c r="P37" s="427" t="s">
        <v>0</v>
      </c>
      <c r="Q37" s="624">
        <f>IF(AND($G$73="Yes",$Q$33="Cost-Based"),SUM('Cash Flow'!$G$177:$AJ$177),0)</f>
        <v>0</v>
      </c>
      <c r="R37" s="379"/>
      <c r="S37" s="12" t="s">
        <v>8</v>
      </c>
      <c r="AB37" s="285"/>
      <c r="AD37" s="637" t="s">
        <v>449</v>
      </c>
      <c r="AE37" s="643">
        <v>0.18556</v>
      </c>
      <c r="AF37" s="676"/>
    </row>
    <row r="38" spans="2:32" ht="15.75" x14ac:dyDescent="0.25">
      <c r="B38" s="11"/>
      <c r="C38" s="401"/>
      <c r="E38" s="486" t="s">
        <v>228</v>
      </c>
      <c r="F38" s="6" t="s">
        <v>11</v>
      </c>
      <c r="G38" s="515">
        <v>50000</v>
      </c>
      <c r="H38" s="318"/>
      <c r="I38" s="398" t="s">
        <v>8</v>
      </c>
      <c r="J38" s="448"/>
      <c r="K38" s="15"/>
      <c r="L38" s="330"/>
      <c r="M38" s="406"/>
      <c r="O38" s="622" t="s">
        <v>332</v>
      </c>
      <c r="P38" s="6"/>
      <c r="Q38" s="623" t="s">
        <v>504</v>
      </c>
      <c r="R38" s="658">
        <f>IF(OR($Q$33="Cost-Based",$Q$33="Neither"),1,0)</f>
        <v>1</v>
      </c>
      <c r="S38" s="12" t="s">
        <v>8</v>
      </c>
      <c r="AB38" s="285"/>
      <c r="AD38" s="637" t="s">
        <v>453</v>
      </c>
      <c r="AE38" s="643">
        <v>0.13266062500000003</v>
      </c>
      <c r="AF38" s="676"/>
    </row>
    <row r="39" spans="2:32" ht="15.75" x14ac:dyDescent="0.25">
      <c r="B39" s="11"/>
      <c r="C39" s="401"/>
      <c r="E39" s="484" t="s">
        <v>270</v>
      </c>
      <c r="F39" s="6" t="s">
        <v>11</v>
      </c>
      <c r="G39" s="515">
        <v>50000</v>
      </c>
      <c r="H39" s="318"/>
      <c r="I39" s="398" t="s">
        <v>8</v>
      </c>
      <c r="J39" s="447"/>
      <c r="K39" s="15"/>
      <c r="L39" s="11"/>
      <c r="O39" s="484" t="s">
        <v>490</v>
      </c>
      <c r="P39" s="54" t="s">
        <v>0</v>
      </c>
      <c r="Q39" s="662">
        <v>0</v>
      </c>
      <c r="R39" s="265"/>
      <c r="S39" s="12" t="s">
        <v>8</v>
      </c>
      <c r="T39" s="15"/>
      <c r="U39" s="15"/>
      <c r="AB39" s="285"/>
      <c r="AD39" s="637" t="s">
        <v>456</v>
      </c>
      <c r="AE39" s="643">
        <v>0.13163007692307693</v>
      </c>
      <c r="AF39" s="676"/>
    </row>
    <row r="40" spans="2:32" ht="15.75" x14ac:dyDescent="0.25">
      <c r="B40" s="11"/>
      <c r="C40" s="401"/>
      <c r="E40" s="484" t="s">
        <v>269</v>
      </c>
      <c r="F40" s="6" t="s">
        <v>1</v>
      </c>
      <c r="G40" s="516">
        <v>-0.1</v>
      </c>
      <c r="H40" s="318"/>
      <c r="I40" s="398" t="s">
        <v>8</v>
      </c>
      <c r="J40" s="447"/>
      <c r="K40" s="15"/>
      <c r="L40" s="330"/>
      <c r="M40" s="406"/>
      <c r="O40" s="484" t="s">
        <v>505</v>
      </c>
      <c r="P40" s="8"/>
      <c r="Q40" s="571" t="s">
        <v>13</v>
      </c>
      <c r="R40" s="658">
        <f>IF(OR($Q$33="Cost-Based",$Q$33="Neither",$Q$38="Tax Credit"),1,0)</f>
        <v>1</v>
      </c>
      <c r="S40" s="12" t="s">
        <v>8</v>
      </c>
      <c r="U40" s="381"/>
      <c r="AB40" s="285"/>
      <c r="AD40" s="637" t="s">
        <v>457</v>
      </c>
      <c r="AE40" s="643">
        <v>0.16546093333333334</v>
      </c>
      <c r="AF40" s="676"/>
    </row>
    <row r="41" spans="2:32" ht="15.75" x14ac:dyDescent="0.25">
      <c r="B41" s="11"/>
      <c r="C41" s="401"/>
      <c r="E41" s="484" t="s">
        <v>355</v>
      </c>
      <c r="F41" s="6" t="s">
        <v>11</v>
      </c>
      <c r="G41" s="515">
        <v>5000</v>
      </c>
      <c r="H41" s="318"/>
      <c r="I41" s="398" t="s">
        <v>8</v>
      </c>
      <c r="J41" s="285"/>
      <c r="K41" s="15"/>
      <c r="L41" s="330"/>
      <c r="M41" s="401"/>
      <c r="O41" s="484" t="s">
        <v>492</v>
      </c>
      <c r="P41" s="8" t="s">
        <v>56</v>
      </c>
      <c r="Q41" s="566">
        <v>1.5</v>
      </c>
      <c r="R41" s="265"/>
      <c r="S41" s="12" t="s">
        <v>8</v>
      </c>
      <c r="T41" s="379">
        <f>IF(OR($Q$33="Cost-Based",$Q$33="Neither",$Q$38="Tax Credit"),1,0)</f>
        <v>1</v>
      </c>
      <c r="AB41" s="285"/>
      <c r="AD41" s="637" t="s">
        <v>458</v>
      </c>
      <c r="AE41" s="643">
        <v>0.14561410526315791</v>
      </c>
      <c r="AF41" s="676"/>
    </row>
    <row r="42" spans="2:32" ht="15.75" x14ac:dyDescent="0.25">
      <c r="B42" s="11"/>
      <c r="C42" s="401"/>
      <c r="E42" s="486" t="s">
        <v>121</v>
      </c>
      <c r="F42" s="6" t="s">
        <v>1</v>
      </c>
      <c r="G42" s="516">
        <v>0.03</v>
      </c>
      <c r="H42" s="318"/>
      <c r="I42" s="398" t="s">
        <v>8</v>
      </c>
      <c r="J42" s="447"/>
      <c r="K42" s="15"/>
      <c r="L42" s="11"/>
      <c r="N42" s="27">
        <f>IF(OR(Q42&lt;0,Q42&gt;1),1,0)</f>
        <v>0</v>
      </c>
      <c r="O42" s="484" t="s">
        <v>166</v>
      </c>
      <c r="P42" s="7" t="s">
        <v>1</v>
      </c>
      <c r="Q42" s="567">
        <v>1</v>
      </c>
      <c r="T42" s="379"/>
      <c r="U42" s="21"/>
      <c r="AB42" s="285"/>
      <c r="AD42" s="637" t="s">
        <v>459</v>
      </c>
      <c r="AE42" s="643">
        <v>0.13503780952380953</v>
      </c>
      <c r="AF42" s="676"/>
    </row>
    <row r="43" spans="2:32" ht="16.5" thickBot="1" x14ac:dyDescent="0.3">
      <c r="B43" s="11"/>
      <c r="E43" s="490" t="s">
        <v>342</v>
      </c>
      <c r="F43" s="491" t="s">
        <v>0</v>
      </c>
      <c r="G43" s="517">
        <f>-'Cash Flow'!G34</f>
        <v>29265.324018975003</v>
      </c>
      <c r="H43" s="318"/>
      <c r="I43" s="398" t="s">
        <v>8</v>
      </c>
      <c r="J43" s="285"/>
      <c r="K43" s="15"/>
      <c r="L43" s="330"/>
      <c r="M43" s="401"/>
      <c r="N43" s="1">
        <f>IF(OR(Q43&lt;0,Q43&gt;G15),1,0)</f>
        <v>0</v>
      </c>
      <c r="O43" s="484" t="s">
        <v>503</v>
      </c>
      <c r="P43" s="8" t="s">
        <v>35</v>
      </c>
      <c r="Q43" s="689">
        <v>10</v>
      </c>
      <c r="R43" s="21"/>
      <c r="S43" s="12" t="s">
        <v>8</v>
      </c>
      <c r="U43" s="21"/>
      <c r="AB43" s="285"/>
      <c r="AD43" s="637" t="s">
        <v>460</v>
      </c>
      <c r="AE43" s="643">
        <v>0.13814799999999999</v>
      </c>
      <c r="AF43" s="676"/>
    </row>
    <row r="44" spans="2:32" ht="16.5" thickBot="1" x14ac:dyDescent="0.3">
      <c r="B44" s="11"/>
      <c r="C44" s="361"/>
      <c r="I44" s="17"/>
      <c r="J44" s="447"/>
      <c r="K44" s="15"/>
      <c r="L44" s="330"/>
      <c r="M44" s="401"/>
      <c r="O44" s="484" t="s">
        <v>493</v>
      </c>
      <c r="P44" s="6" t="s">
        <v>1</v>
      </c>
      <c r="Q44" s="567">
        <v>0.02</v>
      </c>
      <c r="R44" s="15"/>
      <c r="S44" s="12" t="s">
        <v>8</v>
      </c>
      <c r="T44" s="379"/>
      <c r="U44" s="397"/>
      <c r="AB44" s="285"/>
      <c r="AD44" s="637" t="s">
        <v>461</v>
      </c>
      <c r="AE44" s="643">
        <v>0.15785109999999997</v>
      </c>
      <c r="AF44" s="676"/>
    </row>
    <row r="45" spans="2:32" ht="16.5" thickBot="1" x14ac:dyDescent="0.3">
      <c r="B45" s="11"/>
      <c r="C45" s="361"/>
      <c r="E45" s="5" t="s">
        <v>219</v>
      </c>
      <c r="F45" s="380" t="s">
        <v>313</v>
      </c>
      <c r="G45" s="457" t="s">
        <v>351</v>
      </c>
      <c r="H45" s="321"/>
      <c r="I45" s="17"/>
      <c r="J45" s="447"/>
      <c r="K45" s="15"/>
      <c r="L45" s="330"/>
      <c r="M45" s="401"/>
      <c r="N45" s="15"/>
      <c r="O45" s="659" t="s">
        <v>501</v>
      </c>
      <c r="P45" s="546" t="s">
        <v>32</v>
      </c>
      <c r="Q45" s="660">
        <v>0</v>
      </c>
      <c r="S45" s="12" t="s">
        <v>8</v>
      </c>
      <c r="U45" s="21"/>
      <c r="AB45" s="285"/>
      <c r="AD45" s="637" t="s">
        <v>462</v>
      </c>
      <c r="AE45" s="643">
        <v>0.14783954545454545</v>
      </c>
      <c r="AF45" s="676"/>
    </row>
    <row r="46" spans="2:32" ht="15.75" x14ac:dyDescent="0.25">
      <c r="B46" s="11"/>
      <c r="C46" s="404"/>
      <c r="E46" s="518" t="s">
        <v>5</v>
      </c>
      <c r="F46" s="482" t="s">
        <v>39</v>
      </c>
      <c r="G46" s="519">
        <v>6</v>
      </c>
      <c r="H46" s="321"/>
      <c r="I46" s="12" t="s">
        <v>8</v>
      </c>
      <c r="J46" s="447"/>
      <c r="K46" s="15"/>
      <c r="L46" s="11"/>
      <c r="O46" s="484" t="s">
        <v>487</v>
      </c>
      <c r="P46" s="8" t="s">
        <v>0</v>
      </c>
      <c r="Q46" s="661">
        <v>500000</v>
      </c>
      <c r="S46" s="12" t="s">
        <v>8</v>
      </c>
      <c r="U46" s="21"/>
      <c r="AB46" s="285"/>
      <c r="AD46" s="637" t="s">
        <v>463</v>
      </c>
      <c r="AE46" s="643">
        <v>0.14919450000000001</v>
      </c>
      <c r="AF46" s="676"/>
    </row>
    <row r="47" spans="2:32" ht="16.5" thickBot="1" x14ac:dyDescent="0.3">
      <c r="B47" s="11"/>
      <c r="C47" s="404"/>
      <c r="E47" s="508" t="s">
        <v>38</v>
      </c>
      <c r="F47" s="7" t="s">
        <v>1</v>
      </c>
      <c r="G47" s="509">
        <v>0.05</v>
      </c>
      <c r="H47" s="321"/>
      <c r="I47" s="12" t="s">
        <v>8</v>
      </c>
      <c r="J47" s="447"/>
      <c r="K47" s="15"/>
      <c r="L47" s="330"/>
      <c r="M47" s="406"/>
      <c r="O47" s="490" t="s">
        <v>489</v>
      </c>
      <c r="P47" s="491"/>
      <c r="Q47" s="544" t="s">
        <v>13</v>
      </c>
      <c r="R47" s="21"/>
      <c r="S47" s="12" t="s">
        <v>8</v>
      </c>
      <c r="U47" s="15"/>
      <c r="AB47" s="285"/>
      <c r="AD47" s="637" t="s">
        <v>464</v>
      </c>
      <c r="AE47" s="643">
        <v>0.16158443333333339</v>
      </c>
      <c r="AF47" s="676"/>
    </row>
    <row r="48" spans="2:32" ht="16.5" thickBot="1" x14ac:dyDescent="0.3">
      <c r="B48" s="11"/>
      <c r="C48" s="361"/>
      <c r="E48" s="511" t="s">
        <v>40</v>
      </c>
      <c r="F48" s="427" t="s">
        <v>0</v>
      </c>
      <c r="G48" s="517">
        <f>IF($G$18="intermediate",SUM(G20:G23)*($G$47/12)*($G$46/2),IF($G$18="complex",'Complex Inputs'!$C$107,0))</f>
        <v>68750</v>
      </c>
      <c r="H48" s="321"/>
      <c r="I48" s="12" t="s">
        <v>8</v>
      </c>
      <c r="J48" s="447"/>
      <c r="K48" s="15"/>
      <c r="L48" s="11"/>
      <c r="U48" s="332"/>
      <c r="AB48" s="285"/>
      <c r="AD48" s="637" t="s">
        <v>465</v>
      </c>
      <c r="AE48" s="643">
        <v>0.1788548461538462</v>
      </c>
      <c r="AF48" s="676"/>
    </row>
    <row r="49" spans="2:32" ht="16.5" thickBot="1" x14ac:dyDescent="0.3">
      <c r="B49" s="11"/>
      <c r="G49" s="215"/>
      <c r="H49" s="215"/>
      <c r="I49" s="17"/>
      <c r="J49" s="447"/>
      <c r="K49" s="15"/>
      <c r="L49" s="330"/>
      <c r="M49" s="15"/>
      <c r="N49" s="15"/>
      <c r="O49" s="5" t="s">
        <v>302</v>
      </c>
      <c r="P49" s="22"/>
      <c r="Q49" s="457" t="s">
        <v>351</v>
      </c>
      <c r="R49" s="15"/>
      <c r="S49" s="15"/>
      <c r="T49" s="15"/>
      <c r="U49" s="15"/>
      <c r="AB49" s="285"/>
      <c r="AD49" s="637" t="s">
        <v>467</v>
      </c>
      <c r="AE49" s="643">
        <v>0.14856019354838715</v>
      </c>
      <c r="AF49" s="676"/>
    </row>
    <row r="50" spans="2:32" ht="16.5" thickBot="1" x14ac:dyDescent="0.3">
      <c r="B50" s="11"/>
      <c r="C50" s="361"/>
      <c r="E50" s="5" t="s">
        <v>37</v>
      </c>
      <c r="F50" s="380" t="s">
        <v>313</v>
      </c>
      <c r="G50" s="457" t="s">
        <v>351</v>
      </c>
      <c r="H50" s="321"/>
      <c r="I50" s="451"/>
      <c r="J50" s="447"/>
      <c r="K50" s="15"/>
      <c r="L50" s="330"/>
      <c r="M50" s="407"/>
      <c r="N50" s="15">
        <f>IF(OR(Q50&lt;1,Q50&gt;$G$15),1,0)</f>
        <v>0</v>
      </c>
      <c r="O50" s="518" t="s">
        <v>67</v>
      </c>
      <c r="P50" s="505" t="s">
        <v>30</v>
      </c>
      <c r="Q50" s="572">
        <v>10</v>
      </c>
      <c r="R50" s="15"/>
      <c r="S50" s="12" t="s">
        <v>8</v>
      </c>
      <c r="T50" s="15"/>
      <c r="U50" s="15"/>
      <c r="AB50" s="285"/>
      <c r="AD50" s="637" t="s">
        <v>466</v>
      </c>
      <c r="AE50" s="643">
        <v>0.12892275</v>
      </c>
      <c r="AF50" s="676"/>
    </row>
    <row r="51" spans="2:32" ht="15.75" x14ac:dyDescent="0.25">
      <c r="B51" s="11"/>
      <c r="C51" s="401"/>
      <c r="D51" s="1">
        <f>IF(OR(G51="",G51&lt;0,G51&gt;1),1,0)</f>
        <v>0</v>
      </c>
      <c r="E51" s="502" t="s">
        <v>271</v>
      </c>
      <c r="F51" s="482" t="s">
        <v>1</v>
      </c>
      <c r="G51" s="520">
        <v>0.45</v>
      </c>
      <c r="H51" s="322"/>
      <c r="I51" s="12" t="s">
        <v>8</v>
      </c>
      <c r="J51" s="448"/>
      <c r="K51" s="15"/>
      <c r="L51" s="330"/>
      <c r="M51" s="360"/>
      <c r="N51" s="15"/>
      <c r="O51" s="508" t="s">
        <v>279</v>
      </c>
      <c r="P51" s="8" t="str">
        <f>F19</f>
        <v>$/Watt dc</v>
      </c>
      <c r="Q51" s="573">
        <v>0.23499999999999999</v>
      </c>
      <c r="R51" s="15"/>
      <c r="S51" s="12" t="s">
        <v>8</v>
      </c>
      <c r="T51" s="15"/>
      <c r="U51" s="15"/>
      <c r="AB51" s="285"/>
      <c r="AD51" s="637" t="s">
        <v>468</v>
      </c>
      <c r="AE51" s="643">
        <v>0.13182176551724137</v>
      </c>
      <c r="AF51" s="676"/>
    </row>
    <row r="52" spans="2:32" ht="15.75" x14ac:dyDescent="0.25">
      <c r="B52" s="11"/>
      <c r="C52" s="401"/>
      <c r="D52" s="1">
        <f>IF(OR(G52&lt;=0,G52&gt;G15),1,0)</f>
        <v>0</v>
      </c>
      <c r="E52" s="484" t="s">
        <v>479</v>
      </c>
      <c r="F52" s="6" t="s">
        <v>4</v>
      </c>
      <c r="G52" s="510">
        <v>18</v>
      </c>
      <c r="H52" s="306"/>
      <c r="I52" s="12" t="s">
        <v>8</v>
      </c>
      <c r="J52" s="448"/>
      <c r="K52" s="15"/>
      <c r="L52" s="330"/>
      <c r="M52" s="407"/>
      <c r="N52" s="15">
        <f>IF(OR(Q52&lt;=Q50,Q52&gt;$G$15),1,0)</f>
        <v>0</v>
      </c>
      <c r="O52" s="508" t="s">
        <v>68</v>
      </c>
      <c r="P52" s="8" t="s">
        <v>30</v>
      </c>
      <c r="Q52" s="487">
        <v>20</v>
      </c>
      <c r="R52" s="15"/>
      <c r="S52" s="12" t="s">
        <v>8</v>
      </c>
      <c r="T52" s="15"/>
      <c r="U52" s="15"/>
      <c r="AB52" s="285"/>
      <c r="AD52" s="637" t="s">
        <v>470</v>
      </c>
      <c r="AE52" s="643">
        <v>0.13659035</v>
      </c>
      <c r="AF52" s="676"/>
    </row>
    <row r="53" spans="2:32" ht="16.5" thickBot="1" x14ac:dyDescent="0.3">
      <c r="B53" s="11"/>
      <c r="C53" s="404"/>
      <c r="D53" s="1">
        <f>IF(OR(G53&lt;0,G53=""),1,0)</f>
        <v>0</v>
      </c>
      <c r="E53" s="484" t="s">
        <v>234</v>
      </c>
      <c r="F53" s="7" t="s">
        <v>1</v>
      </c>
      <c r="G53" s="521">
        <v>7.0000000000000007E-2</v>
      </c>
      <c r="H53" s="323"/>
      <c r="I53" s="12" t="s">
        <v>8</v>
      </c>
      <c r="J53" s="448"/>
      <c r="K53" s="15"/>
      <c r="L53" s="330"/>
      <c r="M53" s="360"/>
      <c r="N53" s="15"/>
      <c r="O53" s="511" t="s">
        <v>280</v>
      </c>
      <c r="P53" s="427" t="str">
        <f>F19</f>
        <v>$/Watt dc</v>
      </c>
      <c r="Q53" s="574">
        <v>0.245</v>
      </c>
      <c r="R53" s="15"/>
      <c r="S53" s="12" t="s">
        <v>8</v>
      </c>
      <c r="T53" s="15"/>
      <c r="U53" s="15"/>
      <c r="AB53" s="285"/>
      <c r="AD53" s="637" t="s">
        <v>469</v>
      </c>
      <c r="AE53" s="643">
        <v>0.13070636363636362</v>
      </c>
      <c r="AF53" s="676"/>
    </row>
    <row r="54" spans="2:32" ht="16.5" thickBot="1" x14ac:dyDescent="0.3">
      <c r="B54" s="11"/>
      <c r="C54" s="401"/>
      <c r="D54" s="1">
        <f>IF(OR(G54&lt;0,G54=""),1,0)</f>
        <v>0</v>
      </c>
      <c r="E54" s="522" t="s">
        <v>51</v>
      </c>
      <c r="F54" s="491" t="s">
        <v>1</v>
      </c>
      <c r="G54" s="523">
        <v>0.03</v>
      </c>
      <c r="H54" s="304"/>
      <c r="I54" s="12" t="s">
        <v>8</v>
      </c>
      <c r="J54" s="447"/>
      <c r="K54" s="15"/>
      <c r="L54" s="330"/>
      <c r="M54" s="15"/>
      <c r="N54" s="15"/>
      <c r="R54" s="15"/>
      <c r="T54" s="15"/>
      <c r="U54" s="15"/>
      <c r="AB54" s="285"/>
      <c r="AD54" s="638" t="s">
        <v>471</v>
      </c>
      <c r="AE54" s="641">
        <v>0.17076261538461537</v>
      </c>
      <c r="AF54" s="676"/>
    </row>
    <row r="55" spans="2:32" ht="16.5" thickBot="1" x14ac:dyDescent="0.3">
      <c r="B55" s="11"/>
      <c r="C55" s="401"/>
      <c r="E55" s="502" t="s">
        <v>247</v>
      </c>
      <c r="F55" s="505"/>
      <c r="G55" s="524">
        <v>1.2</v>
      </c>
      <c r="H55" s="311"/>
      <c r="I55" s="12" t="s">
        <v>8</v>
      </c>
      <c r="J55" s="447"/>
      <c r="K55" s="15"/>
      <c r="L55" s="330"/>
      <c r="M55" s="15"/>
      <c r="N55" s="15"/>
      <c r="O55" s="5" t="s">
        <v>48</v>
      </c>
      <c r="P55" s="380" t="s">
        <v>313</v>
      </c>
      <c r="Q55" s="457" t="s">
        <v>351</v>
      </c>
      <c r="R55" s="15"/>
      <c r="S55" s="15"/>
      <c r="T55" s="15"/>
      <c r="U55" s="15"/>
      <c r="AB55" s="285"/>
      <c r="AD55" s="677"/>
      <c r="AE55" s="678"/>
    </row>
    <row r="56" spans="2:32" ht="15.75" x14ac:dyDescent="0.25">
      <c r="B56" s="11"/>
      <c r="E56" s="484" t="s">
        <v>248</v>
      </c>
      <c r="F56" s="287">
        <f>MAX('Cash Flow'!G42:AJ42)</f>
        <v>1</v>
      </c>
      <c r="G56" s="525">
        <f>ROUND('Cash Flow'!$F$41,2)</f>
        <v>3.05</v>
      </c>
      <c r="H56" s="312"/>
      <c r="I56" s="12" t="s">
        <v>8</v>
      </c>
      <c r="J56" s="447"/>
      <c r="K56" s="15"/>
      <c r="L56" s="330"/>
      <c r="M56" s="15"/>
      <c r="N56" s="15"/>
      <c r="O56" s="575" t="s">
        <v>47</v>
      </c>
      <c r="P56" s="576"/>
      <c r="Q56" s="577"/>
      <c r="R56" s="15"/>
      <c r="S56" s="15"/>
      <c r="T56" s="15"/>
      <c r="AB56" s="285"/>
    </row>
    <row r="57" spans="2:32" ht="15.75" x14ac:dyDescent="0.25">
      <c r="B57" s="11"/>
      <c r="C57" s="401"/>
      <c r="E57" s="484" t="s">
        <v>349</v>
      </c>
      <c r="F57" s="8" t="s">
        <v>216</v>
      </c>
      <c r="G57" s="526" t="str">
        <f>IF($G$56&gt;=$G$55,"Pass","Fail")</f>
        <v>Pass</v>
      </c>
      <c r="H57" s="452"/>
      <c r="I57" s="12" t="s">
        <v>8</v>
      </c>
      <c r="J57" s="448"/>
      <c r="K57" s="15"/>
      <c r="L57" s="330"/>
      <c r="M57" s="406"/>
      <c r="N57" s="15"/>
      <c r="O57" s="578" t="s">
        <v>49</v>
      </c>
      <c r="P57" s="458"/>
      <c r="Q57" s="571" t="s">
        <v>513</v>
      </c>
      <c r="R57" s="15"/>
      <c r="S57" s="12" t="s">
        <v>8</v>
      </c>
      <c r="T57" s="15"/>
      <c r="U57" s="15"/>
      <c r="AB57" s="285"/>
    </row>
    <row r="58" spans="2:32" ht="16.5" thickBot="1" x14ac:dyDescent="0.3">
      <c r="B58" s="11"/>
      <c r="C58" s="401"/>
      <c r="E58" s="484" t="s">
        <v>276</v>
      </c>
      <c r="F58" s="8"/>
      <c r="G58" s="527">
        <v>1.45</v>
      </c>
      <c r="H58" s="311"/>
      <c r="I58" s="12" t="s">
        <v>8</v>
      </c>
      <c r="J58" s="447"/>
      <c r="K58" s="15"/>
      <c r="L58" s="330"/>
      <c r="M58" s="407"/>
      <c r="N58" s="15"/>
      <c r="O58" s="511" t="s">
        <v>50</v>
      </c>
      <c r="P58" s="427" t="s">
        <v>0</v>
      </c>
      <c r="Q58" s="533">
        <v>0</v>
      </c>
      <c r="R58" s="15"/>
      <c r="S58" s="12" t="s">
        <v>8</v>
      </c>
      <c r="T58" s="15"/>
      <c r="U58" s="417"/>
      <c r="AB58" s="285"/>
    </row>
    <row r="59" spans="2:32" ht="16.5" thickBot="1" x14ac:dyDescent="0.3">
      <c r="B59" s="11"/>
      <c r="E59" s="484" t="s">
        <v>275</v>
      </c>
      <c r="F59" s="287"/>
      <c r="G59" s="525">
        <f>ROUND('Cash Flow'!$E$41,2)</f>
        <v>3.65</v>
      </c>
      <c r="H59" s="312"/>
      <c r="I59" s="12" t="s">
        <v>8</v>
      </c>
      <c r="J59" s="447"/>
      <c r="K59" s="15"/>
      <c r="L59" s="330"/>
      <c r="U59" s="417"/>
      <c r="AB59" s="285"/>
    </row>
    <row r="60" spans="2:32" ht="16.5" thickBot="1" x14ac:dyDescent="0.3">
      <c r="B60" s="11"/>
      <c r="C60" s="401"/>
      <c r="E60" s="490" t="s">
        <v>350</v>
      </c>
      <c r="F60" s="427" t="s">
        <v>216</v>
      </c>
      <c r="G60" s="528" t="str">
        <f>IF($G$59&gt;=$G$58,"Pass","Fail")</f>
        <v>Pass</v>
      </c>
      <c r="H60" s="452"/>
      <c r="I60" s="12" t="s">
        <v>8</v>
      </c>
      <c r="J60" s="447"/>
      <c r="K60" s="15"/>
      <c r="L60" s="330"/>
      <c r="M60" s="15"/>
      <c r="N60" s="15"/>
      <c r="O60" s="5" t="s">
        <v>41</v>
      </c>
      <c r="P60" s="380" t="s">
        <v>313</v>
      </c>
      <c r="Q60" s="457" t="s">
        <v>351</v>
      </c>
      <c r="R60" s="15"/>
      <c r="S60" s="15"/>
      <c r="T60" s="15"/>
      <c r="U60" s="410"/>
      <c r="AB60" s="285"/>
    </row>
    <row r="61" spans="2:32" ht="15.75" x14ac:dyDescent="0.25">
      <c r="B61" s="11"/>
      <c r="E61" s="502" t="s">
        <v>353</v>
      </c>
      <c r="F61" s="482" t="s">
        <v>1</v>
      </c>
      <c r="G61" s="529">
        <f>1-G51</f>
        <v>0.55000000000000004</v>
      </c>
      <c r="H61" s="324"/>
      <c r="I61" s="12" t="s">
        <v>8</v>
      </c>
      <c r="J61" s="447"/>
      <c r="K61" s="15"/>
      <c r="L61" s="330"/>
      <c r="M61" s="15"/>
      <c r="N61" s="15"/>
      <c r="O61" s="579" t="s">
        <v>42</v>
      </c>
      <c r="P61" s="580"/>
      <c r="Q61" s="581"/>
      <c r="R61" s="15"/>
      <c r="S61" s="15"/>
      <c r="T61" s="15"/>
      <c r="U61" s="15"/>
      <c r="AB61" s="285"/>
    </row>
    <row r="62" spans="2:32" ht="16.5" thickBot="1" x14ac:dyDescent="0.3">
      <c r="B62" s="11"/>
      <c r="C62" s="401"/>
      <c r="D62" s="1">
        <f>IF(OR(G62&lt;0,G62=""),1,0)</f>
        <v>0</v>
      </c>
      <c r="E62" s="530" t="s">
        <v>294</v>
      </c>
      <c r="F62" s="491" t="s">
        <v>1</v>
      </c>
      <c r="G62" s="531">
        <v>0.15</v>
      </c>
      <c r="H62" s="323"/>
      <c r="I62" s="12" t="s">
        <v>8</v>
      </c>
      <c r="J62" s="447"/>
      <c r="K62" s="15"/>
      <c r="L62" s="330"/>
      <c r="M62" s="407"/>
      <c r="N62" s="15"/>
      <c r="O62" s="484" t="s">
        <v>46</v>
      </c>
      <c r="P62" s="7" t="s">
        <v>39</v>
      </c>
      <c r="Q62" s="510">
        <v>6</v>
      </c>
      <c r="R62" s="15"/>
      <c r="S62" s="12" t="s">
        <v>8</v>
      </c>
      <c r="T62" s="15"/>
      <c r="U62" s="15"/>
      <c r="AB62" s="285"/>
    </row>
    <row r="63" spans="2:32" ht="16.5" thickBot="1" x14ac:dyDescent="0.3">
      <c r="B63" s="11"/>
      <c r="E63" s="502" t="s">
        <v>336</v>
      </c>
      <c r="F63" s="482" t="s">
        <v>1</v>
      </c>
      <c r="G63" s="532">
        <f>(G62*F68)+(F67*G53*(1-G78))</f>
        <v>0.10412752327243299</v>
      </c>
      <c r="I63" s="12" t="s">
        <v>8</v>
      </c>
      <c r="J63" s="285"/>
      <c r="K63" s="15"/>
      <c r="L63" s="330"/>
      <c r="M63" s="15"/>
      <c r="N63" s="15"/>
      <c r="O63" s="490" t="s">
        <v>45</v>
      </c>
      <c r="P63" s="491" t="s">
        <v>0</v>
      </c>
      <c r="Q63" s="582">
        <f>-'Cash Flow'!$G$85/12*$Q$62</f>
        <v>123023.09455222299</v>
      </c>
      <c r="R63" s="15"/>
      <c r="S63" s="12" t="s">
        <v>8</v>
      </c>
      <c r="T63" s="15"/>
      <c r="U63" s="15"/>
      <c r="AB63" s="285"/>
    </row>
    <row r="64" spans="2:32" ht="16.5" thickBot="1" x14ac:dyDescent="0.3">
      <c r="B64" s="11"/>
      <c r="C64" s="401"/>
      <c r="E64" s="522" t="s">
        <v>200</v>
      </c>
      <c r="F64" s="491" t="s">
        <v>0</v>
      </c>
      <c r="G64" s="533">
        <v>0</v>
      </c>
      <c r="H64" s="320"/>
      <c r="I64" s="12" t="s">
        <v>8</v>
      </c>
      <c r="J64" s="285"/>
      <c r="K64" s="15"/>
      <c r="L64" s="330"/>
      <c r="M64" s="15"/>
      <c r="N64" s="15"/>
      <c r="O64" s="579" t="s">
        <v>66</v>
      </c>
      <c r="P64" s="580"/>
      <c r="Q64" s="583"/>
      <c r="R64" s="15"/>
      <c r="S64" s="15"/>
      <c r="T64" s="15"/>
      <c r="U64" s="15"/>
      <c r="AB64" s="285"/>
    </row>
    <row r="65" spans="2:28" ht="16.5" thickBot="1" x14ac:dyDescent="0.3">
      <c r="B65" s="11"/>
      <c r="J65" s="285"/>
      <c r="K65" s="15"/>
      <c r="L65" s="330"/>
      <c r="M65" s="407"/>
      <c r="N65" s="15"/>
      <c r="O65" s="508" t="s">
        <v>43</v>
      </c>
      <c r="P65" s="7" t="s">
        <v>39</v>
      </c>
      <c r="Q65" s="510">
        <v>6</v>
      </c>
      <c r="R65" s="15"/>
      <c r="S65" s="12" t="s">
        <v>8</v>
      </c>
      <c r="T65" s="15"/>
      <c r="AB65" s="285"/>
    </row>
    <row r="66" spans="2:28" ht="16.5" thickBot="1" x14ac:dyDescent="0.3">
      <c r="B66" s="330"/>
      <c r="E66" s="349" t="s">
        <v>274</v>
      </c>
      <c r="F66" s="22"/>
      <c r="G66" s="350"/>
      <c r="J66" s="285"/>
      <c r="L66" s="330"/>
      <c r="M66" s="15"/>
      <c r="N66" s="15"/>
      <c r="O66" s="511" t="s">
        <v>44</v>
      </c>
      <c r="P66" s="491" t="s">
        <v>0</v>
      </c>
      <c r="Q66" s="582">
        <f>-(AVERAGE('Cash Flow'!G36:AJ36)/12*$Q$65)</f>
        <v>80828.473826683039</v>
      </c>
      <c r="R66" s="15"/>
      <c r="S66" s="12" t="s">
        <v>8</v>
      </c>
      <c r="T66" s="15"/>
      <c r="U66" s="15"/>
      <c r="AB66" s="285"/>
    </row>
    <row r="67" spans="2:28" ht="16.5" thickBot="1" x14ac:dyDescent="0.3">
      <c r="B67" s="330"/>
      <c r="E67" s="502" t="s">
        <v>272</v>
      </c>
      <c r="F67" s="626">
        <f>G67/$G$70</f>
        <v>0.42330474291246917</v>
      </c>
      <c r="G67" s="534">
        <f>'Cash Flow'!F82</f>
        <v>2475000</v>
      </c>
      <c r="I67" s="12" t="s">
        <v>8</v>
      </c>
      <c r="J67" s="285"/>
      <c r="K67" s="15"/>
      <c r="L67" s="330"/>
      <c r="M67" s="407"/>
      <c r="N67" s="15"/>
      <c r="O67" s="585" t="s">
        <v>153</v>
      </c>
      <c r="P67" s="494" t="s">
        <v>1</v>
      </c>
      <c r="Q67" s="584">
        <v>0.02</v>
      </c>
      <c r="R67" s="15"/>
      <c r="S67" s="12" t="s">
        <v>8</v>
      </c>
      <c r="T67" s="15"/>
      <c r="AB67" s="285"/>
    </row>
    <row r="68" spans="2:28" ht="16.5" thickBot="1" x14ac:dyDescent="0.3">
      <c r="B68" s="330"/>
      <c r="E68" s="484" t="s">
        <v>273</v>
      </c>
      <c r="F68" s="625">
        <f>G68/$G$70</f>
        <v>0.57669525708753078</v>
      </c>
      <c r="G68" s="514">
        <f>-'Cash Flow'!$F$52</f>
        <v>3371851.5683789058</v>
      </c>
      <c r="I68" s="12" t="s">
        <v>8</v>
      </c>
      <c r="J68" s="285"/>
      <c r="L68" s="11"/>
      <c r="AB68" s="285"/>
    </row>
    <row r="69" spans="2:28" ht="16.5" thickBot="1" x14ac:dyDescent="0.3">
      <c r="B69" s="11"/>
      <c r="E69" s="535" t="s">
        <v>339</v>
      </c>
      <c r="F69" s="627">
        <f>G69/$G$70</f>
        <v>0</v>
      </c>
      <c r="G69" s="632">
        <f>IF($Q$30="Yes",$Q$29*(1-$G$74),$Q$29)+IF($Q$47="Yes",IF($Q$46=0,($Q$45*$G$8*1000)*(1-$G$76),MIN($Q$46*(1-$G$76),($Q$45*$G$8*1000)*(1-$G$76))),IF($Q$46=0,$Q$45*$G$8*1000,MIN($Q$46,$Q$45*$G$8*1000)))</f>
        <v>0</v>
      </c>
      <c r="I69" s="12" t="s">
        <v>8</v>
      </c>
      <c r="J69" s="285"/>
      <c r="L69" s="11"/>
      <c r="O69" s="463" t="s">
        <v>99</v>
      </c>
      <c r="P69" s="609" t="s">
        <v>352</v>
      </c>
      <c r="Q69" s="609"/>
      <c r="R69" s="609"/>
      <c r="S69" s="609"/>
      <c r="T69" s="609"/>
      <c r="U69" s="609"/>
      <c r="V69" s="609"/>
      <c r="W69" s="609"/>
      <c r="X69" s="609"/>
      <c r="Y69" s="609"/>
      <c r="Z69" s="350"/>
      <c r="AB69" s="285"/>
    </row>
    <row r="70" spans="2:28" ht="17.25" thickTop="1" thickBot="1" x14ac:dyDescent="0.3">
      <c r="B70" s="330"/>
      <c r="E70" s="536" t="s">
        <v>143</v>
      </c>
      <c r="F70" s="537" t="s">
        <v>0</v>
      </c>
      <c r="G70" s="538">
        <f>SUM(G67:G69)</f>
        <v>5846851.5683789058</v>
      </c>
      <c r="I70" s="12" t="s">
        <v>8</v>
      </c>
      <c r="J70" s="285"/>
      <c r="L70" s="11"/>
      <c r="M70" s="405"/>
      <c r="N70" s="15"/>
      <c r="O70" s="568" t="s">
        <v>356</v>
      </c>
      <c r="P70" s="561" t="s">
        <v>13</v>
      </c>
      <c r="S70" s="462" t="s">
        <v>8</v>
      </c>
      <c r="Z70" s="285"/>
      <c r="AB70" s="285"/>
    </row>
    <row r="71" spans="2:28" ht="16.5" thickBot="1" x14ac:dyDescent="0.3">
      <c r="B71" s="11"/>
      <c r="J71" s="285"/>
      <c r="L71" s="11"/>
      <c r="M71" s="407"/>
      <c r="O71" s="490" t="s">
        <v>357</v>
      </c>
      <c r="P71" s="618">
        <v>0.5</v>
      </c>
      <c r="S71" s="12" t="s">
        <v>8</v>
      </c>
      <c r="Z71" s="338"/>
      <c r="AB71" s="285"/>
    </row>
    <row r="72" spans="2:28" ht="16.5" thickBot="1" x14ac:dyDescent="0.3">
      <c r="B72" s="11"/>
      <c r="E72" s="5" t="s">
        <v>162</v>
      </c>
      <c r="F72" s="380" t="s">
        <v>313</v>
      </c>
      <c r="G72" s="457" t="s">
        <v>351</v>
      </c>
      <c r="H72" s="325"/>
      <c r="I72" s="17"/>
      <c r="J72" s="285"/>
      <c r="L72" s="11"/>
      <c r="M72" s="15"/>
      <c r="N72" s="15"/>
      <c r="O72" s="586" t="s">
        <v>367</v>
      </c>
      <c r="P72" s="587" t="s">
        <v>22</v>
      </c>
      <c r="Q72" s="681" t="s">
        <v>136</v>
      </c>
      <c r="R72" s="707" t="s">
        <v>23</v>
      </c>
      <c r="S72" s="708"/>
      <c r="T72" s="709"/>
      <c r="U72" s="587" t="s">
        <v>137</v>
      </c>
      <c r="V72" s="587" t="s">
        <v>138</v>
      </c>
      <c r="W72" s="587" t="s">
        <v>24</v>
      </c>
      <c r="X72" s="587" t="s">
        <v>25</v>
      </c>
      <c r="Y72" s="587" t="s">
        <v>139</v>
      </c>
      <c r="Z72" s="588" t="s">
        <v>26</v>
      </c>
      <c r="AB72" s="285"/>
    </row>
    <row r="73" spans="2:28" ht="16.5" thickBot="1" x14ac:dyDescent="0.3">
      <c r="B73" s="11"/>
      <c r="C73" s="405"/>
      <c r="E73" s="493" t="s">
        <v>18</v>
      </c>
      <c r="F73" s="539"/>
      <c r="G73" s="540" t="s">
        <v>13</v>
      </c>
      <c r="H73" s="314"/>
      <c r="I73" s="12" t="s">
        <v>8</v>
      </c>
      <c r="J73" s="285"/>
      <c r="L73" s="11">
        <f>IF(AND($G$73="Yes",$G$18="Simple"),1,0)</f>
        <v>0</v>
      </c>
      <c r="M73" s="15"/>
      <c r="N73" s="265">
        <f>IF(AND($G$18="Simple",SUM(P73:Z73)=1),1,IF(AND($G$18="Simple",SUM(P73:Z73)&lt;&gt;1),2,0))</f>
        <v>0</v>
      </c>
      <c r="O73" s="589" t="str">
        <f t="shared" ref="O73:O78" si="0">E19</f>
        <v>Total Installed Cost</v>
      </c>
      <c r="P73" s="590">
        <v>0.94</v>
      </c>
      <c r="Q73" s="682">
        <v>0</v>
      </c>
      <c r="R73" s="710">
        <v>1.4999999999999999E-2</v>
      </c>
      <c r="S73" s="711"/>
      <c r="T73" s="712"/>
      <c r="U73" s="590">
        <v>0.01</v>
      </c>
      <c r="V73" s="590">
        <v>0</v>
      </c>
      <c r="W73" s="590">
        <v>0</v>
      </c>
      <c r="X73" s="590">
        <v>0.01</v>
      </c>
      <c r="Y73" s="590">
        <v>0</v>
      </c>
      <c r="Z73" s="591">
        <v>2.5000000000000001E-2</v>
      </c>
      <c r="AB73" s="326" t="s">
        <v>8</v>
      </c>
    </row>
    <row r="74" spans="2:28" ht="15.75" x14ac:dyDescent="0.25">
      <c r="B74" s="11"/>
      <c r="C74" s="401"/>
      <c r="D74" s="1">
        <f>IF(OR(G74&lt;0,G74=""),1,0)</f>
        <v>0</v>
      </c>
      <c r="E74" s="481" t="s">
        <v>6</v>
      </c>
      <c r="F74" s="482" t="s">
        <v>1</v>
      </c>
      <c r="G74" s="541">
        <v>0.35</v>
      </c>
      <c r="H74" s="304"/>
      <c r="I74" s="12" t="s">
        <v>8</v>
      </c>
      <c r="J74" s="447"/>
      <c r="L74" s="11">
        <f>IF(AND($G$73="Yes",$G$18="Intermediate"),1,0)</f>
        <v>1</v>
      </c>
      <c r="M74" s="15"/>
      <c r="N74" s="265">
        <f>IF(AND($G$18="Intermediate",SUM(P74:Z74)=1),1,IF(AND($G$18="Intermediate",SUM(P74:Z74)&lt;&gt;1),2,0))</f>
        <v>1</v>
      </c>
      <c r="O74" s="592" t="str">
        <f t="shared" si="0"/>
        <v>Generation Equipment</v>
      </c>
      <c r="P74" s="593">
        <v>0.96</v>
      </c>
      <c r="Q74" s="683">
        <v>0</v>
      </c>
      <c r="R74" s="713">
        <v>0.02</v>
      </c>
      <c r="S74" s="714"/>
      <c r="T74" s="715"/>
      <c r="U74" s="593">
        <v>0</v>
      </c>
      <c r="V74" s="593">
        <v>0</v>
      </c>
      <c r="W74" s="593">
        <v>0</v>
      </c>
      <c r="X74" s="593">
        <v>0.02</v>
      </c>
      <c r="Y74" s="593">
        <v>0</v>
      </c>
      <c r="Z74" s="594">
        <v>0</v>
      </c>
      <c r="AB74" s="326" t="s">
        <v>8</v>
      </c>
    </row>
    <row r="75" spans="2:28" ht="16.5" thickBot="1" x14ac:dyDescent="0.3">
      <c r="B75" s="11"/>
      <c r="C75" s="405"/>
      <c r="E75" s="542" t="s">
        <v>308</v>
      </c>
      <c r="F75" s="543"/>
      <c r="G75" s="544" t="s">
        <v>512</v>
      </c>
      <c r="H75" s="314"/>
      <c r="I75" s="12" t="s">
        <v>8</v>
      </c>
      <c r="J75" s="285"/>
      <c r="L75" s="11">
        <f>IF(AND($G$73="Yes",$G$18="Intermediate"),1,0)</f>
        <v>1</v>
      </c>
      <c r="M75" s="15"/>
      <c r="N75" s="265">
        <f>IF(AND($G$18="Intermediate",SUM(P75:Z75)=1),1,IF(AND($G$18="Intermediate",SUM(P75:Z75)&lt;&gt;1),2,0))</f>
        <v>1</v>
      </c>
      <c r="O75" s="595" t="str">
        <f t="shared" si="0"/>
        <v>Balance of Plant</v>
      </c>
      <c r="P75" s="399">
        <v>0.5</v>
      </c>
      <c r="Q75" s="679">
        <v>0</v>
      </c>
      <c r="R75" s="692">
        <v>0</v>
      </c>
      <c r="S75" s="693"/>
      <c r="T75" s="694"/>
      <c r="U75" s="399">
        <v>0</v>
      </c>
      <c r="V75" s="399">
        <v>0</v>
      </c>
      <c r="W75" s="399">
        <v>0.5</v>
      </c>
      <c r="X75" s="399">
        <v>0</v>
      </c>
      <c r="Y75" s="399">
        <v>0</v>
      </c>
      <c r="Z75" s="596">
        <v>0</v>
      </c>
      <c r="AB75" s="326" t="s">
        <v>8</v>
      </c>
    </row>
    <row r="76" spans="2:28" ht="15.75" x14ac:dyDescent="0.25">
      <c r="B76" s="11"/>
      <c r="C76" s="401"/>
      <c r="D76" s="1">
        <f>IF(OR(G76&lt;0,G76=""),1,0)</f>
        <v>0</v>
      </c>
      <c r="E76" s="481" t="s">
        <v>7</v>
      </c>
      <c r="F76" s="482" t="s">
        <v>1</v>
      </c>
      <c r="G76" s="541">
        <v>8.5000000000000006E-2</v>
      </c>
      <c r="H76" s="304"/>
      <c r="I76" s="12" t="s">
        <v>8</v>
      </c>
      <c r="J76" s="447"/>
      <c r="L76" s="11">
        <f>IF(AND($G$73="Yes",$G$18="Intermediate"),1,0)</f>
        <v>1</v>
      </c>
      <c r="M76" s="15"/>
      <c r="N76" s="265">
        <f>IF(AND($G$18="Intermediate",SUM(P76:Z76)=1),1,IF(AND($G$18="Intermediate",SUM(P76:Z76)&lt;&gt;1),2,0))</f>
        <v>1</v>
      </c>
      <c r="O76" s="595" t="str">
        <f t="shared" si="0"/>
        <v>Interconnection</v>
      </c>
      <c r="P76" s="399">
        <v>0</v>
      </c>
      <c r="Q76" s="679">
        <v>0</v>
      </c>
      <c r="R76" s="692">
        <v>1</v>
      </c>
      <c r="S76" s="693"/>
      <c r="T76" s="694"/>
      <c r="U76" s="399">
        <v>0</v>
      </c>
      <c r="V76" s="399">
        <v>0</v>
      </c>
      <c r="W76" s="399">
        <v>0</v>
      </c>
      <c r="X76" s="399">
        <v>0</v>
      </c>
      <c r="Y76" s="399">
        <v>0</v>
      </c>
      <c r="Z76" s="596">
        <v>0</v>
      </c>
      <c r="AB76" s="326" t="s">
        <v>8</v>
      </c>
    </row>
    <row r="77" spans="2:28" ht="16.5" thickBot="1" x14ac:dyDescent="0.3">
      <c r="B77" s="11"/>
      <c r="C77" s="405"/>
      <c r="E77" s="542" t="s">
        <v>309</v>
      </c>
      <c r="F77" s="543"/>
      <c r="G77" s="544" t="s">
        <v>512</v>
      </c>
      <c r="H77" s="314"/>
      <c r="I77" s="12" t="s">
        <v>8</v>
      </c>
      <c r="J77" s="447"/>
      <c r="L77" s="11">
        <f>IF(AND($G$73="Yes",$G$18="Intermediate"),1,0)</f>
        <v>1</v>
      </c>
      <c r="M77" s="15"/>
      <c r="N77" s="265">
        <f>IF(AND($G$18="Intermediate",SUM(P77:Z77)=1),1,IF(AND($G$18="Intermediate",SUM(P77:Z77)&lt;&gt;1),2,0))</f>
        <v>1</v>
      </c>
      <c r="O77" s="595" t="str">
        <f t="shared" si="0"/>
        <v>Development Costs &amp; Fee</v>
      </c>
      <c r="P77" s="399">
        <v>0.8</v>
      </c>
      <c r="Q77" s="679">
        <v>0</v>
      </c>
      <c r="R77" s="692">
        <v>0</v>
      </c>
      <c r="S77" s="693"/>
      <c r="T77" s="694"/>
      <c r="U77" s="399">
        <v>0</v>
      </c>
      <c r="V77" s="399">
        <v>0</v>
      </c>
      <c r="W77" s="399">
        <v>0.05</v>
      </c>
      <c r="X77" s="399">
        <v>0.05</v>
      </c>
      <c r="Y77" s="399">
        <v>0</v>
      </c>
      <c r="Z77" s="596">
        <v>0.1</v>
      </c>
      <c r="AB77" s="326" t="s">
        <v>8</v>
      </c>
    </row>
    <row r="78" spans="2:28" ht="16.5" thickBot="1" x14ac:dyDescent="0.3">
      <c r="B78" s="11"/>
      <c r="E78" s="545" t="s">
        <v>33</v>
      </c>
      <c r="F78" s="546" t="s">
        <v>1</v>
      </c>
      <c r="G78" s="547">
        <f>IF($G$73="Yes",$G$74+(G76*(1-$G$74)),0%)</f>
        <v>0.40525</v>
      </c>
      <c r="H78" s="327"/>
      <c r="I78" s="12" t="s">
        <v>8</v>
      </c>
      <c r="J78" s="447"/>
      <c r="L78" s="11">
        <f>IF(AND($G$73="Yes",$G$18="Intermediate"),1,0)</f>
        <v>1</v>
      </c>
      <c r="M78" s="15"/>
      <c r="N78" s="265">
        <f>IF(AND($G$18="Intermediate",SUM(P78:Z78)=1),1,IF(AND($G$18="Intermediate",SUM(P78:Z78)&lt;&gt;1),2,0))</f>
        <v>1</v>
      </c>
      <c r="O78" s="597" t="str">
        <f t="shared" si="0"/>
        <v>Reserves &amp; Financing Costs</v>
      </c>
      <c r="P78" s="598">
        <v>0</v>
      </c>
      <c r="Q78" s="680">
        <v>0</v>
      </c>
      <c r="R78" s="695">
        <v>0</v>
      </c>
      <c r="S78" s="696"/>
      <c r="T78" s="697"/>
      <c r="U78" s="598">
        <v>0</v>
      </c>
      <c r="V78" s="598">
        <v>0</v>
      </c>
      <c r="W78" s="598">
        <v>0</v>
      </c>
      <c r="X78" s="598">
        <v>0.5</v>
      </c>
      <c r="Y78" s="598">
        <v>0</v>
      </c>
      <c r="Z78" s="599">
        <v>0.5</v>
      </c>
      <c r="AB78" s="326" t="s">
        <v>8</v>
      </c>
    </row>
    <row r="79" spans="2:28" ht="16.5" thickBot="1" x14ac:dyDescent="0.3">
      <c r="B79" s="328"/>
      <c r="C79" s="39"/>
      <c r="D79" s="39"/>
      <c r="E79" s="490" t="s">
        <v>99</v>
      </c>
      <c r="F79" s="426"/>
      <c r="G79" s="548" t="s">
        <v>107</v>
      </c>
      <c r="H79" s="428"/>
      <c r="I79" s="429" t="s">
        <v>8</v>
      </c>
      <c r="J79" s="338"/>
      <c r="L79" s="328">
        <f>IF(AND($G$73="Yes",$G$18="Complex"),1,0)</f>
        <v>0</v>
      </c>
      <c r="M79" s="339"/>
      <c r="N79" s="339"/>
      <c r="O79" s="600" t="s">
        <v>337</v>
      </c>
      <c r="P79" s="601"/>
      <c r="Q79" s="602"/>
      <c r="R79" s="698"/>
      <c r="S79" s="699"/>
      <c r="T79" s="700"/>
      <c r="U79" s="601"/>
      <c r="V79" s="601"/>
      <c r="W79" s="601"/>
      <c r="X79" s="601"/>
      <c r="Y79" s="601"/>
      <c r="Z79" s="603"/>
      <c r="AA79" s="39"/>
      <c r="AB79" s="464" t="s">
        <v>8</v>
      </c>
    </row>
    <row r="81" spans="1:28" ht="15.75" thickBot="1" x14ac:dyDescent="0.25"/>
    <row r="82" spans="1:28" ht="15.75" x14ac:dyDescent="0.25">
      <c r="B82" s="384"/>
      <c r="C82" s="385"/>
      <c r="D82" s="385"/>
      <c r="E82" s="396" t="s">
        <v>314</v>
      </c>
      <c r="F82" s="385"/>
      <c r="G82" s="385"/>
      <c r="H82" s="385"/>
      <c r="I82" s="385"/>
      <c r="J82" s="385"/>
      <c r="K82" s="385"/>
      <c r="L82" s="385"/>
      <c r="M82" s="386"/>
      <c r="N82" s="386"/>
      <c r="O82" s="386"/>
      <c r="P82" s="386"/>
      <c r="Q82" s="386"/>
      <c r="R82" s="386"/>
      <c r="S82" s="386"/>
      <c r="T82" s="386"/>
      <c r="U82" s="386"/>
      <c r="V82" s="385"/>
      <c r="W82" s="385"/>
      <c r="X82" s="385"/>
      <c r="Y82" s="385"/>
      <c r="Z82" s="385"/>
      <c r="AA82" s="385"/>
      <c r="AB82" s="387"/>
    </row>
    <row r="83" spans="1:28" ht="15.75" x14ac:dyDescent="0.25">
      <c r="B83" s="388"/>
      <c r="C83" s="382"/>
      <c r="D83" s="382"/>
      <c r="E83" s="389" t="s">
        <v>316</v>
      </c>
      <c r="F83" s="382"/>
      <c r="G83" s="382"/>
      <c r="H83" s="382"/>
      <c r="I83" s="382"/>
      <c r="J83" s="382"/>
      <c r="K83" s="382"/>
      <c r="L83" s="382"/>
      <c r="M83" s="383"/>
      <c r="N83" s="383"/>
      <c r="O83" s="383"/>
      <c r="P83" s="383"/>
      <c r="Q83" s="383"/>
      <c r="R83" s="383"/>
      <c r="S83" s="383"/>
      <c r="T83" s="383"/>
      <c r="U83" s="383"/>
      <c r="V83" s="382"/>
      <c r="W83" s="382"/>
      <c r="X83" s="382"/>
      <c r="Y83" s="382"/>
      <c r="Z83" s="382"/>
      <c r="AA83" s="382"/>
      <c r="AB83" s="390"/>
    </row>
    <row r="84" spans="1:28" ht="15.75" x14ac:dyDescent="0.25">
      <c r="B84" s="388"/>
      <c r="C84" s="382"/>
      <c r="D84" s="382"/>
      <c r="E84" s="389" t="s">
        <v>317</v>
      </c>
      <c r="F84" s="382"/>
      <c r="G84" s="382"/>
      <c r="H84" s="382"/>
      <c r="I84" s="382"/>
      <c r="J84" s="382"/>
      <c r="K84" s="382"/>
      <c r="L84" s="382"/>
      <c r="M84" s="383"/>
      <c r="N84" s="383"/>
      <c r="O84" s="383"/>
      <c r="P84" s="383"/>
      <c r="Q84" s="383"/>
      <c r="R84" s="383"/>
      <c r="S84" s="383"/>
      <c r="T84" s="383"/>
      <c r="U84" s="383"/>
      <c r="V84" s="382"/>
      <c r="W84" s="382"/>
      <c r="X84" s="382"/>
      <c r="Y84" s="382"/>
      <c r="Z84" s="382"/>
      <c r="AA84" s="382"/>
      <c r="AB84" s="390"/>
    </row>
    <row r="85" spans="1:28" ht="15.75" x14ac:dyDescent="0.25">
      <c r="B85" s="388"/>
      <c r="C85" s="382"/>
      <c r="D85" s="382"/>
      <c r="E85" s="389" t="s">
        <v>318</v>
      </c>
      <c r="F85" s="382"/>
      <c r="G85" s="382"/>
      <c r="H85" s="382"/>
      <c r="I85" s="382"/>
      <c r="J85" s="382"/>
      <c r="K85" s="382"/>
      <c r="L85" s="382"/>
      <c r="M85" s="383"/>
      <c r="N85" s="383"/>
      <c r="O85" s="383"/>
      <c r="P85" s="383"/>
      <c r="Q85" s="383"/>
      <c r="R85" s="383"/>
      <c r="S85" s="383"/>
      <c r="T85" s="383"/>
      <c r="U85" s="383"/>
      <c r="V85" s="382"/>
      <c r="W85" s="382"/>
      <c r="X85" s="382"/>
      <c r="Y85" s="382"/>
      <c r="Z85" s="382"/>
      <c r="AA85" s="382"/>
      <c r="AB85" s="390"/>
    </row>
    <row r="86" spans="1:28" ht="15.75" x14ac:dyDescent="0.25">
      <c r="B86" s="388"/>
      <c r="C86" s="382"/>
      <c r="D86" s="382"/>
      <c r="E86" s="389" t="s">
        <v>319</v>
      </c>
      <c r="F86" s="382"/>
      <c r="G86" s="382"/>
      <c r="H86" s="382"/>
      <c r="I86" s="382"/>
      <c r="J86" s="382"/>
      <c r="K86" s="382"/>
      <c r="L86" s="382"/>
      <c r="M86" s="383"/>
      <c r="N86" s="383"/>
      <c r="O86" s="383"/>
      <c r="P86" s="383"/>
      <c r="Q86" s="383"/>
      <c r="R86" s="383"/>
      <c r="S86" s="383"/>
      <c r="T86" s="383"/>
      <c r="U86" s="383"/>
      <c r="V86" s="382"/>
      <c r="W86" s="382"/>
      <c r="X86" s="382"/>
      <c r="Y86" s="382"/>
      <c r="Z86" s="382"/>
      <c r="AA86" s="382"/>
      <c r="AB86" s="390"/>
    </row>
    <row r="87" spans="1:28" ht="15.75" x14ac:dyDescent="0.25">
      <c r="B87" s="388"/>
      <c r="C87" s="382"/>
      <c r="D87" s="382"/>
      <c r="E87" s="389" t="s">
        <v>334</v>
      </c>
      <c r="F87" s="382"/>
      <c r="G87" s="382"/>
      <c r="H87" s="382"/>
      <c r="I87" s="382"/>
      <c r="J87" s="382"/>
      <c r="K87" s="382"/>
      <c r="L87" s="382"/>
      <c r="M87" s="383"/>
      <c r="N87" s="383"/>
      <c r="O87" s="383"/>
      <c r="P87" s="383"/>
      <c r="Q87" s="383"/>
      <c r="R87" s="383"/>
      <c r="S87" s="383"/>
      <c r="T87" s="383"/>
      <c r="U87" s="383"/>
      <c r="V87" s="382"/>
      <c r="W87" s="382"/>
      <c r="X87" s="382"/>
      <c r="Y87" s="382"/>
      <c r="Z87" s="382"/>
      <c r="AA87" s="382"/>
      <c r="AB87" s="390"/>
    </row>
    <row r="88" spans="1:28" ht="15.75" x14ac:dyDescent="0.25">
      <c r="B88" s="388"/>
      <c r="C88" s="382"/>
      <c r="D88" s="382"/>
      <c r="E88" s="389" t="s">
        <v>335</v>
      </c>
      <c r="F88" s="382"/>
      <c r="G88" s="382"/>
      <c r="H88" s="382"/>
      <c r="I88" s="382"/>
      <c r="J88" s="382"/>
      <c r="K88" s="382"/>
      <c r="L88" s="382"/>
      <c r="M88" s="383"/>
      <c r="N88" s="383"/>
      <c r="O88" s="383"/>
      <c r="P88" s="383"/>
      <c r="Q88" s="383"/>
      <c r="R88" s="383"/>
      <c r="S88" s="383"/>
      <c r="T88" s="383"/>
      <c r="U88" s="383"/>
      <c r="V88" s="382"/>
      <c r="W88" s="382"/>
      <c r="X88" s="382"/>
      <c r="Y88" s="382"/>
      <c r="Z88" s="382"/>
      <c r="AA88" s="382"/>
      <c r="AB88" s="390"/>
    </row>
    <row r="89" spans="1:28" ht="15.75" x14ac:dyDescent="0.25">
      <c r="B89" s="388"/>
      <c r="C89" s="382"/>
      <c r="D89" s="382"/>
      <c r="E89" s="389" t="s">
        <v>320</v>
      </c>
      <c r="F89" s="382"/>
      <c r="G89" s="382"/>
      <c r="H89" s="382"/>
      <c r="I89" s="382"/>
      <c r="J89" s="382"/>
      <c r="K89" s="382"/>
      <c r="L89" s="382"/>
      <c r="M89" s="383"/>
      <c r="N89" s="383"/>
      <c r="O89" s="383"/>
      <c r="P89" s="383"/>
      <c r="Q89" s="383"/>
      <c r="R89" s="383"/>
      <c r="S89" s="383"/>
      <c r="T89" s="383"/>
      <c r="U89" s="383"/>
      <c r="V89" s="382"/>
      <c r="W89" s="382"/>
      <c r="X89" s="382"/>
      <c r="Y89" s="382"/>
      <c r="Z89" s="382"/>
      <c r="AA89" s="382"/>
      <c r="AB89" s="390"/>
    </row>
    <row r="90" spans="1:28" ht="15.75" x14ac:dyDescent="0.25">
      <c r="B90" s="388"/>
      <c r="C90" s="382"/>
      <c r="D90" s="382"/>
      <c r="E90" s="389" t="s">
        <v>321</v>
      </c>
      <c r="F90" s="382"/>
      <c r="G90" s="382"/>
      <c r="H90" s="382"/>
      <c r="I90" s="382"/>
      <c r="J90" s="382"/>
      <c r="K90" s="382"/>
      <c r="L90" s="382"/>
      <c r="M90" s="383"/>
      <c r="N90" s="383"/>
      <c r="O90" s="383"/>
      <c r="P90" s="383"/>
      <c r="Q90" s="383"/>
      <c r="R90" s="383"/>
      <c r="S90" s="383"/>
      <c r="T90" s="383"/>
      <c r="U90" s="383"/>
      <c r="V90" s="382"/>
      <c r="W90" s="382"/>
      <c r="X90" s="382"/>
      <c r="Y90" s="382"/>
      <c r="Z90" s="382"/>
      <c r="AA90" s="382"/>
      <c r="AB90" s="390"/>
    </row>
    <row r="91" spans="1:28" ht="15.75" x14ac:dyDescent="0.25">
      <c r="B91" s="388"/>
      <c r="C91" s="382"/>
      <c r="D91" s="382"/>
      <c r="E91" s="389" t="s">
        <v>322</v>
      </c>
      <c r="F91" s="382"/>
      <c r="G91" s="382"/>
      <c r="H91" s="382"/>
      <c r="I91" s="382"/>
      <c r="J91" s="382"/>
      <c r="K91" s="383"/>
      <c r="L91" s="383"/>
      <c r="M91" s="383"/>
      <c r="N91" s="383"/>
      <c r="O91" s="383"/>
      <c r="P91" s="383"/>
      <c r="Q91" s="383"/>
      <c r="R91" s="383"/>
      <c r="S91" s="383"/>
      <c r="T91" s="383"/>
      <c r="U91" s="383"/>
      <c r="V91" s="382"/>
      <c r="W91" s="382"/>
      <c r="X91" s="382"/>
      <c r="Y91" s="382"/>
      <c r="Z91" s="382"/>
      <c r="AA91" s="382"/>
      <c r="AB91" s="390"/>
    </row>
    <row r="92" spans="1:28" ht="15.75" x14ac:dyDescent="0.25">
      <c r="B92" s="388"/>
      <c r="C92" s="382"/>
      <c r="D92" s="382"/>
      <c r="E92" s="389" t="s">
        <v>323</v>
      </c>
      <c r="F92" s="382"/>
      <c r="G92" s="382"/>
      <c r="H92" s="382"/>
      <c r="I92" s="382"/>
      <c r="J92" s="382"/>
      <c r="K92" s="383"/>
      <c r="L92" s="383"/>
      <c r="M92" s="383"/>
      <c r="N92" s="383"/>
      <c r="O92" s="383"/>
      <c r="P92" s="383"/>
      <c r="Q92" s="383"/>
      <c r="R92" s="383"/>
      <c r="S92" s="383"/>
      <c r="T92" s="383"/>
      <c r="U92" s="383"/>
      <c r="V92" s="382"/>
      <c r="W92" s="382"/>
      <c r="X92" s="382"/>
      <c r="Y92" s="382"/>
      <c r="Z92" s="382"/>
      <c r="AA92" s="382"/>
      <c r="AB92" s="390"/>
    </row>
    <row r="93" spans="1:28" ht="15.75" x14ac:dyDescent="0.25">
      <c r="B93" s="388"/>
      <c r="C93" s="382"/>
      <c r="D93" s="382"/>
      <c r="E93" s="389" t="s">
        <v>324</v>
      </c>
      <c r="F93" s="382"/>
      <c r="G93" s="382"/>
      <c r="H93" s="382"/>
      <c r="I93" s="382"/>
      <c r="J93" s="382"/>
      <c r="K93" s="383"/>
      <c r="L93" s="383"/>
      <c r="M93" s="383"/>
      <c r="N93" s="383"/>
      <c r="O93" s="383"/>
      <c r="P93" s="383"/>
      <c r="Q93" s="383"/>
      <c r="R93" s="383"/>
      <c r="S93" s="383"/>
      <c r="T93" s="383"/>
      <c r="U93" s="383"/>
      <c r="V93" s="382"/>
      <c r="W93" s="382"/>
      <c r="X93" s="382"/>
      <c r="Y93" s="382"/>
      <c r="Z93" s="382"/>
      <c r="AA93" s="382"/>
      <c r="AB93" s="390"/>
    </row>
    <row r="94" spans="1:28" ht="16.5" thickBot="1" x14ac:dyDescent="0.3">
      <c r="B94" s="391"/>
      <c r="C94" s="392"/>
      <c r="D94" s="392"/>
      <c r="E94" s="393" t="s">
        <v>315</v>
      </c>
      <c r="F94" s="392"/>
      <c r="G94" s="392"/>
      <c r="H94" s="392"/>
      <c r="I94" s="392"/>
      <c r="J94" s="392"/>
      <c r="K94" s="394"/>
      <c r="L94" s="394"/>
      <c r="M94" s="394"/>
      <c r="N94" s="394"/>
      <c r="O94" s="394"/>
      <c r="P94" s="394"/>
      <c r="Q94" s="394"/>
      <c r="R94" s="394"/>
      <c r="S94" s="394"/>
      <c r="T94" s="394"/>
      <c r="U94" s="394"/>
      <c r="V94" s="392"/>
      <c r="W94" s="392"/>
      <c r="X94" s="392"/>
      <c r="Y94" s="392"/>
      <c r="Z94" s="392"/>
      <c r="AA94" s="392"/>
      <c r="AB94" s="395"/>
    </row>
    <row r="95" spans="1:28" ht="15.75" x14ac:dyDescent="0.25">
      <c r="E95"/>
    </row>
    <row r="96" spans="1:28" x14ac:dyDescent="0.2">
      <c r="A96" s="611"/>
      <c r="B96" s="611"/>
      <c r="C96" s="611"/>
      <c r="D96" s="612"/>
      <c r="E96" s="613"/>
      <c r="F96" s="611"/>
      <c r="G96" s="611"/>
      <c r="H96" s="611"/>
      <c r="I96" s="611"/>
      <c r="J96" s="611"/>
      <c r="K96" s="611"/>
    </row>
    <row r="97" spans="1:28" x14ac:dyDescent="0.2">
      <c r="A97" s="611"/>
      <c r="B97" s="611"/>
      <c r="C97" s="611"/>
      <c r="D97" s="611"/>
      <c r="E97" s="614"/>
      <c r="F97" s="611"/>
      <c r="G97" s="615"/>
      <c r="H97" s="611"/>
      <c r="I97" s="611"/>
      <c r="J97" s="611"/>
      <c r="K97" s="611"/>
    </row>
    <row r="98" spans="1:28" x14ac:dyDescent="0.2">
      <c r="A98" s="611"/>
      <c r="B98" s="611"/>
      <c r="C98" s="611"/>
      <c r="D98" s="611"/>
      <c r="E98" s="614"/>
      <c r="F98" s="611"/>
      <c r="G98" s="615"/>
      <c r="H98" s="611"/>
      <c r="I98" s="611"/>
      <c r="J98" s="611"/>
      <c r="K98" s="611"/>
    </row>
    <row r="99" spans="1:28" x14ac:dyDescent="0.2">
      <c r="A99" s="611"/>
      <c r="B99" s="611"/>
      <c r="C99" s="611"/>
      <c r="D99" s="611"/>
      <c r="E99" s="614"/>
      <c r="F99" s="611"/>
      <c r="G99" s="615"/>
      <c r="H99" s="611"/>
      <c r="I99" s="611"/>
      <c r="J99" s="611"/>
      <c r="K99" s="611"/>
    </row>
    <row r="100" spans="1:28" x14ac:dyDescent="0.2">
      <c r="A100" s="611"/>
      <c r="B100" s="611"/>
      <c r="C100" s="611"/>
      <c r="D100" s="611"/>
      <c r="E100" s="614"/>
      <c r="F100" s="611"/>
      <c r="G100" s="615"/>
      <c r="H100" s="611"/>
      <c r="I100" s="611"/>
      <c r="J100" s="611"/>
      <c r="K100" s="611"/>
    </row>
    <row r="101" spans="1:28" x14ac:dyDescent="0.2">
      <c r="A101" s="611"/>
      <c r="B101" s="611"/>
    </row>
    <row r="103" spans="1:28" x14ac:dyDescent="0.2">
      <c r="L103" s="611"/>
      <c r="M103" s="611"/>
      <c r="N103" s="611"/>
      <c r="O103" s="611"/>
      <c r="P103" s="611"/>
      <c r="Q103" s="611"/>
      <c r="R103" s="611"/>
      <c r="S103" s="611"/>
      <c r="T103" s="611"/>
      <c r="U103" s="611"/>
      <c r="V103" s="611"/>
      <c r="W103" s="611"/>
      <c r="X103" s="611"/>
      <c r="Y103" s="611"/>
      <c r="Z103" s="611"/>
      <c r="AA103" s="611"/>
      <c r="AB103" s="611"/>
    </row>
    <row r="104" spans="1:28" x14ac:dyDescent="0.2">
      <c r="L104" s="611"/>
      <c r="M104" s="611"/>
      <c r="N104" s="611"/>
      <c r="O104" s="611"/>
      <c r="P104" s="611"/>
      <c r="Q104" s="611"/>
      <c r="R104" s="611"/>
      <c r="S104" s="611"/>
      <c r="T104" s="611"/>
      <c r="U104" s="611"/>
      <c r="V104" s="611"/>
      <c r="W104" s="611"/>
      <c r="X104" s="611"/>
      <c r="Y104" s="611"/>
      <c r="Z104" s="611"/>
      <c r="AA104" s="611"/>
      <c r="AB104" s="611"/>
    </row>
  </sheetData>
  <protectedRanges>
    <protectedRange sqref="P70:P71 P73:Z78" name="Depreciation Inputs"/>
    <protectedRange sqref="Q8:Q10 Q13:Q15 Q50:Q53 Q57:Q58 Q62 Q65 Q67 Q47 Q38:Q41 Q24:Q25 Q19:Q21 Q33:Q34 Q27:Q30 Q36 Q43:Q45" name="Column Q Inputs"/>
    <protectedRange sqref="G5 G51:G55 G14:G15 G18:G23 G46:G47 G58 G62 G64 G73:G77 G30:G36 G38:G42 G8:G11" name="Column G Inputs"/>
  </protectedRanges>
  <mergeCells count="11">
    <mergeCell ref="O4:P4"/>
    <mergeCell ref="C2:T2"/>
    <mergeCell ref="R75:T75"/>
    <mergeCell ref="R72:T72"/>
    <mergeCell ref="R73:T73"/>
    <mergeCell ref="R74:T74"/>
    <mergeCell ref="R76:T76"/>
    <mergeCell ref="R77:T77"/>
    <mergeCell ref="R78:T78"/>
    <mergeCell ref="R79:T79"/>
    <mergeCell ref="AD2:AE3"/>
  </mergeCells>
  <conditionalFormatting sqref="C18">
    <cfRule type="expression" dxfId="145" priority="567">
      <formula>$G$18&lt;&gt;""</formula>
    </cfRule>
  </conditionalFormatting>
  <conditionalFormatting sqref="C31">
    <cfRule type="expression" dxfId="144" priority="561">
      <formula>$G$31&gt;=0</formula>
    </cfRule>
  </conditionalFormatting>
  <conditionalFormatting sqref="C19">
    <cfRule type="expression" dxfId="143" priority="388">
      <formula>AND($G$18="Simple",$G$19&gt;0)</formula>
    </cfRule>
    <cfRule type="expression" dxfId="142" priority="558">
      <formula>AND($G$18="Simple",$G$19&lt;=0)</formula>
    </cfRule>
  </conditionalFormatting>
  <conditionalFormatting sqref="C20">
    <cfRule type="expression" dxfId="141" priority="387">
      <formula>AND($G$18="Intermediate",$G$20&gt;0)</formula>
    </cfRule>
    <cfRule type="expression" dxfId="140" priority="557">
      <formula>AND($G$18="Intermediate",$G$20&lt;=0)</formula>
    </cfRule>
  </conditionalFormatting>
  <conditionalFormatting sqref="C74">
    <cfRule type="expression" dxfId="139" priority="141">
      <formula>$G$73="No"</formula>
    </cfRule>
    <cfRule type="expression" dxfId="138" priority="142">
      <formula>$D$74=1</formula>
    </cfRule>
  </conditionalFormatting>
  <conditionalFormatting sqref="C62">
    <cfRule type="expression" dxfId="137" priority="379">
      <formula>$D$62=1</formula>
    </cfRule>
  </conditionalFormatting>
  <conditionalFormatting sqref="L29 G25:H25 K25">
    <cfRule type="expression" dxfId="136" priority="721">
      <formula>$G$18="Complex"</formula>
    </cfRule>
  </conditionalFormatting>
  <conditionalFormatting sqref="C51">
    <cfRule type="expression" dxfId="135" priority="381">
      <formula>$D$51=1</formula>
    </cfRule>
  </conditionalFormatting>
  <conditionalFormatting sqref="M10">
    <cfRule type="expression" dxfId="134" priority="404">
      <formula>$Q$10&lt;&gt;""</formula>
    </cfRule>
  </conditionalFormatting>
  <conditionalFormatting sqref="M9">
    <cfRule type="expression" dxfId="133" priority="403">
      <formula>$Q$9&lt;&gt;""</formula>
    </cfRule>
  </conditionalFormatting>
  <conditionalFormatting sqref="E36:G43">
    <cfRule type="expression" dxfId="132" priority="399">
      <formula>$G$30="Simple"</formula>
    </cfRule>
  </conditionalFormatting>
  <conditionalFormatting sqref="C25">
    <cfRule type="expression" dxfId="131" priority="385">
      <formula>AND($G$18="Complex",$G$25&gt;0)</formula>
    </cfRule>
    <cfRule type="expression" dxfId="130" priority="386">
      <formula>$G$18="Complex"</formula>
    </cfRule>
  </conditionalFormatting>
  <conditionalFormatting sqref="C33">
    <cfRule type="expression" dxfId="129" priority="384">
      <formula>$G$33&gt;0</formula>
    </cfRule>
  </conditionalFormatting>
  <conditionalFormatting sqref="C34">
    <cfRule type="expression" dxfId="128" priority="383">
      <formula>AND($G$34&gt;0,$G$34&lt;=$G$15)</formula>
    </cfRule>
  </conditionalFormatting>
  <conditionalFormatting sqref="C35">
    <cfRule type="expression" dxfId="127" priority="382">
      <formula>$G$35&gt;0</formula>
    </cfRule>
  </conditionalFormatting>
  <conditionalFormatting sqref="G57">
    <cfRule type="expression" dxfId="126" priority="366">
      <formula>$G$57="Fail"</formula>
    </cfRule>
  </conditionalFormatting>
  <conditionalFormatting sqref="O58:Q58 S58">
    <cfRule type="expression" dxfId="125" priority="361">
      <formula>$Q$57="Salvage"</formula>
    </cfRule>
  </conditionalFormatting>
  <conditionalFormatting sqref="E46:G48">
    <cfRule type="expression" dxfId="124" priority="339">
      <formula>$G$18="Simple"</formula>
    </cfRule>
  </conditionalFormatting>
  <conditionalFormatting sqref="G60">
    <cfRule type="expression" dxfId="123" priority="307">
      <formula>$G$60="Fail"</formula>
    </cfRule>
  </conditionalFormatting>
  <conditionalFormatting sqref="G19">
    <cfRule type="expression" dxfId="122" priority="271">
      <formula>$G$18="Simple"</formula>
    </cfRule>
  </conditionalFormatting>
  <conditionalFormatting sqref="G24 E20:F24">
    <cfRule type="expression" dxfId="121" priority="270">
      <formula>$G$18="Intermediate"</formula>
    </cfRule>
  </conditionalFormatting>
  <conditionalFormatting sqref="G20 G22:G23">
    <cfRule type="expression" dxfId="120" priority="259">
      <formula>$G$18="Intermediate"</formula>
    </cfRule>
  </conditionalFormatting>
  <conditionalFormatting sqref="G21">
    <cfRule type="expression" dxfId="119" priority="257">
      <formula>$G$18="Intermediate"</formula>
    </cfRule>
    <cfRule type="expression" dxfId="118" priority="258">
      <formula>$G$18="Intermediate"</formula>
    </cfRule>
  </conditionalFormatting>
  <conditionalFormatting sqref="E52:G60 I52:I60">
    <cfRule type="expression" dxfId="117" priority="253">
      <formula>$G$51=0</formula>
    </cfRule>
  </conditionalFormatting>
  <conditionalFormatting sqref="O14:P14">
    <cfRule type="expression" dxfId="116" priority="246">
      <formula>$T$14=1</formula>
    </cfRule>
  </conditionalFormatting>
  <conditionalFormatting sqref="O15:P15">
    <cfRule type="expression" dxfId="115" priority="245">
      <formula>$T$15=1</formula>
    </cfRule>
  </conditionalFormatting>
  <conditionalFormatting sqref="O16">
    <cfRule type="expression" dxfId="114" priority="244">
      <formula>$T$16=1</formula>
    </cfRule>
  </conditionalFormatting>
  <conditionalFormatting sqref="Q14">
    <cfRule type="expression" dxfId="113" priority="241">
      <formula>$T$14=1</formula>
    </cfRule>
  </conditionalFormatting>
  <conditionalFormatting sqref="Q15">
    <cfRule type="expression" dxfId="112" priority="240">
      <formula>$T$15=1</formula>
    </cfRule>
  </conditionalFormatting>
  <conditionalFormatting sqref="P16:Q16">
    <cfRule type="expression" dxfId="111" priority="239">
      <formula>$T$16=1</formula>
    </cfRule>
  </conditionalFormatting>
  <conditionalFormatting sqref="O13:P13">
    <cfRule type="expression" dxfId="110" priority="237">
      <formula>$T$13=1</formula>
    </cfRule>
  </conditionalFormatting>
  <conditionalFormatting sqref="Q13">
    <cfRule type="expression" dxfId="109" priority="236">
      <formula>$T$13=1</formula>
    </cfRule>
  </conditionalFormatting>
  <conditionalFormatting sqref="O23:Q23 S23 O20:Q21 S20:S21">
    <cfRule type="expression" dxfId="108" priority="224">
      <formula>$R$19=1</formula>
    </cfRule>
  </conditionalFormatting>
  <conditionalFormatting sqref="S38:S39 S43:S44 S41 O38:Q39 O43:Q44 O41:Q41">
    <cfRule type="expression" dxfId="107" priority="220">
      <formula>$R$38=1</formula>
    </cfRule>
  </conditionalFormatting>
  <conditionalFormatting sqref="I19">
    <cfRule type="expression" dxfId="106" priority="212">
      <formula>$G$18="Simple"</formula>
    </cfRule>
  </conditionalFormatting>
  <conditionalFormatting sqref="I25">
    <cfRule type="expression" dxfId="105" priority="211">
      <formula>$G$18="Complex"</formula>
    </cfRule>
  </conditionalFormatting>
  <conditionalFormatting sqref="I20:I24">
    <cfRule type="expression" dxfId="104" priority="210">
      <formula>$G$18="Intermediate"</formula>
    </cfRule>
  </conditionalFormatting>
  <conditionalFormatting sqref="I36:I43">
    <cfRule type="expression" dxfId="103" priority="209">
      <formula>$G$30="Intermediate"</formula>
    </cfRule>
  </conditionalFormatting>
  <conditionalFormatting sqref="E19:F19">
    <cfRule type="expression" dxfId="102" priority="203">
      <formula>$G$18="Simple"</formula>
    </cfRule>
  </conditionalFormatting>
  <conditionalFormatting sqref="F25">
    <cfRule type="expression" dxfId="101" priority="200">
      <formula>$G$18="Complex"</formula>
    </cfRule>
  </conditionalFormatting>
  <conditionalFormatting sqref="E25">
    <cfRule type="expression" dxfId="100" priority="199">
      <formula>$G$18="Complex"</formula>
    </cfRule>
  </conditionalFormatting>
  <conditionalFormatting sqref="O40:Q40 S40">
    <cfRule type="expression" dxfId="99" priority="2101">
      <formula>$T$41=1</formula>
    </cfRule>
  </conditionalFormatting>
  <conditionalFormatting sqref="S13">
    <cfRule type="expression" dxfId="98" priority="188">
      <formula>$T$13=1</formula>
    </cfRule>
  </conditionalFormatting>
  <conditionalFormatting sqref="S14">
    <cfRule type="expression" dxfId="97" priority="187">
      <formula>$T$14=1</formula>
    </cfRule>
  </conditionalFormatting>
  <conditionalFormatting sqref="S15">
    <cfRule type="expression" dxfId="96" priority="186">
      <formula>$T$15=1</formula>
    </cfRule>
  </conditionalFormatting>
  <conditionalFormatting sqref="S16">
    <cfRule type="expression" dxfId="95" priority="185">
      <formula>$T$16=1</formula>
    </cfRule>
  </conditionalFormatting>
  <conditionalFormatting sqref="C57">
    <cfRule type="expression" dxfId="94" priority="184">
      <formula>$G$57="Fail"</formula>
    </cfRule>
  </conditionalFormatting>
  <conditionalFormatting sqref="C60">
    <cfRule type="expression" dxfId="93" priority="183">
      <formula>$G$60="Fail"</formula>
    </cfRule>
  </conditionalFormatting>
  <conditionalFormatting sqref="E63:G63">
    <cfRule type="expression" dxfId="92" priority="182">
      <formula>$G$51=0%</formula>
    </cfRule>
  </conditionalFormatting>
  <conditionalFormatting sqref="C12">
    <cfRule type="expression" dxfId="91" priority="178">
      <formula>$D$12=1</formula>
    </cfRule>
  </conditionalFormatting>
  <conditionalFormatting sqref="C14">
    <cfRule type="expression" dxfId="90" priority="177">
      <formula>$D$14=1</formula>
    </cfRule>
  </conditionalFormatting>
  <conditionalFormatting sqref="M8">
    <cfRule type="expression" dxfId="89" priority="176">
      <formula>$N$8=1</formula>
    </cfRule>
  </conditionalFormatting>
  <conditionalFormatting sqref="C30">
    <cfRule type="expression" dxfId="88" priority="167">
      <formula>$G$30&lt;&gt;""</formula>
    </cfRule>
  </conditionalFormatting>
  <conditionalFormatting sqref="C46">
    <cfRule type="expression" dxfId="87" priority="148">
      <formula>$G$18="Simple"</formula>
    </cfRule>
    <cfRule type="expression" dxfId="86" priority="166">
      <formula>$G$46&lt;=0</formula>
    </cfRule>
  </conditionalFormatting>
  <conditionalFormatting sqref="C47">
    <cfRule type="expression" dxfId="85" priority="147">
      <formula>$G$18="Simple"</formula>
    </cfRule>
    <cfRule type="expression" dxfId="84" priority="163">
      <formula>AND($G$18="Intermediate",$G$47&gt;=0)</formula>
    </cfRule>
  </conditionalFormatting>
  <conditionalFormatting sqref="C52">
    <cfRule type="expression" dxfId="83" priority="146">
      <formula>$G$51=0</formula>
    </cfRule>
    <cfRule type="expression" dxfId="82" priority="162">
      <formula>$D$52=1</formula>
    </cfRule>
  </conditionalFormatting>
  <conditionalFormatting sqref="C53">
    <cfRule type="expression" dxfId="81" priority="159">
      <formula>$D$53=1</formula>
    </cfRule>
  </conditionalFormatting>
  <conditionalFormatting sqref="C55">
    <cfRule type="expression" dxfId="80" priority="158">
      <formula>$G$55&lt;1</formula>
    </cfRule>
  </conditionalFormatting>
  <conditionalFormatting sqref="C58">
    <cfRule type="expression" dxfId="79" priority="157">
      <formula>$G$58&lt;1</formula>
    </cfRule>
  </conditionalFormatting>
  <conditionalFormatting sqref="C54">
    <cfRule type="expression" dxfId="78" priority="156">
      <formula>$D$54=1</formula>
    </cfRule>
  </conditionalFormatting>
  <conditionalFormatting sqref="C57:C58 C60 C52:C55">
    <cfRule type="expression" dxfId="77" priority="145">
      <formula>$G$51=0</formula>
    </cfRule>
  </conditionalFormatting>
  <conditionalFormatting sqref="C64">
    <cfRule type="expression" dxfId="76" priority="144">
      <formula>$G$64&lt;0</formula>
    </cfRule>
  </conditionalFormatting>
  <conditionalFormatting sqref="C73">
    <cfRule type="expression" dxfId="75" priority="143">
      <formula>$G$73=""</formula>
    </cfRule>
  </conditionalFormatting>
  <conditionalFormatting sqref="C76">
    <cfRule type="expression" dxfId="74" priority="134">
      <formula>$G$73="No"</formula>
    </cfRule>
    <cfRule type="expression" dxfId="73" priority="135">
      <formula>$D$76=1</formula>
    </cfRule>
  </conditionalFormatting>
  <conditionalFormatting sqref="C75">
    <cfRule type="expression" dxfId="72" priority="133">
      <formula>$G$75=""</formula>
    </cfRule>
  </conditionalFormatting>
  <conditionalFormatting sqref="C77">
    <cfRule type="expression" dxfId="71" priority="132">
      <formula>$G$77=""</formula>
    </cfRule>
  </conditionalFormatting>
  <conditionalFormatting sqref="M13">
    <cfRule type="expression" dxfId="70" priority="130">
      <formula>$Q$13=""</formula>
    </cfRule>
  </conditionalFormatting>
  <conditionalFormatting sqref="M14">
    <cfRule type="expression" dxfId="69" priority="129">
      <formula>$N$14=1</formula>
    </cfRule>
  </conditionalFormatting>
  <conditionalFormatting sqref="M15">
    <cfRule type="expression" dxfId="68" priority="128">
      <formula>$N$15=1</formula>
    </cfRule>
  </conditionalFormatting>
  <conditionalFormatting sqref="M19">
    <cfRule type="expression" dxfId="67" priority="127">
      <formula>$Q$19=""</formula>
    </cfRule>
  </conditionalFormatting>
  <conditionalFormatting sqref="M20">
    <cfRule type="expression" dxfId="66" priority="126">
      <formula>$Q$20=""</formula>
    </cfRule>
  </conditionalFormatting>
  <conditionalFormatting sqref="M24">
    <cfRule type="expression" dxfId="65" priority="125">
      <formula>$Q$24=""</formula>
    </cfRule>
  </conditionalFormatting>
  <conditionalFormatting sqref="M21 M52 M57 M50 M47 M30 M33:M34 M38">
    <cfRule type="expression" dxfId="64" priority="124">
      <formula>$N21=1</formula>
    </cfRule>
  </conditionalFormatting>
  <conditionalFormatting sqref="M25">
    <cfRule type="expression" dxfId="63" priority="116">
      <formula>$Q$25&lt;0</formula>
    </cfRule>
  </conditionalFormatting>
  <conditionalFormatting sqref="M27">
    <cfRule type="expression" dxfId="62" priority="115">
      <formula>$N$27=1</formula>
    </cfRule>
  </conditionalFormatting>
  <conditionalFormatting sqref="M28">
    <cfRule type="expression" dxfId="61" priority="114">
      <formula>$Q$28=""</formula>
    </cfRule>
  </conditionalFormatting>
  <conditionalFormatting sqref="M62 M65 M45 M29">
    <cfRule type="expression" dxfId="60" priority="112">
      <formula>$Q29&lt;0</formula>
    </cfRule>
  </conditionalFormatting>
  <conditionalFormatting sqref="M36">
    <cfRule type="expression" dxfId="59" priority="108">
      <formula>$N$36=1</formula>
    </cfRule>
  </conditionalFormatting>
  <conditionalFormatting sqref="M41">
    <cfRule type="expression" dxfId="58" priority="107">
      <formula>$Q$41&lt;0</formula>
    </cfRule>
  </conditionalFormatting>
  <conditionalFormatting sqref="M43">
    <cfRule type="expression" dxfId="57" priority="106">
      <formula>$N$43=1</formula>
    </cfRule>
  </conditionalFormatting>
  <conditionalFormatting sqref="M44">
    <cfRule type="expression" dxfId="56" priority="105">
      <formula>$Q$44=""</formula>
    </cfRule>
  </conditionalFormatting>
  <conditionalFormatting sqref="M51 M53">
    <cfRule type="expression" dxfId="55" priority="101">
      <formula>$Q51&gt;0</formula>
    </cfRule>
  </conditionalFormatting>
  <conditionalFormatting sqref="M58">
    <cfRule type="expression" dxfId="54" priority="89">
      <formula>$Q$57="Salvage"</formula>
    </cfRule>
    <cfRule type="expression" dxfId="53" priority="99">
      <formula>$Q$58&lt;0</formula>
    </cfRule>
  </conditionalFormatting>
  <conditionalFormatting sqref="M67">
    <cfRule type="expression" dxfId="52" priority="96">
      <formula>$Q$67&lt;0</formula>
    </cfRule>
  </conditionalFormatting>
  <conditionalFormatting sqref="M27:M28 M24:M25">
    <cfRule type="expression" dxfId="51" priority="93">
      <formula>$Q$19="Cost-Based"</formula>
    </cfRule>
  </conditionalFormatting>
  <conditionalFormatting sqref="M73">
    <cfRule type="expression" dxfId="50" priority="85">
      <formula>$N$73=2</formula>
    </cfRule>
    <cfRule type="expression" dxfId="49" priority="86">
      <formula>$N$73=1</formula>
    </cfRule>
  </conditionalFormatting>
  <conditionalFormatting sqref="M74:M78">
    <cfRule type="expression" dxfId="48" priority="81">
      <formula>$N74=2</formula>
    </cfRule>
    <cfRule type="expression" dxfId="47" priority="82">
      <formula>$N74=1</formula>
    </cfRule>
  </conditionalFormatting>
  <conditionalFormatting sqref="AB73:AB79 O73:R78 U73:Z78">
    <cfRule type="expression" dxfId="46" priority="80">
      <formula>$L73=0</formula>
    </cfRule>
  </conditionalFormatting>
  <conditionalFormatting sqref="O79:R79 U79:Z79">
    <cfRule type="expression" dxfId="45" priority="75">
      <formula>$L$79=0</formula>
    </cfRule>
  </conditionalFormatting>
  <conditionalFormatting sqref="C5">
    <cfRule type="expression" dxfId="44" priority="74">
      <formula>$G$5=""</formula>
    </cfRule>
  </conditionalFormatting>
  <conditionalFormatting sqref="C21:C23">
    <cfRule type="expression" dxfId="43" priority="73">
      <formula>$G21&lt;0</formula>
    </cfRule>
  </conditionalFormatting>
  <conditionalFormatting sqref="C36 C38:C42">
    <cfRule type="expression" dxfId="42" priority="70">
      <formula>$G$30="Simple"</formula>
    </cfRule>
  </conditionalFormatting>
  <conditionalFormatting sqref="C36 C38:C39 C41:C42">
    <cfRule type="expression" dxfId="41" priority="67">
      <formula>$G36&lt;0</formula>
    </cfRule>
    <cfRule type="expression" dxfId="40" priority="68">
      <formula>$G36&lt;0</formula>
    </cfRule>
  </conditionalFormatting>
  <conditionalFormatting sqref="C40">
    <cfRule type="expression" dxfId="39" priority="56">
      <formula>$G$40=""</formula>
    </cfRule>
  </conditionalFormatting>
  <conditionalFormatting sqref="C32">
    <cfRule type="expression" dxfId="38" priority="55">
      <formula>$G$32&lt;0</formula>
    </cfRule>
  </conditionalFormatting>
  <conditionalFormatting sqref="C15">
    <cfRule type="expression" dxfId="37" priority="54">
      <formula>$D$15=1</formula>
    </cfRule>
  </conditionalFormatting>
  <conditionalFormatting sqref="E74:G79 I74:I79">
    <cfRule type="expression" dxfId="36" priority="2359">
      <formula>$G$73="No"</formula>
    </cfRule>
  </conditionalFormatting>
  <conditionalFormatting sqref="I57 I60">
    <cfRule type="expression" dxfId="35" priority="42">
      <formula>$G57="Fail"</formula>
    </cfRule>
  </conditionalFormatting>
  <conditionalFormatting sqref="E57">
    <cfRule type="expression" dxfId="34" priority="37">
      <formula>$G$57="Fail"</formula>
    </cfRule>
  </conditionalFormatting>
  <conditionalFormatting sqref="E60">
    <cfRule type="expression" dxfId="33" priority="36">
      <formula>$G$60="Fail"</formula>
    </cfRule>
  </conditionalFormatting>
  <conditionalFormatting sqref="M71">
    <cfRule type="expression" dxfId="32" priority="21">
      <formula>$P$70="No"</formula>
    </cfRule>
    <cfRule type="expression" dxfId="31" priority="22">
      <formula>$P$71&lt;0</formula>
    </cfRule>
  </conditionalFormatting>
  <conditionalFormatting sqref="O71:P71 S71">
    <cfRule type="expression" dxfId="30" priority="20">
      <formula>$P$70="No"</formula>
    </cfRule>
  </conditionalFormatting>
  <conditionalFormatting sqref="M70">
    <cfRule type="expression" dxfId="29" priority="18">
      <formula>$P$70=""</formula>
    </cfRule>
  </conditionalFormatting>
  <conditionalFormatting sqref="M13:M15">
    <cfRule type="expression" dxfId="28" priority="3188">
      <formula>$G$15=$Q$8</formula>
    </cfRule>
  </conditionalFormatting>
  <conditionalFormatting sqref="L24 K19">
    <cfRule type="expression" dxfId="27" priority="3189">
      <formula>$G$18="Simple"</formula>
    </cfRule>
  </conditionalFormatting>
  <conditionalFormatting sqref="L27:L28 L25 K20:K24">
    <cfRule type="expression" dxfId="26" priority="3191">
      <formula>$G$18="Intermediate"</formula>
    </cfRule>
  </conditionalFormatting>
  <conditionalFormatting sqref="C9">
    <cfRule type="expression" dxfId="25" priority="15">
      <formula>$G$9=""</formula>
    </cfRule>
  </conditionalFormatting>
  <conditionalFormatting sqref="I10 E10:G10">
    <cfRule type="expression" dxfId="24" priority="14">
      <formula>$G$9="Custom"</formula>
    </cfRule>
  </conditionalFormatting>
  <conditionalFormatting sqref="C10">
    <cfRule type="expression" dxfId="23" priority="13">
      <formula>$G$10=""</formula>
    </cfRule>
  </conditionalFormatting>
  <conditionalFormatting sqref="C11">
    <cfRule type="expression" dxfId="22" priority="12">
      <formula>$G$11=""</formula>
    </cfRule>
  </conditionalFormatting>
  <conditionalFormatting sqref="E11:G11 I11">
    <cfRule type="expression" dxfId="21" priority="11">
      <formula>$G$9="State Average"</formula>
    </cfRule>
  </conditionalFormatting>
  <conditionalFormatting sqref="O39:Q39 O43:Q44 O41:Q41">
    <cfRule type="expression" dxfId="20" priority="3216">
      <formula>$Q$38="No"</formula>
    </cfRule>
  </conditionalFormatting>
  <conditionalFormatting sqref="G12">
    <cfRule type="expression" dxfId="19" priority="8">
      <formula>ISERROR($G$13)</formula>
    </cfRule>
  </conditionalFormatting>
  <conditionalFormatting sqref="E12:G12 I12">
    <cfRule type="expression" dxfId="18" priority="7">
      <formula>$G$9="custom"</formula>
    </cfRule>
  </conditionalFormatting>
  <conditionalFormatting sqref="S36:S37 O36:Q37 S34 O34:Q34">
    <cfRule type="expression" dxfId="17" priority="4697">
      <formula>$R$34=1</formula>
    </cfRule>
  </conditionalFormatting>
  <conditionalFormatting sqref="M36 M34">
    <cfRule type="expression" dxfId="16" priority="4762">
      <formula>$Q$33="Performance-Based"</formula>
    </cfRule>
  </conditionalFormatting>
  <conditionalFormatting sqref="M38 M43:M44 M41">
    <cfRule type="expression" dxfId="15" priority="4800">
      <formula>$Q$33="Cost-Based"</formula>
    </cfRule>
  </conditionalFormatting>
  <conditionalFormatting sqref="M40">
    <cfRule type="expression" dxfId="14" priority="4944">
      <formula>$Q$38="Tax Credit"</formula>
    </cfRule>
    <cfRule type="expression" dxfId="13" priority="4945">
      <formula>$Q40=""</formula>
    </cfRule>
  </conditionalFormatting>
  <conditionalFormatting sqref="O42:Q42">
    <cfRule type="expression" dxfId="12" priority="6">
      <formula>$R$38=1</formula>
    </cfRule>
  </conditionalFormatting>
  <conditionalFormatting sqref="O42:Q42">
    <cfRule type="expression" dxfId="11" priority="5">
      <formula>$Q$38="No"</formula>
    </cfRule>
  </conditionalFormatting>
  <conditionalFormatting sqref="O35:Q35">
    <cfRule type="expression" dxfId="10" priority="4">
      <formula>$R$34=1</formula>
    </cfRule>
  </conditionalFormatting>
  <conditionalFormatting sqref="O22:Q22">
    <cfRule type="expression" dxfId="9" priority="3">
      <formula>$R$19=1</formula>
    </cfRule>
  </conditionalFormatting>
  <conditionalFormatting sqref="O24:Q28 S24:S25 S27:S28">
    <cfRule type="expression" dxfId="8" priority="1">
      <formula>OR($R$19=2,$Q$19="Neither")</formula>
    </cfRule>
  </conditionalFormatting>
  <dataValidations count="16">
    <dataValidation type="decimal" errorStyle="warning" operator="greaterThanOrEqual" allowBlank="1" showInputMessage="1" showErrorMessage="1" errorTitle="Project Fails to Meet DSCR" error="This project's cash flow is insufficient to support the amount of user-defined debt, and fails to meet the lender's requirements.    _x000a_Please read the note field(s) highlighted in yellow for options to cure this deficiency._x000a_" sqref="G59" xr:uid="{00000000-0002-0000-0100-000000000000}">
      <formula1>G58</formula1>
    </dataValidation>
    <dataValidation type="list" allowBlank="1" showInputMessage="1" showErrorMessage="1" sqref="Q40 Q30 Q47 G73 P70" xr:uid="{00000000-0002-0000-0100-000001000000}">
      <formula1>"Yes, No"</formula1>
    </dataValidation>
    <dataValidation type="list" allowBlank="1" showInputMessage="1" showErrorMessage="1" sqref="Q38 Q24" xr:uid="{00000000-0002-0000-0100-000002000000}">
      <formula1>"Cash, Tax Credit"</formula1>
    </dataValidation>
    <dataValidation type="list" allowBlank="1" showInputMessage="1" showErrorMessage="1" sqref="Q33 Q19" xr:uid="{00000000-0002-0000-0100-000003000000}">
      <formula1>"Cost-Based, Performance-Based, Neither"</formula1>
    </dataValidation>
    <dataValidation type="list" allowBlank="1" showInputMessage="1" showErrorMessage="1" sqref="Q57" xr:uid="{00000000-0002-0000-0100-000004000000}">
      <formula1>"Operations, Salvage"</formula1>
    </dataValidation>
    <dataValidation type="list" allowBlank="1" showInputMessage="1" showErrorMessage="1" sqref="Q20" xr:uid="{00000000-0002-0000-0100-000005000000}">
      <formula1>"ITC, Cash Grant"</formula1>
    </dataValidation>
    <dataValidation type="list" allowBlank="1" showInputMessage="1" showErrorMessage="1" sqref="G75 G77" xr:uid="{00000000-0002-0000-0100-000006000000}">
      <formula1>"As Generated, Carried Forward"</formula1>
    </dataValidation>
    <dataValidation errorStyle="warning" allowBlank="1" showInputMessage="1" showErrorMessage="1" sqref="G57" xr:uid="{00000000-0002-0000-0100-000007000000}"/>
    <dataValidation errorStyle="warning" operator="equal" allowBlank="1" showInputMessage="1" showErrorMessage="1" errorTitle="Project Fails to Meet DSCR" error="This project's cash flow is insufficient to support the amount of user-defined debt, and fails to meet the lender's requirements.    _x000a_Please read the note field(s) highlighted in yellow for options to cure this deficiency._x000a__x000a_" sqref="H57 H60" xr:uid="{00000000-0002-0000-0100-000008000000}"/>
    <dataValidation errorStyle="warning" operator="greaterThanOrEqual" allowBlank="1" showInputMessage="1" showErrorMessage="1" errorTitle="test" error="test" sqref="G55" xr:uid="{00000000-0002-0000-0100-000009000000}"/>
    <dataValidation type="list" allowBlank="1" showInputMessage="1" showErrorMessage="1" sqref="G30" xr:uid="{00000000-0002-0000-0100-00000A000000}">
      <formula1>"Simple, Intermediate"</formula1>
    </dataValidation>
    <dataValidation type="list" allowBlank="1" showInputMessage="1" showErrorMessage="1" sqref="G18" xr:uid="{00000000-0002-0000-0100-00000B000000}">
      <formula1>"Simple, Intermediate, Complex"</formula1>
    </dataValidation>
    <dataValidation type="list" allowBlank="1" showInputMessage="1" showErrorMessage="1" sqref="Q13" xr:uid="{00000000-0002-0000-0100-00000C000000}">
      <formula1>"Year One, Year-by-Year"</formula1>
    </dataValidation>
    <dataValidation type="list" allowBlank="1" showInputMessage="1" showErrorMessage="1" sqref="J5 G5" xr:uid="{00000000-0002-0000-0100-00000D000000}">
      <formula1>$O$5:$P$5</formula1>
    </dataValidation>
    <dataValidation type="list" allowBlank="1" showInputMessage="1" showErrorMessage="1" sqref="G9" xr:uid="{00000000-0002-0000-0100-00000E000000}">
      <formula1>"State Average, Custom"</formula1>
    </dataValidation>
    <dataValidation type="list" allowBlank="1" showInputMessage="1" showErrorMessage="1" sqref="G10" xr:uid="{00000000-0002-0000-0100-00000F000000}">
      <formula1>$AD$5:$AD$55</formula1>
    </dataValidation>
  </dataValidations>
  <hyperlinks>
    <hyperlink ref="E25" location="'Complex Inputs'!A1" display="'Complex Inputs'!A1" xr:uid="{00000000-0004-0000-0100-000000000000}"/>
    <hyperlink ref="O16" location="'Complex Inputs'!A126" display="'Complex Inputs'!A126" xr:uid="{00000000-0004-0000-0100-000001000000}"/>
    <hyperlink ref="O79" location="'Complex Inputs'!A114" display="'Complex Inputs'!A114" xr:uid="{00000000-0004-0000-0100-000002000000}"/>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O59"/>
  <sheetViews>
    <sheetView showGridLines="0" zoomScale="70" zoomScaleNormal="70" workbookViewId="0">
      <pane xSplit="1" ySplit="2" topLeftCell="B3" activePane="bottomRight" state="frozen"/>
      <selection pane="topRight" activeCell="B1" sqref="B1"/>
      <selection pane="bottomLeft" activeCell="A3" sqref="A3"/>
      <selection pane="bottomRight" activeCell="G19" sqref="G19"/>
    </sheetView>
  </sheetViews>
  <sheetFormatPr defaultColWidth="8.85546875" defaultRowHeight="14.25" x14ac:dyDescent="0.2"/>
  <cols>
    <col min="1" max="1" width="2.42578125" style="136" customWidth="1"/>
    <col min="2" max="2" width="57.42578125" style="136" customWidth="1"/>
    <col min="3" max="3" width="8.42578125" style="136" bestFit="1" customWidth="1"/>
    <col min="4" max="4" width="22.7109375" style="136" bestFit="1" customWidth="1"/>
    <col min="5" max="5" width="3.85546875" style="136" customWidth="1"/>
    <col min="6" max="15" width="26.28515625" style="136" bestFit="1" customWidth="1"/>
    <col min="16" max="243" width="9.140625" style="136"/>
    <col min="244" max="244" width="21.42578125" style="136" customWidth="1"/>
    <col min="245" max="245" width="16.42578125" style="136" customWidth="1"/>
    <col min="246" max="246" width="18" style="136" customWidth="1"/>
    <col min="247" max="247" width="23.7109375" style="136" customWidth="1"/>
    <col min="248" max="248" width="26" style="136" customWidth="1"/>
    <col min="249" max="249" width="21.42578125" style="136" customWidth="1"/>
    <col min="250" max="250" width="20.85546875" style="136" customWidth="1"/>
    <col min="251" max="251" width="0" style="136" hidden="1" customWidth="1"/>
    <col min="252" max="499" width="9.140625" style="136"/>
    <col min="500" max="500" width="21.42578125" style="136" customWidth="1"/>
    <col min="501" max="501" width="16.42578125" style="136" customWidth="1"/>
    <col min="502" max="502" width="18" style="136" customWidth="1"/>
    <col min="503" max="503" width="23.7109375" style="136" customWidth="1"/>
    <col min="504" max="504" width="26" style="136" customWidth="1"/>
    <col min="505" max="505" width="21.42578125" style="136" customWidth="1"/>
    <col min="506" max="506" width="20.85546875" style="136" customWidth="1"/>
    <col min="507" max="507" width="0" style="136" hidden="1" customWidth="1"/>
    <col min="508" max="755" width="9.140625" style="136"/>
    <col min="756" max="756" width="21.42578125" style="136" customWidth="1"/>
    <col min="757" max="757" width="16.42578125" style="136" customWidth="1"/>
    <col min="758" max="758" width="18" style="136" customWidth="1"/>
    <col min="759" max="759" width="23.7109375" style="136" customWidth="1"/>
    <col min="760" max="760" width="26" style="136" customWidth="1"/>
    <col min="761" max="761" width="21.42578125" style="136" customWidth="1"/>
    <col min="762" max="762" width="20.85546875" style="136" customWidth="1"/>
    <col min="763" max="763" width="0" style="136" hidden="1" customWidth="1"/>
    <col min="764" max="1011" width="9.140625" style="136"/>
    <col min="1012" max="1012" width="21.42578125" style="136" customWidth="1"/>
    <col min="1013" max="1013" width="16.42578125" style="136" customWidth="1"/>
    <col min="1014" max="1014" width="18" style="136" customWidth="1"/>
    <col min="1015" max="1015" width="23.7109375" style="136" customWidth="1"/>
    <col min="1016" max="1016" width="26" style="136" customWidth="1"/>
    <col min="1017" max="1017" width="21.42578125" style="136" customWidth="1"/>
    <col min="1018" max="1018" width="20.85546875" style="136" customWidth="1"/>
    <col min="1019" max="1019" width="0" style="136" hidden="1" customWidth="1"/>
    <col min="1020" max="1267" width="9.140625" style="136"/>
    <col min="1268" max="1268" width="21.42578125" style="136" customWidth="1"/>
    <col min="1269" max="1269" width="16.42578125" style="136" customWidth="1"/>
    <col min="1270" max="1270" width="18" style="136" customWidth="1"/>
    <col min="1271" max="1271" width="23.7109375" style="136" customWidth="1"/>
    <col min="1272" max="1272" width="26" style="136" customWidth="1"/>
    <col min="1273" max="1273" width="21.42578125" style="136" customWidth="1"/>
    <col min="1274" max="1274" width="20.85546875" style="136" customWidth="1"/>
    <col min="1275" max="1275" width="0" style="136" hidden="1" customWidth="1"/>
    <col min="1276" max="1523" width="9.140625" style="136"/>
    <col min="1524" max="1524" width="21.42578125" style="136" customWidth="1"/>
    <col min="1525" max="1525" width="16.42578125" style="136" customWidth="1"/>
    <col min="1526" max="1526" width="18" style="136" customWidth="1"/>
    <col min="1527" max="1527" width="23.7109375" style="136" customWidth="1"/>
    <col min="1528" max="1528" width="26" style="136" customWidth="1"/>
    <col min="1529" max="1529" width="21.42578125" style="136" customWidth="1"/>
    <col min="1530" max="1530" width="20.85546875" style="136" customWidth="1"/>
    <col min="1531" max="1531" width="0" style="136" hidden="1" customWidth="1"/>
    <col min="1532" max="1779" width="9.140625" style="136"/>
    <col min="1780" max="1780" width="21.42578125" style="136" customWidth="1"/>
    <col min="1781" max="1781" width="16.42578125" style="136" customWidth="1"/>
    <col min="1782" max="1782" width="18" style="136" customWidth="1"/>
    <col min="1783" max="1783" width="23.7109375" style="136" customWidth="1"/>
    <col min="1784" max="1784" width="26" style="136" customWidth="1"/>
    <col min="1785" max="1785" width="21.42578125" style="136" customWidth="1"/>
    <col min="1786" max="1786" width="20.85546875" style="136" customWidth="1"/>
    <col min="1787" max="1787" width="0" style="136" hidden="1" customWidth="1"/>
    <col min="1788" max="2035" width="9.140625" style="136"/>
    <col min="2036" max="2036" width="21.42578125" style="136" customWidth="1"/>
    <col min="2037" max="2037" width="16.42578125" style="136" customWidth="1"/>
    <col min="2038" max="2038" width="18" style="136" customWidth="1"/>
    <col min="2039" max="2039" width="23.7109375" style="136" customWidth="1"/>
    <col min="2040" max="2040" width="26" style="136" customWidth="1"/>
    <col min="2041" max="2041" width="21.42578125" style="136" customWidth="1"/>
    <col min="2042" max="2042" width="20.85546875" style="136" customWidth="1"/>
    <col min="2043" max="2043" width="0" style="136" hidden="1" customWidth="1"/>
    <col min="2044" max="2291" width="9.140625" style="136"/>
    <col min="2292" max="2292" width="21.42578125" style="136" customWidth="1"/>
    <col min="2293" max="2293" width="16.42578125" style="136" customWidth="1"/>
    <col min="2294" max="2294" width="18" style="136" customWidth="1"/>
    <col min="2295" max="2295" width="23.7109375" style="136" customWidth="1"/>
    <col min="2296" max="2296" width="26" style="136" customWidth="1"/>
    <col min="2297" max="2297" width="21.42578125" style="136" customWidth="1"/>
    <col min="2298" max="2298" width="20.85546875" style="136" customWidth="1"/>
    <col min="2299" max="2299" width="0" style="136" hidden="1" customWidth="1"/>
    <col min="2300" max="2547" width="9.140625" style="136"/>
    <col min="2548" max="2548" width="21.42578125" style="136" customWidth="1"/>
    <col min="2549" max="2549" width="16.42578125" style="136" customWidth="1"/>
    <col min="2550" max="2550" width="18" style="136" customWidth="1"/>
    <col min="2551" max="2551" width="23.7109375" style="136" customWidth="1"/>
    <col min="2552" max="2552" width="26" style="136" customWidth="1"/>
    <col min="2553" max="2553" width="21.42578125" style="136" customWidth="1"/>
    <col min="2554" max="2554" width="20.85546875" style="136" customWidth="1"/>
    <col min="2555" max="2555" width="0" style="136" hidden="1" customWidth="1"/>
    <col min="2556" max="2803" width="9.140625" style="136"/>
    <col min="2804" max="2804" width="21.42578125" style="136" customWidth="1"/>
    <col min="2805" max="2805" width="16.42578125" style="136" customWidth="1"/>
    <col min="2806" max="2806" width="18" style="136" customWidth="1"/>
    <col min="2807" max="2807" width="23.7109375" style="136" customWidth="1"/>
    <col min="2808" max="2808" width="26" style="136" customWidth="1"/>
    <col min="2809" max="2809" width="21.42578125" style="136" customWidth="1"/>
    <col min="2810" max="2810" width="20.85546875" style="136" customWidth="1"/>
    <col min="2811" max="2811" width="0" style="136" hidden="1" customWidth="1"/>
    <col min="2812" max="3059" width="9.140625" style="136"/>
    <col min="3060" max="3060" width="21.42578125" style="136" customWidth="1"/>
    <col min="3061" max="3061" width="16.42578125" style="136" customWidth="1"/>
    <col min="3062" max="3062" width="18" style="136" customWidth="1"/>
    <col min="3063" max="3063" width="23.7109375" style="136" customWidth="1"/>
    <col min="3064" max="3064" width="26" style="136" customWidth="1"/>
    <col min="3065" max="3065" width="21.42578125" style="136" customWidth="1"/>
    <col min="3066" max="3066" width="20.85546875" style="136" customWidth="1"/>
    <col min="3067" max="3067" width="0" style="136" hidden="1" customWidth="1"/>
    <col min="3068" max="3315" width="9.140625" style="136"/>
    <col min="3316" max="3316" width="21.42578125" style="136" customWidth="1"/>
    <col min="3317" max="3317" width="16.42578125" style="136" customWidth="1"/>
    <col min="3318" max="3318" width="18" style="136" customWidth="1"/>
    <col min="3319" max="3319" width="23.7109375" style="136" customWidth="1"/>
    <col min="3320" max="3320" width="26" style="136" customWidth="1"/>
    <col min="3321" max="3321" width="21.42578125" style="136" customWidth="1"/>
    <col min="3322" max="3322" width="20.85546875" style="136" customWidth="1"/>
    <col min="3323" max="3323" width="0" style="136" hidden="1" customWidth="1"/>
    <col min="3324" max="3571" width="9.140625" style="136"/>
    <col min="3572" max="3572" width="21.42578125" style="136" customWidth="1"/>
    <col min="3573" max="3573" width="16.42578125" style="136" customWidth="1"/>
    <col min="3574" max="3574" width="18" style="136" customWidth="1"/>
    <col min="3575" max="3575" width="23.7109375" style="136" customWidth="1"/>
    <col min="3576" max="3576" width="26" style="136" customWidth="1"/>
    <col min="3577" max="3577" width="21.42578125" style="136" customWidth="1"/>
    <col min="3578" max="3578" width="20.85546875" style="136" customWidth="1"/>
    <col min="3579" max="3579" width="0" style="136" hidden="1" customWidth="1"/>
    <col min="3580" max="3827" width="9.140625" style="136"/>
    <col min="3828" max="3828" width="21.42578125" style="136" customWidth="1"/>
    <col min="3829" max="3829" width="16.42578125" style="136" customWidth="1"/>
    <col min="3830" max="3830" width="18" style="136" customWidth="1"/>
    <col min="3831" max="3831" width="23.7109375" style="136" customWidth="1"/>
    <col min="3832" max="3832" width="26" style="136" customWidth="1"/>
    <col min="3833" max="3833" width="21.42578125" style="136" customWidth="1"/>
    <col min="3834" max="3834" width="20.85546875" style="136" customWidth="1"/>
    <col min="3835" max="3835" width="0" style="136" hidden="1" customWidth="1"/>
    <col min="3836" max="4083" width="9.140625" style="136"/>
    <col min="4084" max="4084" width="21.42578125" style="136" customWidth="1"/>
    <col min="4085" max="4085" width="16.42578125" style="136" customWidth="1"/>
    <col min="4086" max="4086" width="18" style="136" customWidth="1"/>
    <col min="4087" max="4087" width="23.7109375" style="136" customWidth="1"/>
    <col min="4088" max="4088" width="26" style="136" customWidth="1"/>
    <col min="4089" max="4089" width="21.42578125" style="136" customWidth="1"/>
    <col min="4090" max="4090" width="20.85546875" style="136" customWidth="1"/>
    <col min="4091" max="4091" width="0" style="136" hidden="1" customWidth="1"/>
    <col min="4092" max="4339" width="9.140625" style="136"/>
    <col min="4340" max="4340" width="21.42578125" style="136" customWidth="1"/>
    <col min="4341" max="4341" width="16.42578125" style="136" customWidth="1"/>
    <col min="4342" max="4342" width="18" style="136" customWidth="1"/>
    <col min="4343" max="4343" width="23.7109375" style="136" customWidth="1"/>
    <col min="4344" max="4344" width="26" style="136" customWidth="1"/>
    <col min="4345" max="4345" width="21.42578125" style="136" customWidth="1"/>
    <col min="4346" max="4346" width="20.85546875" style="136" customWidth="1"/>
    <col min="4347" max="4347" width="0" style="136" hidden="1" customWidth="1"/>
    <col min="4348" max="4595" width="9.140625" style="136"/>
    <col min="4596" max="4596" width="21.42578125" style="136" customWidth="1"/>
    <col min="4597" max="4597" width="16.42578125" style="136" customWidth="1"/>
    <col min="4598" max="4598" width="18" style="136" customWidth="1"/>
    <col min="4599" max="4599" width="23.7109375" style="136" customWidth="1"/>
    <col min="4600" max="4600" width="26" style="136" customWidth="1"/>
    <col min="4601" max="4601" width="21.42578125" style="136" customWidth="1"/>
    <col min="4602" max="4602" width="20.85546875" style="136" customWidth="1"/>
    <col min="4603" max="4603" width="0" style="136" hidden="1" customWidth="1"/>
    <col min="4604" max="4851" width="9.140625" style="136"/>
    <col min="4852" max="4852" width="21.42578125" style="136" customWidth="1"/>
    <col min="4853" max="4853" width="16.42578125" style="136" customWidth="1"/>
    <col min="4854" max="4854" width="18" style="136" customWidth="1"/>
    <col min="4855" max="4855" width="23.7109375" style="136" customWidth="1"/>
    <col min="4856" max="4856" width="26" style="136" customWidth="1"/>
    <col min="4857" max="4857" width="21.42578125" style="136" customWidth="1"/>
    <col min="4858" max="4858" width="20.85546875" style="136" customWidth="1"/>
    <col min="4859" max="4859" width="0" style="136" hidden="1" customWidth="1"/>
    <col min="4860" max="5107" width="9.140625" style="136"/>
    <col min="5108" max="5108" width="21.42578125" style="136" customWidth="1"/>
    <col min="5109" max="5109" width="16.42578125" style="136" customWidth="1"/>
    <col min="5110" max="5110" width="18" style="136" customWidth="1"/>
    <col min="5111" max="5111" width="23.7109375" style="136" customWidth="1"/>
    <col min="5112" max="5112" width="26" style="136" customWidth="1"/>
    <col min="5113" max="5113" width="21.42578125" style="136" customWidth="1"/>
    <col min="5114" max="5114" width="20.85546875" style="136" customWidth="1"/>
    <col min="5115" max="5115" width="0" style="136" hidden="1" customWidth="1"/>
    <col min="5116" max="5363" width="9.140625" style="136"/>
    <col min="5364" max="5364" width="21.42578125" style="136" customWidth="1"/>
    <col min="5365" max="5365" width="16.42578125" style="136" customWidth="1"/>
    <col min="5366" max="5366" width="18" style="136" customWidth="1"/>
    <col min="5367" max="5367" width="23.7109375" style="136" customWidth="1"/>
    <col min="5368" max="5368" width="26" style="136" customWidth="1"/>
    <col min="5369" max="5369" width="21.42578125" style="136" customWidth="1"/>
    <col min="5370" max="5370" width="20.85546875" style="136" customWidth="1"/>
    <col min="5371" max="5371" width="0" style="136" hidden="1" customWidth="1"/>
    <col min="5372" max="5619" width="9.140625" style="136"/>
    <col min="5620" max="5620" width="21.42578125" style="136" customWidth="1"/>
    <col min="5621" max="5621" width="16.42578125" style="136" customWidth="1"/>
    <col min="5622" max="5622" width="18" style="136" customWidth="1"/>
    <col min="5623" max="5623" width="23.7109375" style="136" customWidth="1"/>
    <col min="5624" max="5624" width="26" style="136" customWidth="1"/>
    <col min="5625" max="5625" width="21.42578125" style="136" customWidth="1"/>
    <col min="5626" max="5626" width="20.85546875" style="136" customWidth="1"/>
    <col min="5627" max="5627" width="0" style="136" hidden="1" customWidth="1"/>
    <col min="5628" max="5875" width="9.140625" style="136"/>
    <col min="5876" max="5876" width="21.42578125" style="136" customWidth="1"/>
    <col min="5877" max="5877" width="16.42578125" style="136" customWidth="1"/>
    <col min="5878" max="5878" width="18" style="136" customWidth="1"/>
    <col min="5879" max="5879" width="23.7109375" style="136" customWidth="1"/>
    <col min="5880" max="5880" width="26" style="136" customWidth="1"/>
    <col min="5881" max="5881" width="21.42578125" style="136" customWidth="1"/>
    <col min="5882" max="5882" width="20.85546875" style="136" customWidth="1"/>
    <col min="5883" max="5883" width="0" style="136" hidden="1" customWidth="1"/>
    <col min="5884" max="6131" width="9.140625" style="136"/>
    <col min="6132" max="6132" width="21.42578125" style="136" customWidth="1"/>
    <col min="6133" max="6133" width="16.42578125" style="136" customWidth="1"/>
    <col min="6134" max="6134" width="18" style="136" customWidth="1"/>
    <col min="6135" max="6135" width="23.7109375" style="136" customWidth="1"/>
    <col min="6136" max="6136" width="26" style="136" customWidth="1"/>
    <col min="6137" max="6137" width="21.42578125" style="136" customWidth="1"/>
    <col min="6138" max="6138" width="20.85546875" style="136" customWidth="1"/>
    <col min="6139" max="6139" width="0" style="136" hidden="1" customWidth="1"/>
    <col min="6140" max="6387" width="9.140625" style="136"/>
    <col min="6388" max="6388" width="21.42578125" style="136" customWidth="1"/>
    <col min="6389" max="6389" width="16.42578125" style="136" customWidth="1"/>
    <col min="6390" max="6390" width="18" style="136" customWidth="1"/>
    <col min="6391" max="6391" width="23.7109375" style="136" customWidth="1"/>
    <col min="6392" max="6392" width="26" style="136" customWidth="1"/>
    <col min="6393" max="6393" width="21.42578125" style="136" customWidth="1"/>
    <col min="6394" max="6394" width="20.85546875" style="136" customWidth="1"/>
    <col min="6395" max="6395" width="0" style="136" hidden="1" customWidth="1"/>
    <col min="6396" max="6643" width="9.140625" style="136"/>
    <col min="6644" max="6644" width="21.42578125" style="136" customWidth="1"/>
    <col min="6645" max="6645" width="16.42578125" style="136" customWidth="1"/>
    <col min="6646" max="6646" width="18" style="136" customWidth="1"/>
    <col min="6647" max="6647" width="23.7109375" style="136" customWidth="1"/>
    <col min="6648" max="6648" width="26" style="136" customWidth="1"/>
    <col min="6649" max="6649" width="21.42578125" style="136" customWidth="1"/>
    <col min="6650" max="6650" width="20.85546875" style="136" customWidth="1"/>
    <col min="6651" max="6651" width="0" style="136" hidden="1" customWidth="1"/>
    <col min="6652" max="6899" width="9.140625" style="136"/>
    <col min="6900" max="6900" width="21.42578125" style="136" customWidth="1"/>
    <col min="6901" max="6901" width="16.42578125" style="136" customWidth="1"/>
    <col min="6902" max="6902" width="18" style="136" customWidth="1"/>
    <col min="6903" max="6903" width="23.7109375" style="136" customWidth="1"/>
    <col min="6904" max="6904" width="26" style="136" customWidth="1"/>
    <col min="6905" max="6905" width="21.42578125" style="136" customWidth="1"/>
    <col min="6906" max="6906" width="20.85546875" style="136" customWidth="1"/>
    <col min="6907" max="6907" width="0" style="136" hidden="1" customWidth="1"/>
    <col min="6908" max="7155" width="9.140625" style="136"/>
    <col min="7156" max="7156" width="21.42578125" style="136" customWidth="1"/>
    <col min="7157" max="7157" width="16.42578125" style="136" customWidth="1"/>
    <col min="7158" max="7158" width="18" style="136" customWidth="1"/>
    <col min="7159" max="7159" width="23.7109375" style="136" customWidth="1"/>
    <col min="7160" max="7160" width="26" style="136" customWidth="1"/>
    <col min="7161" max="7161" width="21.42578125" style="136" customWidth="1"/>
    <col min="7162" max="7162" width="20.85546875" style="136" customWidth="1"/>
    <col min="7163" max="7163" width="0" style="136" hidden="1" customWidth="1"/>
    <col min="7164" max="7411" width="9.140625" style="136"/>
    <col min="7412" max="7412" width="21.42578125" style="136" customWidth="1"/>
    <col min="7413" max="7413" width="16.42578125" style="136" customWidth="1"/>
    <col min="7414" max="7414" width="18" style="136" customWidth="1"/>
    <col min="7415" max="7415" width="23.7109375" style="136" customWidth="1"/>
    <col min="7416" max="7416" width="26" style="136" customWidth="1"/>
    <col min="7417" max="7417" width="21.42578125" style="136" customWidth="1"/>
    <col min="7418" max="7418" width="20.85546875" style="136" customWidth="1"/>
    <col min="7419" max="7419" width="0" style="136" hidden="1" customWidth="1"/>
    <col min="7420" max="7667" width="9.140625" style="136"/>
    <col min="7668" max="7668" width="21.42578125" style="136" customWidth="1"/>
    <col min="7669" max="7669" width="16.42578125" style="136" customWidth="1"/>
    <col min="7670" max="7670" width="18" style="136" customWidth="1"/>
    <col min="7671" max="7671" width="23.7109375" style="136" customWidth="1"/>
    <col min="7672" max="7672" width="26" style="136" customWidth="1"/>
    <col min="7673" max="7673" width="21.42578125" style="136" customWidth="1"/>
    <col min="7674" max="7674" width="20.85546875" style="136" customWidth="1"/>
    <col min="7675" max="7675" width="0" style="136" hidden="1" customWidth="1"/>
    <col min="7676" max="7923" width="9.140625" style="136"/>
    <col min="7924" max="7924" width="21.42578125" style="136" customWidth="1"/>
    <col min="7925" max="7925" width="16.42578125" style="136" customWidth="1"/>
    <col min="7926" max="7926" width="18" style="136" customWidth="1"/>
    <col min="7927" max="7927" width="23.7109375" style="136" customWidth="1"/>
    <col min="7928" max="7928" width="26" style="136" customWidth="1"/>
    <col min="7929" max="7929" width="21.42578125" style="136" customWidth="1"/>
    <col min="7930" max="7930" width="20.85546875" style="136" customWidth="1"/>
    <col min="7931" max="7931" width="0" style="136" hidden="1" customWidth="1"/>
    <col min="7932" max="8179" width="9.140625" style="136"/>
    <col min="8180" max="8180" width="21.42578125" style="136" customWidth="1"/>
    <col min="8181" max="8181" width="16.42578125" style="136" customWidth="1"/>
    <col min="8182" max="8182" width="18" style="136" customWidth="1"/>
    <col min="8183" max="8183" width="23.7109375" style="136" customWidth="1"/>
    <col min="8184" max="8184" width="26" style="136" customWidth="1"/>
    <col min="8185" max="8185" width="21.42578125" style="136" customWidth="1"/>
    <col min="8186" max="8186" width="20.85546875" style="136" customWidth="1"/>
    <col min="8187" max="8187" width="0" style="136" hidden="1" customWidth="1"/>
    <col min="8188" max="8435" width="9.140625" style="136"/>
    <col min="8436" max="8436" width="21.42578125" style="136" customWidth="1"/>
    <col min="8437" max="8437" width="16.42578125" style="136" customWidth="1"/>
    <col min="8438" max="8438" width="18" style="136" customWidth="1"/>
    <col min="8439" max="8439" width="23.7109375" style="136" customWidth="1"/>
    <col min="8440" max="8440" width="26" style="136" customWidth="1"/>
    <col min="8441" max="8441" width="21.42578125" style="136" customWidth="1"/>
    <col min="8442" max="8442" width="20.85546875" style="136" customWidth="1"/>
    <col min="8443" max="8443" width="0" style="136" hidden="1" customWidth="1"/>
    <col min="8444" max="8691" width="9.140625" style="136"/>
    <col min="8692" max="8692" width="21.42578125" style="136" customWidth="1"/>
    <col min="8693" max="8693" width="16.42578125" style="136" customWidth="1"/>
    <col min="8694" max="8694" width="18" style="136" customWidth="1"/>
    <col min="8695" max="8695" width="23.7109375" style="136" customWidth="1"/>
    <col min="8696" max="8696" width="26" style="136" customWidth="1"/>
    <col min="8697" max="8697" width="21.42578125" style="136" customWidth="1"/>
    <col min="8698" max="8698" width="20.85546875" style="136" customWidth="1"/>
    <col min="8699" max="8699" width="0" style="136" hidden="1" customWidth="1"/>
    <col min="8700" max="8947" width="9.140625" style="136"/>
    <col min="8948" max="8948" width="21.42578125" style="136" customWidth="1"/>
    <col min="8949" max="8949" width="16.42578125" style="136" customWidth="1"/>
    <col min="8950" max="8950" width="18" style="136" customWidth="1"/>
    <col min="8951" max="8951" width="23.7109375" style="136" customWidth="1"/>
    <col min="8952" max="8952" width="26" style="136" customWidth="1"/>
    <col min="8953" max="8953" width="21.42578125" style="136" customWidth="1"/>
    <col min="8954" max="8954" width="20.85546875" style="136" customWidth="1"/>
    <col min="8955" max="8955" width="0" style="136" hidden="1" customWidth="1"/>
    <col min="8956" max="9203" width="9.140625" style="136"/>
    <col min="9204" max="9204" width="21.42578125" style="136" customWidth="1"/>
    <col min="9205" max="9205" width="16.42578125" style="136" customWidth="1"/>
    <col min="9206" max="9206" width="18" style="136" customWidth="1"/>
    <col min="9207" max="9207" width="23.7109375" style="136" customWidth="1"/>
    <col min="9208" max="9208" width="26" style="136" customWidth="1"/>
    <col min="9209" max="9209" width="21.42578125" style="136" customWidth="1"/>
    <col min="9210" max="9210" width="20.85546875" style="136" customWidth="1"/>
    <col min="9211" max="9211" width="0" style="136" hidden="1" customWidth="1"/>
    <col min="9212" max="9459" width="9.140625" style="136"/>
    <col min="9460" max="9460" width="21.42578125" style="136" customWidth="1"/>
    <col min="9461" max="9461" width="16.42578125" style="136" customWidth="1"/>
    <col min="9462" max="9462" width="18" style="136" customWidth="1"/>
    <col min="9463" max="9463" width="23.7109375" style="136" customWidth="1"/>
    <col min="9464" max="9464" width="26" style="136" customWidth="1"/>
    <col min="9465" max="9465" width="21.42578125" style="136" customWidth="1"/>
    <col min="9466" max="9466" width="20.85546875" style="136" customWidth="1"/>
    <col min="9467" max="9467" width="0" style="136" hidden="1" customWidth="1"/>
    <col min="9468" max="9715" width="9.140625" style="136"/>
    <col min="9716" max="9716" width="21.42578125" style="136" customWidth="1"/>
    <col min="9717" max="9717" width="16.42578125" style="136" customWidth="1"/>
    <col min="9718" max="9718" width="18" style="136" customWidth="1"/>
    <col min="9719" max="9719" width="23.7109375" style="136" customWidth="1"/>
    <col min="9720" max="9720" width="26" style="136" customWidth="1"/>
    <col min="9721" max="9721" width="21.42578125" style="136" customWidth="1"/>
    <col min="9722" max="9722" width="20.85546875" style="136" customWidth="1"/>
    <col min="9723" max="9723" width="0" style="136" hidden="1" customWidth="1"/>
    <col min="9724" max="9971" width="9.140625" style="136"/>
    <col min="9972" max="9972" width="21.42578125" style="136" customWidth="1"/>
    <col min="9973" max="9973" width="16.42578125" style="136" customWidth="1"/>
    <col min="9974" max="9974" width="18" style="136" customWidth="1"/>
    <col min="9975" max="9975" width="23.7109375" style="136" customWidth="1"/>
    <col min="9976" max="9976" width="26" style="136" customWidth="1"/>
    <col min="9977" max="9977" width="21.42578125" style="136" customWidth="1"/>
    <col min="9978" max="9978" width="20.85546875" style="136" customWidth="1"/>
    <col min="9979" max="9979" width="0" style="136" hidden="1" customWidth="1"/>
    <col min="9980" max="10227" width="9.140625" style="136"/>
    <col min="10228" max="10228" width="21.42578125" style="136" customWidth="1"/>
    <col min="10229" max="10229" width="16.42578125" style="136" customWidth="1"/>
    <col min="10230" max="10230" width="18" style="136" customWidth="1"/>
    <col min="10231" max="10231" width="23.7109375" style="136" customWidth="1"/>
    <col min="10232" max="10232" width="26" style="136" customWidth="1"/>
    <col min="10233" max="10233" width="21.42578125" style="136" customWidth="1"/>
    <col min="10234" max="10234" width="20.85546875" style="136" customWidth="1"/>
    <col min="10235" max="10235" width="0" style="136" hidden="1" customWidth="1"/>
    <col min="10236" max="10483" width="9.140625" style="136"/>
    <col min="10484" max="10484" width="21.42578125" style="136" customWidth="1"/>
    <col min="10485" max="10485" width="16.42578125" style="136" customWidth="1"/>
    <col min="10486" max="10486" width="18" style="136" customWidth="1"/>
    <col min="10487" max="10487" width="23.7109375" style="136" customWidth="1"/>
    <col min="10488" max="10488" width="26" style="136" customWidth="1"/>
    <col min="10489" max="10489" width="21.42578125" style="136" customWidth="1"/>
    <col min="10490" max="10490" width="20.85546875" style="136" customWidth="1"/>
    <col min="10491" max="10491" width="0" style="136" hidden="1" customWidth="1"/>
    <col min="10492" max="10739" width="9.140625" style="136"/>
    <col min="10740" max="10740" width="21.42578125" style="136" customWidth="1"/>
    <col min="10741" max="10741" width="16.42578125" style="136" customWidth="1"/>
    <col min="10742" max="10742" width="18" style="136" customWidth="1"/>
    <col min="10743" max="10743" width="23.7109375" style="136" customWidth="1"/>
    <col min="10744" max="10744" width="26" style="136" customWidth="1"/>
    <col min="10745" max="10745" width="21.42578125" style="136" customWidth="1"/>
    <col min="10746" max="10746" width="20.85546875" style="136" customWidth="1"/>
    <col min="10747" max="10747" width="0" style="136" hidden="1" customWidth="1"/>
    <col min="10748" max="10995" width="9.140625" style="136"/>
    <col min="10996" max="10996" width="21.42578125" style="136" customWidth="1"/>
    <col min="10997" max="10997" width="16.42578125" style="136" customWidth="1"/>
    <col min="10998" max="10998" width="18" style="136" customWidth="1"/>
    <col min="10999" max="10999" width="23.7109375" style="136" customWidth="1"/>
    <col min="11000" max="11000" width="26" style="136" customWidth="1"/>
    <col min="11001" max="11001" width="21.42578125" style="136" customWidth="1"/>
    <col min="11002" max="11002" width="20.85546875" style="136" customWidth="1"/>
    <col min="11003" max="11003" width="0" style="136" hidden="1" customWidth="1"/>
    <col min="11004" max="11251" width="9.140625" style="136"/>
    <col min="11252" max="11252" width="21.42578125" style="136" customWidth="1"/>
    <col min="11253" max="11253" width="16.42578125" style="136" customWidth="1"/>
    <col min="11254" max="11254" width="18" style="136" customWidth="1"/>
    <col min="11255" max="11255" width="23.7109375" style="136" customWidth="1"/>
    <col min="11256" max="11256" width="26" style="136" customWidth="1"/>
    <col min="11257" max="11257" width="21.42578125" style="136" customWidth="1"/>
    <col min="11258" max="11258" width="20.85546875" style="136" customWidth="1"/>
    <col min="11259" max="11259" width="0" style="136" hidden="1" customWidth="1"/>
    <col min="11260" max="11507" width="9.140625" style="136"/>
    <col min="11508" max="11508" width="21.42578125" style="136" customWidth="1"/>
    <col min="11509" max="11509" width="16.42578125" style="136" customWidth="1"/>
    <col min="11510" max="11510" width="18" style="136" customWidth="1"/>
    <col min="11511" max="11511" width="23.7109375" style="136" customWidth="1"/>
    <col min="11512" max="11512" width="26" style="136" customWidth="1"/>
    <col min="11513" max="11513" width="21.42578125" style="136" customWidth="1"/>
    <col min="11514" max="11514" width="20.85546875" style="136" customWidth="1"/>
    <col min="11515" max="11515" width="0" style="136" hidden="1" customWidth="1"/>
    <col min="11516" max="11763" width="9.140625" style="136"/>
    <col min="11764" max="11764" width="21.42578125" style="136" customWidth="1"/>
    <col min="11765" max="11765" width="16.42578125" style="136" customWidth="1"/>
    <col min="11766" max="11766" width="18" style="136" customWidth="1"/>
    <col min="11767" max="11767" width="23.7109375" style="136" customWidth="1"/>
    <col min="11768" max="11768" width="26" style="136" customWidth="1"/>
    <col min="11769" max="11769" width="21.42578125" style="136" customWidth="1"/>
    <col min="11770" max="11770" width="20.85546875" style="136" customWidth="1"/>
    <col min="11771" max="11771" width="0" style="136" hidden="1" customWidth="1"/>
    <col min="11772" max="12019" width="9.140625" style="136"/>
    <col min="12020" max="12020" width="21.42578125" style="136" customWidth="1"/>
    <col min="12021" max="12021" width="16.42578125" style="136" customWidth="1"/>
    <col min="12022" max="12022" width="18" style="136" customWidth="1"/>
    <col min="12023" max="12023" width="23.7109375" style="136" customWidth="1"/>
    <col min="12024" max="12024" width="26" style="136" customWidth="1"/>
    <col min="12025" max="12025" width="21.42578125" style="136" customWidth="1"/>
    <col min="12026" max="12026" width="20.85546875" style="136" customWidth="1"/>
    <col min="12027" max="12027" width="0" style="136" hidden="1" customWidth="1"/>
    <col min="12028" max="12275" width="9.140625" style="136"/>
    <col min="12276" max="12276" width="21.42578125" style="136" customWidth="1"/>
    <col min="12277" max="12277" width="16.42578125" style="136" customWidth="1"/>
    <col min="12278" max="12278" width="18" style="136" customWidth="1"/>
    <col min="12279" max="12279" width="23.7109375" style="136" customWidth="1"/>
    <col min="12280" max="12280" width="26" style="136" customWidth="1"/>
    <col min="12281" max="12281" width="21.42578125" style="136" customWidth="1"/>
    <col min="12282" max="12282" width="20.85546875" style="136" customWidth="1"/>
    <col min="12283" max="12283" width="0" style="136" hidden="1" customWidth="1"/>
    <col min="12284" max="12531" width="9.140625" style="136"/>
    <col min="12532" max="12532" width="21.42578125" style="136" customWidth="1"/>
    <col min="12533" max="12533" width="16.42578125" style="136" customWidth="1"/>
    <col min="12534" max="12534" width="18" style="136" customWidth="1"/>
    <col min="12535" max="12535" width="23.7109375" style="136" customWidth="1"/>
    <col min="12536" max="12536" width="26" style="136" customWidth="1"/>
    <col min="12537" max="12537" width="21.42578125" style="136" customWidth="1"/>
    <col min="12538" max="12538" width="20.85546875" style="136" customWidth="1"/>
    <col min="12539" max="12539" width="0" style="136" hidden="1" customWidth="1"/>
    <col min="12540" max="12787" width="9.140625" style="136"/>
    <col min="12788" max="12788" width="21.42578125" style="136" customWidth="1"/>
    <col min="12789" max="12789" width="16.42578125" style="136" customWidth="1"/>
    <col min="12790" max="12790" width="18" style="136" customWidth="1"/>
    <col min="12791" max="12791" width="23.7109375" style="136" customWidth="1"/>
    <col min="12792" max="12792" width="26" style="136" customWidth="1"/>
    <col min="12793" max="12793" width="21.42578125" style="136" customWidth="1"/>
    <col min="12794" max="12794" width="20.85546875" style="136" customWidth="1"/>
    <col min="12795" max="12795" width="0" style="136" hidden="1" customWidth="1"/>
    <col min="12796" max="13043" width="9.140625" style="136"/>
    <col min="13044" max="13044" width="21.42578125" style="136" customWidth="1"/>
    <col min="13045" max="13045" width="16.42578125" style="136" customWidth="1"/>
    <col min="13046" max="13046" width="18" style="136" customWidth="1"/>
    <col min="13047" max="13047" width="23.7109375" style="136" customWidth="1"/>
    <col min="13048" max="13048" width="26" style="136" customWidth="1"/>
    <col min="13049" max="13049" width="21.42578125" style="136" customWidth="1"/>
    <col min="13050" max="13050" width="20.85546875" style="136" customWidth="1"/>
    <col min="13051" max="13051" width="0" style="136" hidden="1" customWidth="1"/>
    <col min="13052" max="13299" width="9.140625" style="136"/>
    <col min="13300" max="13300" width="21.42578125" style="136" customWidth="1"/>
    <col min="13301" max="13301" width="16.42578125" style="136" customWidth="1"/>
    <col min="13302" max="13302" width="18" style="136" customWidth="1"/>
    <col min="13303" max="13303" width="23.7109375" style="136" customWidth="1"/>
    <col min="13304" max="13304" width="26" style="136" customWidth="1"/>
    <col min="13305" max="13305" width="21.42578125" style="136" customWidth="1"/>
    <col min="13306" max="13306" width="20.85546875" style="136" customWidth="1"/>
    <col min="13307" max="13307" width="0" style="136" hidden="1" customWidth="1"/>
    <col min="13308" max="13555" width="9.140625" style="136"/>
    <col min="13556" max="13556" width="21.42578125" style="136" customWidth="1"/>
    <col min="13557" max="13557" width="16.42578125" style="136" customWidth="1"/>
    <col min="13558" max="13558" width="18" style="136" customWidth="1"/>
    <col min="13559" max="13559" width="23.7109375" style="136" customWidth="1"/>
    <col min="13560" max="13560" width="26" style="136" customWidth="1"/>
    <col min="13561" max="13561" width="21.42578125" style="136" customWidth="1"/>
    <col min="13562" max="13562" width="20.85546875" style="136" customWidth="1"/>
    <col min="13563" max="13563" width="0" style="136" hidden="1" customWidth="1"/>
    <col min="13564" max="13811" width="9.140625" style="136"/>
    <col min="13812" max="13812" width="21.42578125" style="136" customWidth="1"/>
    <col min="13813" max="13813" width="16.42578125" style="136" customWidth="1"/>
    <col min="13814" max="13814" width="18" style="136" customWidth="1"/>
    <col min="13815" max="13815" width="23.7109375" style="136" customWidth="1"/>
    <col min="13816" max="13816" width="26" style="136" customWidth="1"/>
    <col min="13817" max="13817" width="21.42578125" style="136" customWidth="1"/>
    <col min="13818" max="13818" width="20.85546875" style="136" customWidth="1"/>
    <col min="13819" max="13819" width="0" style="136" hidden="1" customWidth="1"/>
    <col min="13820" max="14067" width="9.140625" style="136"/>
    <col min="14068" max="14068" width="21.42578125" style="136" customWidth="1"/>
    <col min="14069" max="14069" width="16.42578125" style="136" customWidth="1"/>
    <col min="14070" max="14070" width="18" style="136" customWidth="1"/>
    <col min="14071" max="14071" width="23.7109375" style="136" customWidth="1"/>
    <col min="14072" max="14072" width="26" style="136" customWidth="1"/>
    <col min="14073" max="14073" width="21.42578125" style="136" customWidth="1"/>
    <col min="14074" max="14074" width="20.85546875" style="136" customWidth="1"/>
    <col min="14075" max="14075" width="0" style="136" hidden="1" customWidth="1"/>
    <col min="14076" max="14323" width="9.140625" style="136"/>
    <col min="14324" max="14324" width="21.42578125" style="136" customWidth="1"/>
    <col min="14325" max="14325" width="16.42578125" style="136" customWidth="1"/>
    <col min="14326" max="14326" width="18" style="136" customWidth="1"/>
    <col min="14327" max="14327" width="23.7109375" style="136" customWidth="1"/>
    <col min="14328" max="14328" width="26" style="136" customWidth="1"/>
    <col min="14329" max="14329" width="21.42578125" style="136" customWidth="1"/>
    <col min="14330" max="14330" width="20.85546875" style="136" customWidth="1"/>
    <col min="14331" max="14331" width="0" style="136" hidden="1" customWidth="1"/>
    <col min="14332" max="14579" width="9.140625" style="136"/>
    <col min="14580" max="14580" width="21.42578125" style="136" customWidth="1"/>
    <col min="14581" max="14581" width="16.42578125" style="136" customWidth="1"/>
    <col min="14582" max="14582" width="18" style="136" customWidth="1"/>
    <col min="14583" max="14583" width="23.7109375" style="136" customWidth="1"/>
    <col min="14584" max="14584" width="26" style="136" customWidth="1"/>
    <col min="14585" max="14585" width="21.42578125" style="136" customWidth="1"/>
    <col min="14586" max="14586" width="20.85546875" style="136" customWidth="1"/>
    <col min="14587" max="14587" width="0" style="136" hidden="1" customWidth="1"/>
    <col min="14588" max="14835" width="9.140625" style="136"/>
    <col min="14836" max="14836" width="21.42578125" style="136" customWidth="1"/>
    <col min="14837" max="14837" width="16.42578125" style="136" customWidth="1"/>
    <col min="14838" max="14838" width="18" style="136" customWidth="1"/>
    <col min="14839" max="14839" width="23.7109375" style="136" customWidth="1"/>
    <col min="14840" max="14840" width="26" style="136" customWidth="1"/>
    <col min="14841" max="14841" width="21.42578125" style="136" customWidth="1"/>
    <col min="14842" max="14842" width="20.85546875" style="136" customWidth="1"/>
    <col min="14843" max="14843" width="0" style="136" hidden="1" customWidth="1"/>
    <col min="14844" max="15091" width="9.140625" style="136"/>
    <col min="15092" max="15092" width="21.42578125" style="136" customWidth="1"/>
    <col min="15093" max="15093" width="16.42578125" style="136" customWidth="1"/>
    <col min="15094" max="15094" width="18" style="136" customWidth="1"/>
    <col min="15095" max="15095" width="23.7109375" style="136" customWidth="1"/>
    <col min="15096" max="15096" width="26" style="136" customWidth="1"/>
    <col min="15097" max="15097" width="21.42578125" style="136" customWidth="1"/>
    <col min="15098" max="15098" width="20.85546875" style="136" customWidth="1"/>
    <col min="15099" max="15099" width="0" style="136" hidden="1" customWidth="1"/>
    <col min="15100" max="15347" width="9.140625" style="136"/>
    <col min="15348" max="15348" width="21.42578125" style="136" customWidth="1"/>
    <col min="15349" max="15349" width="16.42578125" style="136" customWidth="1"/>
    <col min="15350" max="15350" width="18" style="136" customWidth="1"/>
    <col min="15351" max="15351" width="23.7109375" style="136" customWidth="1"/>
    <col min="15352" max="15352" width="26" style="136" customWidth="1"/>
    <col min="15353" max="15353" width="21.42578125" style="136" customWidth="1"/>
    <col min="15354" max="15354" width="20.85546875" style="136" customWidth="1"/>
    <col min="15355" max="15355" width="0" style="136" hidden="1" customWidth="1"/>
    <col min="15356" max="15603" width="9.140625" style="136"/>
    <col min="15604" max="15604" width="21.42578125" style="136" customWidth="1"/>
    <col min="15605" max="15605" width="16.42578125" style="136" customWidth="1"/>
    <col min="15606" max="15606" width="18" style="136" customWidth="1"/>
    <col min="15607" max="15607" width="23.7109375" style="136" customWidth="1"/>
    <col min="15608" max="15608" width="26" style="136" customWidth="1"/>
    <col min="15609" max="15609" width="21.42578125" style="136" customWidth="1"/>
    <col min="15610" max="15610" width="20.85546875" style="136" customWidth="1"/>
    <col min="15611" max="15611" width="0" style="136" hidden="1" customWidth="1"/>
    <col min="15612" max="15859" width="9.140625" style="136"/>
    <col min="15860" max="15860" width="21.42578125" style="136" customWidth="1"/>
    <col min="15861" max="15861" width="16.42578125" style="136" customWidth="1"/>
    <col min="15862" max="15862" width="18" style="136" customWidth="1"/>
    <col min="15863" max="15863" width="23.7109375" style="136" customWidth="1"/>
    <col min="15864" max="15864" width="26" style="136" customWidth="1"/>
    <col min="15865" max="15865" width="21.42578125" style="136" customWidth="1"/>
    <col min="15866" max="15866" width="20.85546875" style="136" customWidth="1"/>
    <col min="15867" max="15867" width="0" style="136" hidden="1" customWidth="1"/>
    <col min="15868" max="16115" width="9.140625" style="136"/>
    <col min="16116" max="16116" width="21.42578125" style="136" customWidth="1"/>
    <col min="16117" max="16117" width="16.42578125" style="136" customWidth="1"/>
    <col min="16118" max="16118" width="18" style="136" customWidth="1"/>
    <col min="16119" max="16119" width="23.7109375" style="136" customWidth="1"/>
    <col min="16120" max="16120" width="26" style="136" customWidth="1"/>
    <col min="16121" max="16121" width="21.42578125" style="136" customWidth="1"/>
    <col min="16122" max="16122" width="20.85546875" style="136" customWidth="1"/>
    <col min="16123" max="16123" width="0" style="136" hidden="1" customWidth="1"/>
    <col min="16124" max="16384" width="9.140625" style="136"/>
  </cols>
  <sheetData>
    <row r="1" spans="2:15" ht="9" customHeight="1" x14ac:dyDescent="0.2"/>
    <row r="2" spans="2:15" ht="30" customHeight="1" x14ac:dyDescent="0.2">
      <c r="B2" s="171" t="s">
        <v>252</v>
      </c>
      <c r="C2" s="172"/>
      <c r="D2" s="172"/>
      <c r="E2" s="172"/>
      <c r="F2" s="172"/>
      <c r="G2" s="172"/>
      <c r="H2" s="172"/>
      <c r="I2" s="172"/>
      <c r="J2" s="173"/>
    </row>
    <row r="3" spans="2:15" ht="30" customHeight="1" x14ac:dyDescent="0.2">
      <c r="B3" s="716" t="s">
        <v>232</v>
      </c>
      <c r="C3" s="717"/>
      <c r="D3" s="717"/>
      <c r="E3" s="717"/>
      <c r="F3" s="717"/>
      <c r="G3" s="717"/>
      <c r="H3" s="717"/>
      <c r="I3" s="717"/>
      <c r="J3" s="718"/>
    </row>
    <row r="4" spans="2:15" ht="15" customHeight="1" thickBot="1" x14ac:dyDescent="0.25">
      <c r="B4" s="278"/>
      <c r="C4" s="278"/>
      <c r="D4" s="278"/>
      <c r="E4" s="278"/>
      <c r="F4" s="278"/>
      <c r="G4" s="278"/>
      <c r="H4" s="278"/>
      <c r="I4" s="278"/>
      <c r="J4" s="278"/>
    </row>
    <row r="5" spans="2:15" ht="45" customHeight="1" thickBot="1" x14ac:dyDescent="0.25">
      <c r="B5" s="721" t="s">
        <v>348</v>
      </c>
      <c r="C5" s="722"/>
      <c r="D5" s="723"/>
      <c r="E5" s="278"/>
      <c r="F5" s="716" t="s">
        <v>230</v>
      </c>
      <c r="G5" s="717"/>
      <c r="H5" s="717"/>
      <c r="I5" s="717"/>
      <c r="J5" s="718"/>
    </row>
    <row r="6" spans="2:15" ht="15.75" thickBot="1" x14ac:dyDescent="0.3">
      <c r="B6" s="430" t="s">
        <v>54</v>
      </c>
      <c r="C6" s="431" t="s">
        <v>65</v>
      </c>
      <c r="D6" s="432" t="s">
        <v>64</v>
      </c>
      <c r="F6" s="432" t="s">
        <v>231</v>
      </c>
      <c r="G6" s="432" t="s">
        <v>231</v>
      </c>
      <c r="H6" s="432" t="s">
        <v>231</v>
      </c>
      <c r="I6" s="432" t="s">
        <v>231</v>
      </c>
      <c r="J6" s="432" t="s">
        <v>231</v>
      </c>
      <c r="K6" s="432" t="s">
        <v>231</v>
      </c>
      <c r="L6" s="432" t="s">
        <v>231</v>
      </c>
      <c r="M6" s="432" t="s">
        <v>231</v>
      </c>
      <c r="N6" s="432" t="s">
        <v>231</v>
      </c>
      <c r="O6" s="432" t="s">
        <v>231</v>
      </c>
    </row>
    <row r="7" spans="2:15" s="671" customFormat="1" ht="30" customHeight="1" x14ac:dyDescent="0.25">
      <c r="B7" s="667" t="s">
        <v>495</v>
      </c>
      <c r="C7" s="668" t="s">
        <v>56</v>
      </c>
      <c r="D7" s="669">
        <f>'Cash Flow'!G72</f>
        <v>28.05</v>
      </c>
      <c r="E7" s="670"/>
      <c r="F7" s="669">
        <v>28.05</v>
      </c>
      <c r="G7" s="669"/>
      <c r="H7" s="669"/>
      <c r="I7" s="669"/>
      <c r="J7" s="669"/>
      <c r="K7" s="669"/>
      <c r="L7" s="669"/>
      <c r="M7" s="669"/>
      <c r="N7" s="669"/>
      <c r="O7" s="669"/>
    </row>
    <row r="8" spans="2:15" ht="15.75" customHeight="1" x14ac:dyDescent="0.25">
      <c r="B8" s="174" t="s">
        <v>225</v>
      </c>
      <c r="C8" s="175" t="s">
        <v>1</v>
      </c>
      <c r="D8" s="279">
        <f>Inputs!$Q$10</f>
        <v>0.02</v>
      </c>
      <c r="E8" s="219"/>
      <c r="F8" s="279">
        <v>0.02</v>
      </c>
      <c r="G8" s="279"/>
      <c r="H8" s="279"/>
      <c r="I8" s="279"/>
      <c r="J8" s="279"/>
      <c r="K8" s="279"/>
      <c r="L8" s="279"/>
      <c r="M8" s="279"/>
      <c r="N8" s="279"/>
      <c r="O8" s="279"/>
    </row>
    <row r="9" spans="2:15" ht="15.75" customHeight="1" x14ac:dyDescent="0.25">
      <c r="B9" s="176" t="s">
        <v>109</v>
      </c>
      <c r="C9" s="177" t="s">
        <v>1</v>
      </c>
      <c r="D9" s="279">
        <f>Inputs!$Q$9</f>
        <v>1</v>
      </c>
      <c r="E9" s="219"/>
      <c r="F9" s="279">
        <v>1</v>
      </c>
      <c r="G9" s="279"/>
      <c r="H9" s="279"/>
      <c r="I9" s="279"/>
      <c r="J9" s="279"/>
      <c r="K9" s="279"/>
      <c r="L9" s="279"/>
      <c r="M9" s="279"/>
      <c r="N9" s="279"/>
      <c r="O9" s="279"/>
    </row>
    <row r="10" spans="2:15" ht="30" x14ac:dyDescent="0.25">
      <c r="B10" s="453" t="s">
        <v>325</v>
      </c>
      <c r="C10" s="454"/>
      <c r="D10" s="437" t="str">
        <f>IF(Inputs!$G$57="Pass","Yes","No, see Inputs Worksheet")</f>
        <v>Yes</v>
      </c>
      <c r="F10" s="691" t="s">
        <v>13</v>
      </c>
      <c r="G10" s="684"/>
      <c r="H10" s="684"/>
      <c r="I10" s="684"/>
      <c r="J10" s="684"/>
      <c r="K10" s="684"/>
      <c r="L10" s="684"/>
      <c r="M10" s="684"/>
      <c r="N10" s="684"/>
      <c r="O10" s="684"/>
    </row>
    <row r="11" spans="2:15" ht="30" x14ac:dyDescent="0.25">
      <c r="B11" s="455" t="s">
        <v>326</v>
      </c>
      <c r="C11" s="456"/>
      <c r="D11" s="437" t="str">
        <f>IF(Inputs!$G$60="Pass","Yes","No, see Inputs Worksheet")</f>
        <v>Yes</v>
      </c>
      <c r="F11" s="691" t="s">
        <v>13</v>
      </c>
      <c r="G11" s="684"/>
      <c r="H11" s="684"/>
      <c r="I11" s="684"/>
      <c r="J11" s="684"/>
      <c r="K11" s="684"/>
      <c r="L11" s="684"/>
      <c r="M11" s="684"/>
      <c r="N11" s="684"/>
      <c r="O11" s="684"/>
    </row>
    <row r="12" spans="2:15" ht="15.75" customHeight="1" x14ac:dyDescent="0.2">
      <c r="B12" s="416" t="s">
        <v>340</v>
      </c>
      <c r="C12" s="414"/>
      <c r="D12" s="415"/>
      <c r="F12" s="415"/>
      <c r="G12" s="415"/>
      <c r="H12" s="415"/>
      <c r="I12" s="415"/>
      <c r="J12" s="415"/>
      <c r="K12" s="415"/>
      <c r="L12" s="415"/>
      <c r="M12" s="415"/>
      <c r="N12" s="415"/>
      <c r="O12" s="415"/>
    </row>
    <row r="13" spans="2:15" ht="15.75" customHeight="1" x14ac:dyDescent="0.25">
      <c r="B13" s="291"/>
      <c r="C13" s="175"/>
      <c r="D13" s="292"/>
      <c r="F13" s="292"/>
      <c r="G13" s="292"/>
      <c r="H13" s="292"/>
      <c r="I13" s="292"/>
      <c r="J13" s="292"/>
      <c r="K13" s="292"/>
      <c r="L13" s="292"/>
      <c r="M13" s="292"/>
      <c r="N13" s="292"/>
      <c r="O13" s="292"/>
    </row>
    <row r="14" spans="2:15" s="671" customFormat="1" ht="30" customHeight="1" x14ac:dyDescent="0.25">
      <c r="B14" s="672" t="s">
        <v>496</v>
      </c>
      <c r="C14" s="673" t="s">
        <v>56</v>
      </c>
      <c r="D14" s="674">
        <f>-PMT(Inputs!$G$62,Inputs!$Q$8,NPV(Inputs!$G$62,'Cash Flow'!G14:AJ14))</f>
        <v>31.341870080424808</v>
      </c>
      <c r="F14" s="674">
        <v>31.341870080424808</v>
      </c>
      <c r="G14" s="674"/>
      <c r="H14" s="674"/>
      <c r="I14" s="674"/>
      <c r="J14" s="674"/>
      <c r="K14" s="674"/>
      <c r="L14" s="674"/>
      <c r="M14" s="674"/>
      <c r="N14" s="674"/>
      <c r="O14" s="674"/>
    </row>
    <row r="15" spans="2:15" s="154" customFormat="1" x14ac:dyDescent="0.2">
      <c r="C15" s="178"/>
    </row>
    <row r="16" spans="2:15" s="154" customFormat="1" ht="15.75" customHeight="1" x14ac:dyDescent="0.25">
      <c r="B16" s="179" t="s">
        <v>53</v>
      </c>
      <c r="C16" s="294"/>
      <c r="D16" s="293"/>
      <c r="E16" s="136"/>
      <c r="F16" s="293"/>
      <c r="G16" s="293"/>
      <c r="H16" s="293"/>
      <c r="I16" s="293"/>
      <c r="J16" s="293"/>
      <c r="K16" s="293"/>
      <c r="L16" s="293"/>
      <c r="M16" s="293"/>
      <c r="N16" s="293"/>
      <c r="O16" s="293"/>
    </row>
    <row r="17" spans="2:15" ht="15" x14ac:dyDescent="0.25">
      <c r="B17" s="174" t="s">
        <v>16</v>
      </c>
      <c r="C17" s="175"/>
      <c r="D17" s="365" t="str">
        <f>Inputs!$G$5</f>
        <v>Photovoltaic</v>
      </c>
      <c r="E17" s="137"/>
      <c r="F17" s="365" t="s">
        <v>14</v>
      </c>
      <c r="G17" s="365"/>
      <c r="H17" s="365"/>
      <c r="I17" s="365"/>
      <c r="J17" s="365"/>
      <c r="K17" s="365"/>
      <c r="L17" s="365"/>
      <c r="M17" s="365"/>
      <c r="N17" s="365"/>
      <c r="O17" s="365"/>
    </row>
    <row r="18" spans="2:15" ht="15" x14ac:dyDescent="0.25">
      <c r="B18" s="174" t="s">
        <v>31</v>
      </c>
      <c r="C18" s="175" t="str">
        <f>Inputs!F8</f>
        <v>kW dc</v>
      </c>
      <c r="D18" s="480">
        <f>Inputs!G8</f>
        <v>2200</v>
      </c>
      <c r="E18" s="180"/>
      <c r="F18" s="480">
        <v>2200</v>
      </c>
      <c r="G18" s="480"/>
      <c r="H18" s="480"/>
      <c r="I18" s="480"/>
      <c r="J18" s="480"/>
      <c r="K18" s="480"/>
      <c r="L18" s="480"/>
      <c r="M18" s="480"/>
      <c r="N18" s="480"/>
      <c r="O18" s="480"/>
    </row>
    <row r="19" spans="2:15" ht="15" x14ac:dyDescent="0.25">
      <c r="B19" s="174" t="s">
        <v>293</v>
      </c>
      <c r="C19" s="175">
        <f>Inputs!$F$12</f>
        <v>0</v>
      </c>
      <c r="D19" s="181">
        <f>Inputs!$G$12</f>
        <v>0.18045645833333335</v>
      </c>
      <c r="E19" s="182"/>
      <c r="F19" s="181">
        <v>0.18045645833333335</v>
      </c>
      <c r="G19" s="181"/>
      <c r="H19" s="181"/>
      <c r="I19" s="181"/>
      <c r="J19" s="181"/>
      <c r="K19" s="181"/>
      <c r="L19" s="181"/>
      <c r="M19" s="181"/>
      <c r="N19" s="181"/>
      <c r="O19" s="181"/>
    </row>
    <row r="20" spans="2:15" ht="15" x14ac:dyDescent="0.25">
      <c r="B20" s="174" t="s">
        <v>301</v>
      </c>
      <c r="C20" s="175" t="s">
        <v>2</v>
      </c>
      <c r="D20" s="480">
        <f>Inputs!G13</f>
        <v>3477756.8650000002</v>
      </c>
      <c r="E20" s="182"/>
      <c r="F20" s="480">
        <v>3477756.8650000002</v>
      </c>
      <c r="G20" s="480"/>
      <c r="H20" s="480"/>
      <c r="I20" s="480"/>
      <c r="J20" s="480"/>
      <c r="K20" s="480"/>
      <c r="L20" s="480"/>
      <c r="M20" s="480"/>
      <c r="N20" s="480"/>
      <c r="O20" s="480"/>
    </row>
    <row r="21" spans="2:15" ht="15" x14ac:dyDescent="0.25">
      <c r="B21" s="174" t="s">
        <v>239</v>
      </c>
      <c r="C21" s="175" t="s">
        <v>55</v>
      </c>
      <c r="D21" s="183">
        <f>Inputs!G15</f>
        <v>25</v>
      </c>
      <c r="E21" s="182"/>
      <c r="F21" s="183">
        <v>25</v>
      </c>
      <c r="G21" s="183"/>
      <c r="H21" s="183"/>
      <c r="I21" s="183"/>
      <c r="J21" s="183"/>
      <c r="K21" s="183"/>
      <c r="L21" s="183"/>
      <c r="M21" s="183"/>
      <c r="N21" s="183"/>
      <c r="O21" s="183"/>
    </row>
    <row r="22" spans="2:15" ht="15" x14ac:dyDescent="0.25">
      <c r="B22" s="174" t="str">
        <f>Inputs!$O$8</f>
        <v>Payment Duration for Cost-Based Tariff</v>
      </c>
      <c r="C22" s="175" t="s">
        <v>55</v>
      </c>
      <c r="D22" s="183">
        <f>Inputs!$Q$8</f>
        <v>20</v>
      </c>
      <c r="E22" s="137"/>
      <c r="F22" s="183">
        <v>20</v>
      </c>
      <c r="G22" s="183"/>
      <c r="H22" s="183"/>
      <c r="I22" s="183"/>
      <c r="J22" s="183"/>
      <c r="K22" s="183"/>
      <c r="L22" s="183"/>
      <c r="M22" s="183"/>
      <c r="N22" s="183"/>
      <c r="O22" s="183"/>
    </row>
    <row r="23" spans="2:15" ht="15" x14ac:dyDescent="0.25">
      <c r="B23" s="174" t="s">
        <v>483</v>
      </c>
      <c r="C23" s="175" t="s">
        <v>1</v>
      </c>
      <c r="D23" s="647">
        <f>Inputs!Q9</f>
        <v>1</v>
      </c>
      <c r="E23" s="137"/>
      <c r="F23" s="647">
        <v>1</v>
      </c>
      <c r="G23" s="647"/>
      <c r="H23" s="647"/>
      <c r="I23" s="647"/>
      <c r="J23" s="647"/>
      <c r="K23" s="647"/>
      <c r="L23" s="647"/>
      <c r="M23" s="647"/>
      <c r="N23" s="647"/>
      <c r="O23" s="647"/>
    </row>
    <row r="24" spans="2:15" ht="15" x14ac:dyDescent="0.25">
      <c r="B24" s="174"/>
      <c r="C24" s="175"/>
      <c r="D24" s="183"/>
      <c r="E24" s="137"/>
      <c r="F24" s="183"/>
      <c r="G24" s="183"/>
      <c r="H24" s="183"/>
      <c r="I24" s="183"/>
      <c r="J24" s="183"/>
      <c r="K24" s="183"/>
      <c r="L24" s="183"/>
      <c r="M24" s="183"/>
      <c r="N24" s="183"/>
      <c r="O24" s="183"/>
    </row>
    <row r="25" spans="2:15" ht="15" x14ac:dyDescent="0.25">
      <c r="B25" s="174" t="s">
        <v>475</v>
      </c>
      <c r="C25" s="175" t="s">
        <v>0</v>
      </c>
      <c r="D25" s="184">
        <f>Inputs!$G26-Inputs!G69</f>
        <v>5846851.5683789058</v>
      </c>
      <c r="E25" s="185"/>
      <c r="F25" s="184">
        <v>5846652.866580395</v>
      </c>
      <c r="G25" s="184"/>
      <c r="H25" s="184"/>
      <c r="I25" s="184"/>
      <c r="J25" s="184"/>
      <c r="K25" s="184"/>
      <c r="L25" s="184"/>
      <c r="M25" s="184"/>
      <c r="N25" s="184"/>
      <c r="O25" s="184"/>
    </row>
    <row r="26" spans="2:15" ht="15" x14ac:dyDescent="0.25">
      <c r="B26" s="174" t="s">
        <v>475</v>
      </c>
      <c r="C26" s="178" t="s">
        <v>32</v>
      </c>
      <c r="D26" s="186">
        <f>D25/D18/1000</f>
        <v>2.6576598038085937</v>
      </c>
      <c r="E26" s="187"/>
      <c r="F26" s="186">
        <v>2.6575694848092701</v>
      </c>
      <c r="G26" s="186"/>
      <c r="H26" s="186"/>
      <c r="I26" s="186"/>
      <c r="J26" s="186"/>
      <c r="K26" s="186"/>
      <c r="L26" s="186"/>
      <c r="M26" s="186"/>
      <c r="N26" s="186"/>
      <c r="O26" s="186"/>
    </row>
    <row r="27" spans="2:15" ht="15" x14ac:dyDescent="0.25">
      <c r="B27" s="174"/>
      <c r="C27" s="175"/>
      <c r="D27" s="183"/>
      <c r="E27" s="137"/>
      <c r="F27" s="183"/>
      <c r="G27" s="183"/>
      <c r="H27" s="183"/>
      <c r="I27" s="183"/>
      <c r="J27" s="183"/>
      <c r="K27" s="183"/>
      <c r="L27" s="183"/>
      <c r="M27" s="183"/>
      <c r="N27" s="183"/>
      <c r="O27" s="183"/>
    </row>
    <row r="28" spans="2:15" ht="15" x14ac:dyDescent="0.25">
      <c r="B28" s="174" t="s">
        <v>478</v>
      </c>
      <c r="C28" s="644" t="s">
        <v>477</v>
      </c>
      <c r="D28" s="645">
        <f>'Cash Flow'!G37</f>
        <v>-4.9777228951131693</v>
      </c>
      <c r="E28" s="137"/>
      <c r="F28" s="645">
        <v>-4.9677228951131687</v>
      </c>
      <c r="G28" s="645"/>
      <c r="H28" s="645"/>
      <c r="I28" s="645"/>
      <c r="J28" s="645"/>
      <c r="K28" s="645"/>
      <c r="L28" s="645"/>
      <c r="M28" s="645"/>
      <c r="N28" s="645"/>
      <c r="O28" s="645"/>
    </row>
    <row r="29" spans="2:15" ht="15" x14ac:dyDescent="0.25">
      <c r="B29" s="174"/>
      <c r="C29" s="175"/>
      <c r="D29" s="183"/>
      <c r="E29" s="137"/>
      <c r="F29" s="183"/>
      <c r="G29" s="183"/>
      <c r="H29" s="183"/>
      <c r="I29" s="183"/>
      <c r="J29" s="183"/>
      <c r="K29" s="183"/>
      <c r="L29" s="183"/>
      <c r="M29" s="183"/>
      <c r="N29" s="183"/>
      <c r="O29" s="183"/>
    </row>
    <row r="30" spans="2:15" ht="15" x14ac:dyDescent="0.25">
      <c r="B30" s="174" t="str">
        <f>Inputs!$E$61</f>
        <v>% Equity (% hard costs) (soft costs also equity funded)</v>
      </c>
      <c r="C30" s="178" t="s">
        <v>1</v>
      </c>
      <c r="D30" s="188">
        <f>Inputs!$G61</f>
        <v>0.55000000000000004</v>
      </c>
      <c r="E30" s="189"/>
      <c r="F30" s="188">
        <v>0.55000000000000004</v>
      </c>
      <c r="G30" s="188"/>
      <c r="H30" s="188"/>
      <c r="I30" s="188"/>
      <c r="J30" s="188"/>
      <c r="K30" s="188"/>
      <c r="L30" s="188"/>
      <c r="M30" s="188"/>
      <c r="N30" s="188"/>
      <c r="O30" s="188"/>
    </row>
    <row r="31" spans="2:15" ht="15" x14ac:dyDescent="0.25">
      <c r="B31" s="174" t="str">
        <f>Inputs!$E$62</f>
        <v>Target After-Tax Equity IRR</v>
      </c>
      <c r="C31" s="175" t="s">
        <v>1</v>
      </c>
      <c r="D31" s="280">
        <f>Inputs!$G62</f>
        <v>0.15</v>
      </c>
      <c r="E31" s="189"/>
      <c r="F31" s="280">
        <v>0.15</v>
      </c>
      <c r="G31" s="280"/>
      <c r="H31" s="280"/>
      <c r="I31" s="280"/>
      <c r="J31" s="280"/>
      <c r="K31" s="280"/>
      <c r="L31" s="280"/>
      <c r="M31" s="280"/>
      <c r="N31" s="280"/>
      <c r="O31" s="280"/>
    </row>
    <row r="32" spans="2:15" ht="15" x14ac:dyDescent="0.25">
      <c r="B32" s="174" t="str">
        <f>Inputs!$E$51</f>
        <v>% Debt (% of hard costs) (mortgage-style amort.)</v>
      </c>
      <c r="C32" s="178" t="s">
        <v>1</v>
      </c>
      <c r="D32" s="188">
        <f>Inputs!$G51</f>
        <v>0.45</v>
      </c>
      <c r="E32" s="189"/>
      <c r="F32" s="188">
        <v>0.45</v>
      </c>
      <c r="G32" s="188"/>
      <c r="H32" s="188"/>
      <c r="I32" s="188"/>
      <c r="J32" s="188"/>
      <c r="K32" s="188"/>
      <c r="L32" s="188"/>
      <c r="M32" s="188"/>
      <c r="N32" s="188"/>
      <c r="O32" s="188"/>
    </row>
    <row r="33" spans="2:15" ht="15" x14ac:dyDescent="0.25">
      <c r="B33" s="174" t="s">
        <v>479</v>
      </c>
      <c r="C33" s="178" t="s">
        <v>55</v>
      </c>
      <c r="D33" s="183">
        <f>IF(D32&gt;0%,Inputs!G52,"NA")</f>
        <v>18</v>
      </c>
      <c r="E33" s="189"/>
      <c r="F33" s="183">
        <v>18</v>
      </c>
      <c r="G33" s="183"/>
      <c r="H33" s="183"/>
      <c r="I33" s="183"/>
      <c r="J33" s="183"/>
      <c r="K33" s="183"/>
      <c r="L33" s="183"/>
      <c r="M33" s="183"/>
      <c r="N33" s="183"/>
      <c r="O33" s="183"/>
    </row>
    <row r="34" spans="2:15" ht="15" x14ac:dyDescent="0.25">
      <c r="B34" s="174" t="str">
        <f>Inputs!$E$53</f>
        <v>Interest Rate on Term Debt</v>
      </c>
      <c r="C34" s="178" t="s">
        <v>1</v>
      </c>
      <c r="D34" s="280">
        <f>IF(D32&gt;0%,Inputs!$G53,"NA")</f>
        <v>7.0000000000000007E-2</v>
      </c>
      <c r="E34" s="189"/>
      <c r="F34" s="280">
        <v>7.0000000000000007E-2</v>
      </c>
      <c r="G34" s="280"/>
      <c r="H34" s="280"/>
      <c r="I34" s="280"/>
      <c r="J34" s="280"/>
      <c r="K34" s="280"/>
      <c r="L34" s="280"/>
      <c r="M34" s="280"/>
      <c r="N34" s="280"/>
      <c r="O34" s="280"/>
    </row>
    <row r="35" spans="2:15" ht="15" x14ac:dyDescent="0.25">
      <c r="B35" s="174" t="str">
        <f>Inputs!$E$73</f>
        <v>Is owner a taxable entity?</v>
      </c>
      <c r="C35" s="137"/>
      <c r="D35" s="188" t="str">
        <f>Inputs!$G$73</f>
        <v>Yes</v>
      </c>
      <c r="E35" s="189"/>
      <c r="F35" s="188" t="s">
        <v>13</v>
      </c>
      <c r="G35" s="188"/>
      <c r="H35" s="188"/>
      <c r="I35" s="188"/>
      <c r="J35" s="188"/>
      <c r="K35" s="188"/>
      <c r="L35" s="188"/>
      <c r="M35" s="188"/>
      <c r="N35" s="188"/>
      <c r="O35" s="188"/>
    </row>
    <row r="36" spans="2:15" ht="15" x14ac:dyDescent="0.25">
      <c r="B36" s="174" t="s">
        <v>480</v>
      </c>
      <c r="C36" s="137"/>
      <c r="D36" s="188" t="str">
        <f>IF($D$35="Yes",Inputs!G75,"NA")</f>
        <v>Carried Forward</v>
      </c>
      <c r="E36" s="189"/>
      <c r="F36" s="188" t="s">
        <v>512</v>
      </c>
      <c r="G36" s="188"/>
      <c r="H36" s="188"/>
      <c r="I36" s="188"/>
      <c r="J36" s="188"/>
      <c r="K36" s="188"/>
      <c r="L36" s="188"/>
      <c r="M36" s="188"/>
      <c r="N36" s="188"/>
      <c r="O36" s="188"/>
    </row>
    <row r="37" spans="2:15" ht="15" x14ac:dyDescent="0.25">
      <c r="B37" s="174" t="s">
        <v>481</v>
      </c>
      <c r="C37" s="137"/>
      <c r="D37" s="188" t="str">
        <f>IF($D$35="Yes",Inputs!G77,"NA")</f>
        <v>Carried Forward</v>
      </c>
      <c r="E37" s="189"/>
      <c r="F37" s="188" t="s">
        <v>512</v>
      </c>
      <c r="G37" s="188"/>
      <c r="H37" s="188"/>
      <c r="I37" s="188"/>
      <c r="J37" s="188"/>
      <c r="K37" s="188"/>
      <c r="L37" s="188"/>
      <c r="M37" s="188"/>
      <c r="N37" s="188"/>
      <c r="O37" s="188"/>
    </row>
    <row r="38" spans="2:15" ht="15" x14ac:dyDescent="0.25">
      <c r="B38" s="646"/>
      <c r="C38" s="137"/>
      <c r="D38" s="188"/>
      <c r="E38" s="189"/>
      <c r="F38" s="188"/>
      <c r="G38" s="188"/>
      <c r="H38" s="188"/>
      <c r="I38" s="188"/>
      <c r="J38" s="188"/>
      <c r="K38" s="188"/>
      <c r="L38" s="188"/>
      <c r="M38" s="188"/>
      <c r="N38" s="188"/>
      <c r="O38" s="188"/>
    </row>
    <row r="39" spans="2:15" ht="15" x14ac:dyDescent="0.25">
      <c r="B39" s="174" t="s">
        <v>330</v>
      </c>
      <c r="C39" s="175"/>
      <c r="D39" s="184" t="str">
        <f>Inputs!Q19</f>
        <v>Cost-Based</v>
      </c>
      <c r="E39" s="189"/>
      <c r="F39" s="184" t="s">
        <v>514</v>
      </c>
      <c r="G39" s="184"/>
      <c r="H39" s="184"/>
      <c r="I39" s="184"/>
      <c r="J39" s="184"/>
      <c r="K39" s="184"/>
      <c r="L39" s="184"/>
      <c r="M39" s="184"/>
      <c r="N39" s="184"/>
      <c r="O39" s="184"/>
    </row>
    <row r="40" spans="2:15" ht="15" x14ac:dyDescent="0.25">
      <c r="B40" s="174" t="s">
        <v>484</v>
      </c>
      <c r="C40" s="175"/>
      <c r="D40" s="184" t="str">
        <f>IF($D$39="Cost-Based",Inputs!$Q$20,Inputs!$Q$24)</f>
        <v>ITC</v>
      </c>
      <c r="E40" s="189"/>
      <c r="F40" s="184" t="s">
        <v>515</v>
      </c>
      <c r="G40" s="184"/>
      <c r="H40" s="184"/>
      <c r="I40" s="184"/>
      <c r="J40" s="184"/>
      <c r="K40" s="184"/>
      <c r="L40" s="184"/>
      <c r="M40" s="184"/>
      <c r="N40" s="184"/>
      <c r="O40" s="184"/>
    </row>
    <row r="41" spans="2:15" ht="15" x14ac:dyDescent="0.25">
      <c r="B41" s="174"/>
      <c r="C41" s="175"/>
      <c r="D41" s="184"/>
      <c r="E41" s="189"/>
      <c r="F41" s="184"/>
      <c r="G41" s="184"/>
      <c r="H41" s="184"/>
      <c r="I41" s="184"/>
      <c r="J41" s="184"/>
      <c r="K41" s="184"/>
      <c r="L41" s="184"/>
      <c r="M41" s="184"/>
      <c r="N41" s="184"/>
      <c r="O41" s="184"/>
    </row>
    <row r="42" spans="2:15" ht="15" x14ac:dyDescent="0.25">
      <c r="B42" s="174" t="s">
        <v>201</v>
      </c>
      <c r="D42" s="183" t="str">
        <f>IF(AND(Inputs!$Q$29=0,Inputs!$Q$45=0),"No","Yes")</f>
        <v>No</v>
      </c>
      <c r="E42" s="189"/>
      <c r="F42" s="183" t="s">
        <v>516</v>
      </c>
      <c r="G42" s="183"/>
      <c r="H42" s="183"/>
      <c r="I42" s="183"/>
      <c r="J42" s="183"/>
      <c r="K42" s="183"/>
      <c r="L42" s="183"/>
      <c r="M42" s="183"/>
      <c r="N42" s="183"/>
      <c r="O42" s="183"/>
    </row>
    <row r="43" spans="2:15" ht="15" x14ac:dyDescent="0.25">
      <c r="B43" s="291" t="s">
        <v>485</v>
      </c>
      <c r="C43" s="175" t="s">
        <v>0</v>
      </c>
      <c r="D43" s="652" t="str">
        <f>IF(D42="No","NA",Inputs!G69)</f>
        <v>NA</v>
      </c>
      <c r="E43" s="189"/>
      <c r="F43" s="652" t="s">
        <v>517</v>
      </c>
      <c r="G43" s="652"/>
      <c r="H43" s="652"/>
      <c r="I43" s="652"/>
      <c r="J43" s="652"/>
      <c r="K43" s="652"/>
      <c r="L43" s="652"/>
      <c r="M43" s="652"/>
      <c r="N43" s="652"/>
      <c r="O43" s="652"/>
    </row>
    <row r="44" spans="2:15" ht="15" x14ac:dyDescent="0.25">
      <c r="B44" s="291"/>
      <c r="D44" s="183"/>
      <c r="E44" s="189"/>
      <c r="F44" s="183"/>
      <c r="G44" s="183"/>
      <c r="H44" s="183"/>
      <c r="I44" s="183"/>
      <c r="J44" s="183"/>
      <c r="K44" s="183"/>
      <c r="L44" s="183"/>
      <c r="M44" s="183"/>
      <c r="N44" s="183"/>
      <c r="O44" s="183"/>
    </row>
    <row r="45" spans="2:15" ht="15" x14ac:dyDescent="0.25">
      <c r="B45" s="651" t="s">
        <v>486</v>
      </c>
      <c r="C45" s="157"/>
      <c r="D45" s="653" t="str">
        <f>IF(Inputs!$G$73="No","NA",Inputs!P70)</f>
        <v>Yes</v>
      </c>
      <c r="F45" s="653" t="s">
        <v>13</v>
      </c>
      <c r="G45" s="653"/>
      <c r="H45" s="653"/>
      <c r="I45" s="653"/>
      <c r="J45" s="653"/>
      <c r="K45" s="653"/>
      <c r="L45" s="653"/>
      <c r="M45" s="653"/>
      <c r="N45" s="653"/>
      <c r="O45" s="653"/>
    </row>
    <row r="46" spans="2:15" ht="150.75" customHeight="1" x14ac:dyDescent="0.2">
      <c r="B46" s="648" t="s">
        <v>327</v>
      </c>
      <c r="C46" s="649"/>
      <c r="D46" s="650"/>
      <c r="F46" s="650"/>
      <c r="G46" s="650"/>
      <c r="H46" s="650"/>
      <c r="I46" s="650"/>
      <c r="J46" s="650"/>
      <c r="K46" s="650"/>
      <c r="L46" s="650"/>
      <c r="M46" s="650"/>
      <c r="N46" s="650"/>
      <c r="O46" s="650"/>
    </row>
    <row r="47" spans="2:15" ht="30" customHeight="1" x14ac:dyDescent="0.2">
      <c r="B47" s="213"/>
      <c r="C47" s="213"/>
      <c r="D47" s="213"/>
      <c r="E47" s="213"/>
      <c r="F47" s="213"/>
      <c r="G47" s="213"/>
      <c r="H47" s="213"/>
      <c r="I47" s="213"/>
      <c r="J47" s="213"/>
    </row>
    <row r="48" spans="2:15" ht="18" x14ac:dyDescent="0.2">
      <c r="B48" s="213"/>
      <c r="C48" s="213"/>
      <c r="D48" s="214"/>
      <c r="E48" s="213"/>
      <c r="F48" s="213"/>
      <c r="G48" s="213"/>
      <c r="H48" s="213"/>
      <c r="I48" s="213"/>
      <c r="J48" s="213"/>
    </row>
    <row r="49" spans="2:10" x14ac:dyDescent="0.2">
      <c r="D49" s="720"/>
      <c r="E49" s="720"/>
      <c r="F49" s="720"/>
      <c r="G49" s="720"/>
      <c r="H49" s="720"/>
      <c r="I49" s="720"/>
    </row>
    <row r="50" spans="2:10" ht="15" x14ac:dyDescent="0.25">
      <c r="C50" s="210"/>
      <c r="D50" s="211"/>
      <c r="E50" s="211"/>
      <c r="F50" s="211"/>
      <c r="G50" s="211"/>
      <c r="H50" s="211"/>
      <c r="I50" s="211"/>
      <c r="J50" s="211"/>
    </row>
    <row r="51" spans="2:10" ht="15" x14ac:dyDescent="0.25">
      <c r="B51" s="719"/>
      <c r="C51" s="212"/>
    </row>
    <row r="52" spans="2:10" ht="15" x14ac:dyDescent="0.25">
      <c r="B52" s="719"/>
      <c r="C52" s="212"/>
    </row>
    <row r="53" spans="2:10" ht="15" x14ac:dyDescent="0.25">
      <c r="B53" s="719"/>
      <c r="C53" s="212"/>
    </row>
    <row r="54" spans="2:10" ht="15" x14ac:dyDescent="0.25">
      <c r="B54" s="719"/>
      <c r="C54" s="212"/>
    </row>
    <row r="55" spans="2:10" ht="15" x14ac:dyDescent="0.25">
      <c r="B55" s="719"/>
      <c r="C55" s="212"/>
    </row>
    <row r="59" spans="2:10" ht="15.75" customHeight="1" x14ac:dyDescent="0.2"/>
  </sheetData>
  <protectedRanges>
    <protectedRange sqref="F6:O6" name="Scenario Names"/>
    <protectedRange sqref="D46 F7:O46" name="Scenario Comparison"/>
  </protectedRanges>
  <mergeCells count="5">
    <mergeCell ref="B3:J3"/>
    <mergeCell ref="B51:B55"/>
    <mergeCell ref="D49:I49"/>
    <mergeCell ref="F5:J5"/>
    <mergeCell ref="B5:D5"/>
  </mergeCells>
  <conditionalFormatting sqref="D10">
    <cfRule type="expression" dxfId="7" priority="9">
      <formula>$D10="Yes"</formula>
    </cfRule>
  </conditionalFormatting>
  <conditionalFormatting sqref="D11">
    <cfRule type="expression" dxfId="6" priority="7">
      <formula>$D11="Yes"</formula>
    </cfRule>
  </conditionalFormatting>
  <conditionalFormatting sqref="B10:C10">
    <cfRule type="expression" dxfId="5" priority="6">
      <formula>$D$10="Yes"</formula>
    </cfRule>
  </conditionalFormatting>
  <conditionalFormatting sqref="B11:C11">
    <cfRule type="expression" dxfId="4" priority="5">
      <formula>$D$11="Yes"</formula>
    </cfRule>
  </conditionalFormatting>
  <pageMargins left="0.7" right="0.7" top="0.75" bottom="0.75" header="0.3" footer="0.3"/>
  <pageSetup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S38"/>
  <sheetViews>
    <sheetView showGridLines="0" zoomScale="70" zoomScaleNormal="70" workbookViewId="0">
      <pane xSplit="1" ySplit="5" topLeftCell="B6" activePane="bottomRight" state="frozen"/>
      <selection pane="topRight" activeCell="B1" sqref="B1"/>
      <selection pane="bottomLeft" activeCell="A6" sqref="A6"/>
      <selection pane="bottomRight" activeCell="S43" sqref="S43"/>
    </sheetView>
  </sheetViews>
  <sheetFormatPr defaultColWidth="8.85546875" defaultRowHeight="14.25" x14ac:dyDescent="0.2"/>
  <cols>
    <col min="1" max="1" width="2.42578125" style="136" customWidth="1"/>
    <col min="2" max="2" width="9.7109375" style="136" customWidth="1"/>
    <col min="3" max="3" width="15" style="136" customWidth="1"/>
    <col min="4" max="4" width="12.85546875" style="136" customWidth="1"/>
    <col min="5" max="5" width="13.7109375" style="136" customWidth="1"/>
    <col min="6" max="6" width="12.42578125" style="136" bestFit="1" customWidth="1"/>
    <col min="7" max="7" width="13" style="137" customWidth="1"/>
    <col min="8" max="8" width="12.42578125" style="136" customWidth="1"/>
    <col min="9" max="9" width="13.7109375" style="136" bestFit="1" customWidth="1"/>
    <col min="10" max="10" width="13.7109375" style="136" customWidth="1"/>
    <col min="11" max="11" width="15.85546875" style="136" customWidth="1"/>
    <col min="12" max="12" width="14.42578125" style="136" customWidth="1"/>
    <col min="13" max="13" width="15.7109375" style="136" customWidth="1"/>
    <col min="14" max="14" width="16.42578125" style="136" customWidth="1"/>
    <col min="15" max="15" width="11.42578125" style="136" customWidth="1"/>
    <col min="16" max="16" width="11.140625" style="136" customWidth="1"/>
    <col min="17" max="17" width="9.140625" style="136"/>
    <col min="18" max="18" width="24.85546875" style="136" bestFit="1" customWidth="1"/>
    <col min="19" max="19" width="29.28515625" style="136" bestFit="1" customWidth="1"/>
    <col min="20" max="235" width="9.140625" style="136"/>
    <col min="236" max="236" width="21.42578125" style="136" customWidth="1"/>
    <col min="237" max="237" width="16.42578125" style="136" customWidth="1"/>
    <col min="238" max="238" width="18" style="136" customWidth="1"/>
    <col min="239" max="239" width="23.7109375" style="136" customWidth="1"/>
    <col min="240" max="240" width="26" style="136" customWidth="1"/>
    <col min="241" max="241" width="21.42578125" style="136" customWidth="1"/>
    <col min="242" max="242" width="20.85546875" style="136" customWidth="1"/>
    <col min="243" max="243" width="0" style="136" hidden="1" customWidth="1"/>
    <col min="244" max="491" width="9.140625" style="136"/>
    <col min="492" max="492" width="21.42578125" style="136" customWidth="1"/>
    <col min="493" max="493" width="16.42578125" style="136" customWidth="1"/>
    <col min="494" max="494" width="18" style="136" customWidth="1"/>
    <col min="495" max="495" width="23.7109375" style="136" customWidth="1"/>
    <col min="496" max="496" width="26" style="136" customWidth="1"/>
    <col min="497" max="497" width="21.42578125" style="136" customWidth="1"/>
    <col min="498" max="498" width="20.85546875" style="136" customWidth="1"/>
    <col min="499" max="499" width="0" style="136" hidden="1" customWidth="1"/>
    <col min="500" max="747" width="9.140625" style="136"/>
    <col min="748" max="748" width="21.42578125" style="136" customWidth="1"/>
    <col min="749" max="749" width="16.42578125" style="136" customWidth="1"/>
    <col min="750" max="750" width="18" style="136" customWidth="1"/>
    <col min="751" max="751" width="23.7109375" style="136" customWidth="1"/>
    <col min="752" max="752" width="26" style="136" customWidth="1"/>
    <col min="753" max="753" width="21.42578125" style="136" customWidth="1"/>
    <col min="754" max="754" width="20.85546875" style="136" customWidth="1"/>
    <col min="755" max="755" width="0" style="136" hidden="1" customWidth="1"/>
    <col min="756" max="1003" width="9.140625" style="136"/>
    <col min="1004" max="1004" width="21.42578125" style="136" customWidth="1"/>
    <col min="1005" max="1005" width="16.42578125" style="136" customWidth="1"/>
    <col min="1006" max="1006" width="18" style="136" customWidth="1"/>
    <col min="1007" max="1007" width="23.7109375" style="136" customWidth="1"/>
    <col min="1008" max="1008" width="26" style="136" customWidth="1"/>
    <col min="1009" max="1009" width="21.42578125" style="136" customWidth="1"/>
    <col min="1010" max="1010" width="20.85546875" style="136" customWidth="1"/>
    <col min="1011" max="1011" width="0" style="136" hidden="1" customWidth="1"/>
    <col min="1012" max="1259" width="9.140625" style="136"/>
    <col min="1260" max="1260" width="21.42578125" style="136" customWidth="1"/>
    <col min="1261" max="1261" width="16.42578125" style="136" customWidth="1"/>
    <col min="1262" max="1262" width="18" style="136" customWidth="1"/>
    <col min="1263" max="1263" width="23.7109375" style="136" customWidth="1"/>
    <col min="1264" max="1264" width="26" style="136" customWidth="1"/>
    <col min="1265" max="1265" width="21.42578125" style="136" customWidth="1"/>
    <col min="1266" max="1266" width="20.85546875" style="136" customWidth="1"/>
    <col min="1267" max="1267" width="0" style="136" hidden="1" customWidth="1"/>
    <col min="1268" max="1515" width="9.140625" style="136"/>
    <col min="1516" max="1516" width="21.42578125" style="136" customWidth="1"/>
    <col min="1517" max="1517" width="16.42578125" style="136" customWidth="1"/>
    <col min="1518" max="1518" width="18" style="136" customWidth="1"/>
    <col min="1519" max="1519" width="23.7109375" style="136" customWidth="1"/>
    <col min="1520" max="1520" width="26" style="136" customWidth="1"/>
    <col min="1521" max="1521" width="21.42578125" style="136" customWidth="1"/>
    <col min="1522" max="1522" width="20.85546875" style="136" customWidth="1"/>
    <col min="1523" max="1523" width="0" style="136" hidden="1" customWidth="1"/>
    <col min="1524" max="1771" width="9.140625" style="136"/>
    <col min="1772" max="1772" width="21.42578125" style="136" customWidth="1"/>
    <col min="1773" max="1773" width="16.42578125" style="136" customWidth="1"/>
    <col min="1774" max="1774" width="18" style="136" customWidth="1"/>
    <col min="1775" max="1775" width="23.7109375" style="136" customWidth="1"/>
    <col min="1776" max="1776" width="26" style="136" customWidth="1"/>
    <col min="1777" max="1777" width="21.42578125" style="136" customWidth="1"/>
    <col min="1778" max="1778" width="20.85546875" style="136" customWidth="1"/>
    <col min="1779" max="1779" width="0" style="136" hidden="1" customWidth="1"/>
    <col min="1780" max="2027" width="9.140625" style="136"/>
    <col min="2028" max="2028" width="21.42578125" style="136" customWidth="1"/>
    <col min="2029" max="2029" width="16.42578125" style="136" customWidth="1"/>
    <col min="2030" max="2030" width="18" style="136" customWidth="1"/>
    <col min="2031" max="2031" width="23.7109375" style="136" customWidth="1"/>
    <col min="2032" max="2032" width="26" style="136" customWidth="1"/>
    <col min="2033" max="2033" width="21.42578125" style="136" customWidth="1"/>
    <col min="2034" max="2034" width="20.85546875" style="136" customWidth="1"/>
    <col min="2035" max="2035" width="0" style="136" hidden="1" customWidth="1"/>
    <col min="2036" max="2283" width="9.140625" style="136"/>
    <col min="2284" max="2284" width="21.42578125" style="136" customWidth="1"/>
    <col min="2285" max="2285" width="16.42578125" style="136" customWidth="1"/>
    <col min="2286" max="2286" width="18" style="136" customWidth="1"/>
    <col min="2287" max="2287" width="23.7109375" style="136" customWidth="1"/>
    <col min="2288" max="2288" width="26" style="136" customWidth="1"/>
    <col min="2289" max="2289" width="21.42578125" style="136" customWidth="1"/>
    <col min="2290" max="2290" width="20.85546875" style="136" customWidth="1"/>
    <col min="2291" max="2291" width="0" style="136" hidden="1" customWidth="1"/>
    <col min="2292" max="2539" width="9.140625" style="136"/>
    <col min="2540" max="2540" width="21.42578125" style="136" customWidth="1"/>
    <col min="2541" max="2541" width="16.42578125" style="136" customWidth="1"/>
    <col min="2542" max="2542" width="18" style="136" customWidth="1"/>
    <col min="2543" max="2543" width="23.7109375" style="136" customWidth="1"/>
    <col min="2544" max="2544" width="26" style="136" customWidth="1"/>
    <col min="2545" max="2545" width="21.42578125" style="136" customWidth="1"/>
    <col min="2546" max="2546" width="20.85546875" style="136" customWidth="1"/>
    <col min="2547" max="2547" width="0" style="136" hidden="1" customWidth="1"/>
    <col min="2548" max="2795" width="9.140625" style="136"/>
    <col min="2796" max="2796" width="21.42578125" style="136" customWidth="1"/>
    <col min="2797" max="2797" width="16.42578125" style="136" customWidth="1"/>
    <col min="2798" max="2798" width="18" style="136" customWidth="1"/>
    <col min="2799" max="2799" width="23.7109375" style="136" customWidth="1"/>
    <col min="2800" max="2800" width="26" style="136" customWidth="1"/>
    <col min="2801" max="2801" width="21.42578125" style="136" customWidth="1"/>
    <col min="2802" max="2802" width="20.85546875" style="136" customWidth="1"/>
    <col min="2803" max="2803" width="0" style="136" hidden="1" customWidth="1"/>
    <col min="2804" max="3051" width="9.140625" style="136"/>
    <col min="3052" max="3052" width="21.42578125" style="136" customWidth="1"/>
    <col min="3053" max="3053" width="16.42578125" style="136" customWidth="1"/>
    <col min="3054" max="3054" width="18" style="136" customWidth="1"/>
    <col min="3055" max="3055" width="23.7109375" style="136" customWidth="1"/>
    <col min="3056" max="3056" width="26" style="136" customWidth="1"/>
    <col min="3057" max="3057" width="21.42578125" style="136" customWidth="1"/>
    <col min="3058" max="3058" width="20.85546875" style="136" customWidth="1"/>
    <col min="3059" max="3059" width="0" style="136" hidden="1" customWidth="1"/>
    <col min="3060" max="3307" width="9.140625" style="136"/>
    <col min="3308" max="3308" width="21.42578125" style="136" customWidth="1"/>
    <col min="3309" max="3309" width="16.42578125" style="136" customWidth="1"/>
    <col min="3310" max="3310" width="18" style="136" customWidth="1"/>
    <col min="3311" max="3311" width="23.7109375" style="136" customWidth="1"/>
    <col min="3312" max="3312" width="26" style="136" customWidth="1"/>
    <col min="3313" max="3313" width="21.42578125" style="136" customWidth="1"/>
    <col min="3314" max="3314" width="20.85546875" style="136" customWidth="1"/>
    <col min="3315" max="3315" width="0" style="136" hidden="1" customWidth="1"/>
    <col min="3316" max="3563" width="9.140625" style="136"/>
    <col min="3564" max="3564" width="21.42578125" style="136" customWidth="1"/>
    <col min="3565" max="3565" width="16.42578125" style="136" customWidth="1"/>
    <col min="3566" max="3566" width="18" style="136" customWidth="1"/>
    <col min="3567" max="3567" width="23.7109375" style="136" customWidth="1"/>
    <col min="3568" max="3568" width="26" style="136" customWidth="1"/>
    <col min="3569" max="3569" width="21.42578125" style="136" customWidth="1"/>
    <col min="3570" max="3570" width="20.85546875" style="136" customWidth="1"/>
    <col min="3571" max="3571" width="0" style="136" hidden="1" customWidth="1"/>
    <col min="3572" max="3819" width="9.140625" style="136"/>
    <col min="3820" max="3820" width="21.42578125" style="136" customWidth="1"/>
    <col min="3821" max="3821" width="16.42578125" style="136" customWidth="1"/>
    <col min="3822" max="3822" width="18" style="136" customWidth="1"/>
    <col min="3823" max="3823" width="23.7109375" style="136" customWidth="1"/>
    <col min="3824" max="3824" width="26" style="136" customWidth="1"/>
    <col min="3825" max="3825" width="21.42578125" style="136" customWidth="1"/>
    <col min="3826" max="3826" width="20.85546875" style="136" customWidth="1"/>
    <col min="3827" max="3827" width="0" style="136" hidden="1" customWidth="1"/>
    <col min="3828" max="4075" width="9.140625" style="136"/>
    <col min="4076" max="4076" width="21.42578125" style="136" customWidth="1"/>
    <col min="4077" max="4077" width="16.42578125" style="136" customWidth="1"/>
    <col min="4078" max="4078" width="18" style="136" customWidth="1"/>
    <col min="4079" max="4079" width="23.7109375" style="136" customWidth="1"/>
    <col min="4080" max="4080" width="26" style="136" customWidth="1"/>
    <col min="4081" max="4081" width="21.42578125" style="136" customWidth="1"/>
    <col min="4082" max="4082" width="20.85546875" style="136" customWidth="1"/>
    <col min="4083" max="4083" width="0" style="136" hidden="1" customWidth="1"/>
    <col min="4084" max="4331" width="9.140625" style="136"/>
    <col min="4332" max="4332" width="21.42578125" style="136" customWidth="1"/>
    <col min="4333" max="4333" width="16.42578125" style="136" customWidth="1"/>
    <col min="4334" max="4334" width="18" style="136" customWidth="1"/>
    <col min="4335" max="4335" width="23.7109375" style="136" customWidth="1"/>
    <col min="4336" max="4336" width="26" style="136" customWidth="1"/>
    <col min="4337" max="4337" width="21.42578125" style="136" customWidth="1"/>
    <col min="4338" max="4338" width="20.85546875" style="136" customWidth="1"/>
    <col min="4339" max="4339" width="0" style="136" hidden="1" customWidth="1"/>
    <col min="4340" max="4587" width="9.140625" style="136"/>
    <col min="4588" max="4588" width="21.42578125" style="136" customWidth="1"/>
    <col min="4589" max="4589" width="16.42578125" style="136" customWidth="1"/>
    <col min="4590" max="4590" width="18" style="136" customWidth="1"/>
    <col min="4591" max="4591" width="23.7109375" style="136" customWidth="1"/>
    <col min="4592" max="4592" width="26" style="136" customWidth="1"/>
    <col min="4593" max="4593" width="21.42578125" style="136" customWidth="1"/>
    <col min="4594" max="4594" width="20.85546875" style="136" customWidth="1"/>
    <col min="4595" max="4595" width="0" style="136" hidden="1" customWidth="1"/>
    <col min="4596" max="4843" width="9.140625" style="136"/>
    <col min="4844" max="4844" width="21.42578125" style="136" customWidth="1"/>
    <col min="4845" max="4845" width="16.42578125" style="136" customWidth="1"/>
    <col min="4846" max="4846" width="18" style="136" customWidth="1"/>
    <col min="4847" max="4847" width="23.7109375" style="136" customWidth="1"/>
    <col min="4848" max="4848" width="26" style="136" customWidth="1"/>
    <col min="4849" max="4849" width="21.42578125" style="136" customWidth="1"/>
    <col min="4850" max="4850" width="20.85546875" style="136" customWidth="1"/>
    <col min="4851" max="4851" width="0" style="136" hidden="1" customWidth="1"/>
    <col min="4852" max="5099" width="9.140625" style="136"/>
    <col min="5100" max="5100" width="21.42578125" style="136" customWidth="1"/>
    <col min="5101" max="5101" width="16.42578125" style="136" customWidth="1"/>
    <col min="5102" max="5102" width="18" style="136" customWidth="1"/>
    <col min="5103" max="5103" width="23.7109375" style="136" customWidth="1"/>
    <col min="5104" max="5104" width="26" style="136" customWidth="1"/>
    <col min="5105" max="5105" width="21.42578125" style="136" customWidth="1"/>
    <col min="5106" max="5106" width="20.85546875" style="136" customWidth="1"/>
    <col min="5107" max="5107" width="0" style="136" hidden="1" customWidth="1"/>
    <col min="5108" max="5355" width="9.140625" style="136"/>
    <col min="5356" max="5356" width="21.42578125" style="136" customWidth="1"/>
    <col min="5357" max="5357" width="16.42578125" style="136" customWidth="1"/>
    <col min="5358" max="5358" width="18" style="136" customWidth="1"/>
    <col min="5359" max="5359" width="23.7109375" style="136" customWidth="1"/>
    <col min="5360" max="5360" width="26" style="136" customWidth="1"/>
    <col min="5361" max="5361" width="21.42578125" style="136" customWidth="1"/>
    <col min="5362" max="5362" width="20.85546875" style="136" customWidth="1"/>
    <col min="5363" max="5363" width="0" style="136" hidden="1" customWidth="1"/>
    <col min="5364" max="5611" width="9.140625" style="136"/>
    <col min="5612" max="5612" width="21.42578125" style="136" customWidth="1"/>
    <col min="5613" max="5613" width="16.42578125" style="136" customWidth="1"/>
    <col min="5614" max="5614" width="18" style="136" customWidth="1"/>
    <col min="5615" max="5615" width="23.7109375" style="136" customWidth="1"/>
    <col min="5616" max="5616" width="26" style="136" customWidth="1"/>
    <col min="5617" max="5617" width="21.42578125" style="136" customWidth="1"/>
    <col min="5618" max="5618" width="20.85546875" style="136" customWidth="1"/>
    <col min="5619" max="5619" width="0" style="136" hidden="1" customWidth="1"/>
    <col min="5620" max="5867" width="9.140625" style="136"/>
    <col min="5868" max="5868" width="21.42578125" style="136" customWidth="1"/>
    <col min="5869" max="5869" width="16.42578125" style="136" customWidth="1"/>
    <col min="5870" max="5870" width="18" style="136" customWidth="1"/>
    <col min="5871" max="5871" width="23.7109375" style="136" customWidth="1"/>
    <col min="5872" max="5872" width="26" style="136" customWidth="1"/>
    <col min="5873" max="5873" width="21.42578125" style="136" customWidth="1"/>
    <col min="5874" max="5874" width="20.85546875" style="136" customWidth="1"/>
    <col min="5875" max="5875" width="0" style="136" hidden="1" customWidth="1"/>
    <col min="5876" max="6123" width="9.140625" style="136"/>
    <col min="6124" max="6124" width="21.42578125" style="136" customWidth="1"/>
    <col min="6125" max="6125" width="16.42578125" style="136" customWidth="1"/>
    <col min="6126" max="6126" width="18" style="136" customWidth="1"/>
    <col min="6127" max="6127" width="23.7109375" style="136" customWidth="1"/>
    <col min="6128" max="6128" width="26" style="136" customWidth="1"/>
    <col min="6129" max="6129" width="21.42578125" style="136" customWidth="1"/>
    <col min="6130" max="6130" width="20.85546875" style="136" customWidth="1"/>
    <col min="6131" max="6131" width="0" style="136" hidden="1" customWidth="1"/>
    <col min="6132" max="6379" width="9.140625" style="136"/>
    <col min="6380" max="6380" width="21.42578125" style="136" customWidth="1"/>
    <col min="6381" max="6381" width="16.42578125" style="136" customWidth="1"/>
    <col min="6382" max="6382" width="18" style="136" customWidth="1"/>
    <col min="6383" max="6383" width="23.7109375" style="136" customWidth="1"/>
    <col min="6384" max="6384" width="26" style="136" customWidth="1"/>
    <col min="6385" max="6385" width="21.42578125" style="136" customWidth="1"/>
    <col min="6386" max="6386" width="20.85546875" style="136" customWidth="1"/>
    <col min="6387" max="6387" width="0" style="136" hidden="1" customWidth="1"/>
    <col min="6388" max="6635" width="9.140625" style="136"/>
    <col min="6636" max="6636" width="21.42578125" style="136" customWidth="1"/>
    <col min="6637" max="6637" width="16.42578125" style="136" customWidth="1"/>
    <col min="6638" max="6638" width="18" style="136" customWidth="1"/>
    <col min="6639" max="6639" width="23.7109375" style="136" customWidth="1"/>
    <col min="6640" max="6640" width="26" style="136" customWidth="1"/>
    <col min="6641" max="6641" width="21.42578125" style="136" customWidth="1"/>
    <col min="6642" max="6642" width="20.85546875" style="136" customWidth="1"/>
    <col min="6643" max="6643" width="0" style="136" hidden="1" customWidth="1"/>
    <col min="6644" max="6891" width="9.140625" style="136"/>
    <col min="6892" max="6892" width="21.42578125" style="136" customWidth="1"/>
    <col min="6893" max="6893" width="16.42578125" style="136" customWidth="1"/>
    <col min="6894" max="6894" width="18" style="136" customWidth="1"/>
    <col min="6895" max="6895" width="23.7109375" style="136" customWidth="1"/>
    <col min="6896" max="6896" width="26" style="136" customWidth="1"/>
    <col min="6897" max="6897" width="21.42578125" style="136" customWidth="1"/>
    <col min="6898" max="6898" width="20.85546875" style="136" customWidth="1"/>
    <col min="6899" max="6899" width="0" style="136" hidden="1" customWidth="1"/>
    <col min="6900" max="7147" width="9.140625" style="136"/>
    <col min="7148" max="7148" width="21.42578125" style="136" customWidth="1"/>
    <col min="7149" max="7149" width="16.42578125" style="136" customWidth="1"/>
    <col min="7150" max="7150" width="18" style="136" customWidth="1"/>
    <col min="7151" max="7151" width="23.7109375" style="136" customWidth="1"/>
    <col min="7152" max="7152" width="26" style="136" customWidth="1"/>
    <col min="7153" max="7153" width="21.42578125" style="136" customWidth="1"/>
    <col min="7154" max="7154" width="20.85546875" style="136" customWidth="1"/>
    <col min="7155" max="7155" width="0" style="136" hidden="1" customWidth="1"/>
    <col min="7156" max="7403" width="9.140625" style="136"/>
    <col min="7404" max="7404" width="21.42578125" style="136" customWidth="1"/>
    <col min="7405" max="7405" width="16.42578125" style="136" customWidth="1"/>
    <col min="7406" max="7406" width="18" style="136" customWidth="1"/>
    <col min="7407" max="7407" width="23.7109375" style="136" customWidth="1"/>
    <col min="7408" max="7408" width="26" style="136" customWidth="1"/>
    <col min="7409" max="7409" width="21.42578125" style="136" customWidth="1"/>
    <col min="7410" max="7410" width="20.85546875" style="136" customWidth="1"/>
    <col min="7411" max="7411" width="0" style="136" hidden="1" customWidth="1"/>
    <col min="7412" max="7659" width="9.140625" style="136"/>
    <col min="7660" max="7660" width="21.42578125" style="136" customWidth="1"/>
    <col min="7661" max="7661" width="16.42578125" style="136" customWidth="1"/>
    <col min="7662" max="7662" width="18" style="136" customWidth="1"/>
    <col min="7663" max="7663" width="23.7109375" style="136" customWidth="1"/>
    <col min="7664" max="7664" width="26" style="136" customWidth="1"/>
    <col min="7665" max="7665" width="21.42578125" style="136" customWidth="1"/>
    <col min="7666" max="7666" width="20.85546875" style="136" customWidth="1"/>
    <col min="7667" max="7667" width="0" style="136" hidden="1" customWidth="1"/>
    <col min="7668" max="7915" width="9.140625" style="136"/>
    <col min="7916" max="7916" width="21.42578125" style="136" customWidth="1"/>
    <col min="7917" max="7917" width="16.42578125" style="136" customWidth="1"/>
    <col min="7918" max="7918" width="18" style="136" customWidth="1"/>
    <col min="7919" max="7919" width="23.7109375" style="136" customWidth="1"/>
    <col min="7920" max="7920" width="26" style="136" customWidth="1"/>
    <col min="7921" max="7921" width="21.42578125" style="136" customWidth="1"/>
    <col min="7922" max="7922" width="20.85546875" style="136" customWidth="1"/>
    <col min="7923" max="7923" width="0" style="136" hidden="1" customWidth="1"/>
    <col min="7924" max="8171" width="9.140625" style="136"/>
    <col min="8172" max="8172" width="21.42578125" style="136" customWidth="1"/>
    <col min="8173" max="8173" width="16.42578125" style="136" customWidth="1"/>
    <col min="8174" max="8174" width="18" style="136" customWidth="1"/>
    <col min="8175" max="8175" width="23.7109375" style="136" customWidth="1"/>
    <col min="8176" max="8176" width="26" style="136" customWidth="1"/>
    <col min="8177" max="8177" width="21.42578125" style="136" customWidth="1"/>
    <col min="8178" max="8178" width="20.85546875" style="136" customWidth="1"/>
    <col min="8179" max="8179" width="0" style="136" hidden="1" customWidth="1"/>
    <col min="8180" max="8427" width="9.140625" style="136"/>
    <col min="8428" max="8428" width="21.42578125" style="136" customWidth="1"/>
    <col min="8429" max="8429" width="16.42578125" style="136" customWidth="1"/>
    <col min="8430" max="8430" width="18" style="136" customWidth="1"/>
    <col min="8431" max="8431" width="23.7109375" style="136" customWidth="1"/>
    <col min="8432" max="8432" width="26" style="136" customWidth="1"/>
    <col min="8433" max="8433" width="21.42578125" style="136" customWidth="1"/>
    <col min="8434" max="8434" width="20.85546875" style="136" customWidth="1"/>
    <col min="8435" max="8435" width="0" style="136" hidden="1" customWidth="1"/>
    <col min="8436" max="8683" width="9.140625" style="136"/>
    <col min="8684" max="8684" width="21.42578125" style="136" customWidth="1"/>
    <col min="8685" max="8685" width="16.42578125" style="136" customWidth="1"/>
    <col min="8686" max="8686" width="18" style="136" customWidth="1"/>
    <col min="8687" max="8687" width="23.7109375" style="136" customWidth="1"/>
    <col min="8688" max="8688" width="26" style="136" customWidth="1"/>
    <col min="8689" max="8689" width="21.42578125" style="136" customWidth="1"/>
    <col min="8690" max="8690" width="20.85546875" style="136" customWidth="1"/>
    <col min="8691" max="8691" width="0" style="136" hidden="1" customWidth="1"/>
    <col min="8692" max="8939" width="9.140625" style="136"/>
    <col min="8940" max="8940" width="21.42578125" style="136" customWidth="1"/>
    <col min="8941" max="8941" width="16.42578125" style="136" customWidth="1"/>
    <col min="8942" max="8942" width="18" style="136" customWidth="1"/>
    <col min="8943" max="8943" width="23.7109375" style="136" customWidth="1"/>
    <col min="8944" max="8944" width="26" style="136" customWidth="1"/>
    <col min="8945" max="8945" width="21.42578125" style="136" customWidth="1"/>
    <col min="8946" max="8946" width="20.85546875" style="136" customWidth="1"/>
    <col min="8947" max="8947" width="0" style="136" hidden="1" customWidth="1"/>
    <col min="8948" max="9195" width="9.140625" style="136"/>
    <col min="9196" max="9196" width="21.42578125" style="136" customWidth="1"/>
    <col min="9197" max="9197" width="16.42578125" style="136" customWidth="1"/>
    <col min="9198" max="9198" width="18" style="136" customWidth="1"/>
    <col min="9199" max="9199" width="23.7109375" style="136" customWidth="1"/>
    <col min="9200" max="9200" width="26" style="136" customWidth="1"/>
    <col min="9201" max="9201" width="21.42578125" style="136" customWidth="1"/>
    <col min="9202" max="9202" width="20.85546875" style="136" customWidth="1"/>
    <col min="9203" max="9203" width="0" style="136" hidden="1" customWidth="1"/>
    <col min="9204" max="9451" width="9.140625" style="136"/>
    <col min="9452" max="9452" width="21.42578125" style="136" customWidth="1"/>
    <col min="9453" max="9453" width="16.42578125" style="136" customWidth="1"/>
    <col min="9454" max="9454" width="18" style="136" customWidth="1"/>
    <col min="9455" max="9455" width="23.7109375" style="136" customWidth="1"/>
    <col min="9456" max="9456" width="26" style="136" customWidth="1"/>
    <col min="9457" max="9457" width="21.42578125" style="136" customWidth="1"/>
    <col min="9458" max="9458" width="20.85546875" style="136" customWidth="1"/>
    <col min="9459" max="9459" width="0" style="136" hidden="1" customWidth="1"/>
    <col min="9460" max="9707" width="9.140625" style="136"/>
    <col min="9708" max="9708" width="21.42578125" style="136" customWidth="1"/>
    <col min="9709" max="9709" width="16.42578125" style="136" customWidth="1"/>
    <col min="9710" max="9710" width="18" style="136" customWidth="1"/>
    <col min="9711" max="9711" width="23.7109375" style="136" customWidth="1"/>
    <col min="9712" max="9712" width="26" style="136" customWidth="1"/>
    <col min="9713" max="9713" width="21.42578125" style="136" customWidth="1"/>
    <col min="9714" max="9714" width="20.85546875" style="136" customWidth="1"/>
    <col min="9715" max="9715" width="0" style="136" hidden="1" customWidth="1"/>
    <col min="9716" max="9963" width="9.140625" style="136"/>
    <col min="9964" max="9964" width="21.42578125" style="136" customWidth="1"/>
    <col min="9965" max="9965" width="16.42578125" style="136" customWidth="1"/>
    <col min="9966" max="9966" width="18" style="136" customWidth="1"/>
    <col min="9967" max="9967" width="23.7109375" style="136" customWidth="1"/>
    <col min="9968" max="9968" width="26" style="136" customWidth="1"/>
    <col min="9969" max="9969" width="21.42578125" style="136" customWidth="1"/>
    <col min="9970" max="9970" width="20.85546875" style="136" customWidth="1"/>
    <col min="9971" max="9971" width="0" style="136" hidden="1" customWidth="1"/>
    <col min="9972" max="10219" width="9.140625" style="136"/>
    <col min="10220" max="10220" width="21.42578125" style="136" customWidth="1"/>
    <col min="10221" max="10221" width="16.42578125" style="136" customWidth="1"/>
    <col min="10222" max="10222" width="18" style="136" customWidth="1"/>
    <col min="10223" max="10223" width="23.7109375" style="136" customWidth="1"/>
    <col min="10224" max="10224" width="26" style="136" customWidth="1"/>
    <col min="10225" max="10225" width="21.42578125" style="136" customWidth="1"/>
    <col min="10226" max="10226" width="20.85546875" style="136" customWidth="1"/>
    <col min="10227" max="10227" width="0" style="136" hidden="1" customWidth="1"/>
    <col min="10228" max="10475" width="9.140625" style="136"/>
    <col min="10476" max="10476" width="21.42578125" style="136" customWidth="1"/>
    <col min="10477" max="10477" width="16.42578125" style="136" customWidth="1"/>
    <col min="10478" max="10478" width="18" style="136" customWidth="1"/>
    <col min="10479" max="10479" width="23.7109375" style="136" customWidth="1"/>
    <col min="10480" max="10480" width="26" style="136" customWidth="1"/>
    <col min="10481" max="10481" width="21.42578125" style="136" customWidth="1"/>
    <col min="10482" max="10482" width="20.85546875" style="136" customWidth="1"/>
    <col min="10483" max="10483" width="0" style="136" hidden="1" customWidth="1"/>
    <col min="10484" max="10731" width="9.140625" style="136"/>
    <col min="10732" max="10732" width="21.42578125" style="136" customWidth="1"/>
    <col min="10733" max="10733" width="16.42578125" style="136" customWidth="1"/>
    <col min="10734" max="10734" width="18" style="136" customWidth="1"/>
    <col min="10735" max="10735" width="23.7109375" style="136" customWidth="1"/>
    <col min="10736" max="10736" width="26" style="136" customWidth="1"/>
    <col min="10737" max="10737" width="21.42578125" style="136" customWidth="1"/>
    <col min="10738" max="10738" width="20.85546875" style="136" customWidth="1"/>
    <col min="10739" max="10739" width="0" style="136" hidden="1" customWidth="1"/>
    <col min="10740" max="10987" width="9.140625" style="136"/>
    <col min="10988" max="10988" width="21.42578125" style="136" customWidth="1"/>
    <col min="10989" max="10989" width="16.42578125" style="136" customWidth="1"/>
    <col min="10990" max="10990" width="18" style="136" customWidth="1"/>
    <col min="10991" max="10991" width="23.7109375" style="136" customWidth="1"/>
    <col min="10992" max="10992" width="26" style="136" customWidth="1"/>
    <col min="10993" max="10993" width="21.42578125" style="136" customWidth="1"/>
    <col min="10994" max="10994" width="20.85546875" style="136" customWidth="1"/>
    <col min="10995" max="10995" width="0" style="136" hidden="1" customWidth="1"/>
    <col min="10996" max="11243" width="9.140625" style="136"/>
    <col min="11244" max="11244" width="21.42578125" style="136" customWidth="1"/>
    <col min="11245" max="11245" width="16.42578125" style="136" customWidth="1"/>
    <col min="11246" max="11246" width="18" style="136" customWidth="1"/>
    <col min="11247" max="11247" width="23.7109375" style="136" customWidth="1"/>
    <col min="11248" max="11248" width="26" style="136" customWidth="1"/>
    <col min="11249" max="11249" width="21.42578125" style="136" customWidth="1"/>
    <col min="11250" max="11250" width="20.85546875" style="136" customWidth="1"/>
    <col min="11251" max="11251" width="0" style="136" hidden="1" customWidth="1"/>
    <col min="11252" max="11499" width="9.140625" style="136"/>
    <col min="11500" max="11500" width="21.42578125" style="136" customWidth="1"/>
    <col min="11501" max="11501" width="16.42578125" style="136" customWidth="1"/>
    <col min="11502" max="11502" width="18" style="136" customWidth="1"/>
    <col min="11503" max="11503" width="23.7109375" style="136" customWidth="1"/>
    <col min="11504" max="11504" width="26" style="136" customWidth="1"/>
    <col min="11505" max="11505" width="21.42578125" style="136" customWidth="1"/>
    <col min="11506" max="11506" width="20.85546875" style="136" customWidth="1"/>
    <col min="11507" max="11507" width="0" style="136" hidden="1" customWidth="1"/>
    <col min="11508" max="11755" width="9.140625" style="136"/>
    <col min="11756" max="11756" width="21.42578125" style="136" customWidth="1"/>
    <col min="11757" max="11757" width="16.42578125" style="136" customWidth="1"/>
    <col min="11758" max="11758" width="18" style="136" customWidth="1"/>
    <col min="11759" max="11759" width="23.7109375" style="136" customWidth="1"/>
    <col min="11760" max="11760" width="26" style="136" customWidth="1"/>
    <col min="11761" max="11761" width="21.42578125" style="136" customWidth="1"/>
    <col min="11762" max="11762" width="20.85546875" style="136" customWidth="1"/>
    <col min="11763" max="11763" width="0" style="136" hidden="1" customWidth="1"/>
    <col min="11764" max="12011" width="9.140625" style="136"/>
    <col min="12012" max="12012" width="21.42578125" style="136" customWidth="1"/>
    <col min="12013" max="12013" width="16.42578125" style="136" customWidth="1"/>
    <col min="12014" max="12014" width="18" style="136" customWidth="1"/>
    <col min="12015" max="12015" width="23.7109375" style="136" customWidth="1"/>
    <col min="12016" max="12016" width="26" style="136" customWidth="1"/>
    <col min="12017" max="12017" width="21.42578125" style="136" customWidth="1"/>
    <col min="12018" max="12018" width="20.85546875" style="136" customWidth="1"/>
    <col min="12019" max="12019" width="0" style="136" hidden="1" customWidth="1"/>
    <col min="12020" max="12267" width="9.140625" style="136"/>
    <col min="12268" max="12268" width="21.42578125" style="136" customWidth="1"/>
    <col min="12269" max="12269" width="16.42578125" style="136" customWidth="1"/>
    <col min="12270" max="12270" width="18" style="136" customWidth="1"/>
    <col min="12271" max="12271" width="23.7109375" style="136" customWidth="1"/>
    <col min="12272" max="12272" width="26" style="136" customWidth="1"/>
    <col min="12273" max="12273" width="21.42578125" style="136" customWidth="1"/>
    <col min="12274" max="12274" width="20.85546875" style="136" customWidth="1"/>
    <col min="12275" max="12275" width="0" style="136" hidden="1" customWidth="1"/>
    <col min="12276" max="12523" width="9.140625" style="136"/>
    <col min="12524" max="12524" width="21.42578125" style="136" customWidth="1"/>
    <col min="12525" max="12525" width="16.42578125" style="136" customWidth="1"/>
    <col min="12526" max="12526" width="18" style="136" customWidth="1"/>
    <col min="12527" max="12527" width="23.7109375" style="136" customWidth="1"/>
    <col min="12528" max="12528" width="26" style="136" customWidth="1"/>
    <col min="12529" max="12529" width="21.42578125" style="136" customWidth="1"/>
    <col min="12530" max="12530" width="20.85546875" style="136" customWidth="1"/>
    <col min="12531" max="12531" width="0" style="136" hidden="1" customWidth="1"/>
    <col min="12532" max="12779" width="9.140625" style="136"/>
    <col min="12780" max="12780" width="21.42578125" style="136" customWidth="1"/>
    <col min="12781" max="12781" width="16.42578125" style="136" customWidth="1"/>
    <col min="12782" max="12782" width="18" style="136" customWidth="1"/>
    <col min="12783" max="12783" width="23.7109375" style="136" customWidth="1"/>
    <col min="12784" max="12784" width="26" style="136" customWidth="1"/>
    <col min="12785" max="12785" width="21.42578125" style="136" customWidth="1"/>
    <col min="12786" max="12786" width="20.85546875" style="136" customWidth="1"/>
    <col min="12787" max="12787" width="0" style="136" hidden="1" customWidth="1"/>
    <col min="12788" max="13035" width="9.140625" style="136"/>
    <col min="13036" max="13036" width="21.42578125" style="136" customWidth="1"/>
    <col min="13037" max="13037" width="16.42578125" style="136" customWidth="1"/>
    <col min="13038" max="13038" width="18" style="136" customWidth="1"/>
    <col min="13039" max="13039" width="23.7109375" style="136" customWidth="1"/>
    <col min="13040" max="13040" width="26" style="136" customWidth="1"/>
    <col min="13041" max="13041" width="21.42578125" style="136" customWidth="1"/>
    <col min="13042" max="13042" width="20.85546875" style="136" customWidth="1"/>
    <col min="13043" max="13043" width="0" style="136" hidden="1" customWidth="1"/>
    <col min="13044" max="13291" width="9.140625" style="136"/>
    <col min="13292" max="13292" width="21.42578125" style="136" customWidth="1"/>
    <col min="13293" max="13293" width="16.42578125" style="136" customWidth="1"/>
    <col min="13294" max="13294" width="18" style="136" customWidth="1"/>
    <col min="13295" max="13295" width="23.7109375" style="136" customWidth="1"/>
    <col min="13296" max="13296" width="26" style="136" customWidth="1"/>
    <col min="13297" max="13297" width="21.42578125" style="136" customWidth="1"/>
    <col min="13298" max="13298" width="20.85546875" style="136" customWidth="1"/>
    <col min="13299" max="13299" width="0" style="136" hidden="1" customWidth="1"/>
    <col min="13300" max="13547" width="9.140625" style="136"/>
    <col min="13548" max="13548" width="21.42578125" style="136" customWidth="1"/>
    <col min="13549" max="13549" width="16.42578125" style="136" customWidth="1"/>
    <col min="13550" max="13550" width="18" style="136" customWidth="1"/>
    <col min="13551" max="13551" width="23.7109375" style="136" customWidth="1"/>
    <col min="13552" max="13552" width="26" style="136" customWidth="1"/>
    <col min="13553" max="13553" width="21.42578125" style="136" customWidth="1"/>
    <col min="13554" max="13554" width="20.85546875" style="136" customWidth="1"/>
    <col min="13555" max="13555" width="0" style="136" hidden="1" customWidth="1"/>
    <col min="13556" max="13803" width="9.140625" style="136"/>
    <col min="13804" max="13804" width="21.42578125" style="136" customWidth="1"/>
    <col min="13805" max="13805" width="16.42578125" style="136" customWidth="1"/>
    <col min="13806" max="13806" width="18" style="136" customWidth="1"/>
    <col min="13807" max="13807" width="23.7109375" style="136" customWidth="1"/>
    <col min="13808" max="13808" width="26" style="136" customWidth="1"/>
    <col min="13809" max="13809" width="21.42578125" style="136" customWidth="1"/>
    <col min="13810" max="13810" width="20.85546875" style="136" customWidth="1"/>
    <col min="13811" max="13811" width="0" style="136" hidden="1" customWidth="1"/>
    <col min="13812" max="14059" width="9.140625" style="136"/>
    <col min="14060" max="14060" width="21.42578125" style="136" customWidth="1"/>
    <col min="14061" max="14061" width="16.42578125" style="136" customWidth="1"/>
    <col min="14062" max="14062" width="18" style="136" customWidth="1"/>
    <col min="14063" max="14063" width="23.7109375" style="136" customWidth="1"/>
    <col min="14064" max="14064" width="26" style="136" customWidth="1"/>
    <col min="14065" max="14065" width="21.42578125" style="136" customWidth="1"/>
    <col min="14066" max="14066" width="20.85546875" style="136" customWidth="1"/>
    <col min="14067" max="14067" width="0" style="136" hidden="1" customWidth="1"/>
    <col min="14068" max="14315" width="9.140625" style="136"/>
    <col min="14316" max="14316" width="21.42578125" style="136" customWidth="1"/>
    <col min="14317" max="14317" width="16.42578125" style="136" customWidth="1"/>
    <col min="14318" max="14318" width="18" style="136" customWidth="1"/>
    <col min="14319" max="14319" width="23.7109375" style="136" customWidth="1"/>
    <col min="14320" max="14320" width="26" style="136" customWidth="1"/>
    <col min="14321" max="14321" width="21.42578125" style="136" customWidth="1"/>
    <col min="14322" max="14322" width="20.85546875" style="136" customWidth="1"/>
    <col min="14323" max="14323" width="0" style="136" hidden="1" customWidth="1"/>
    <col min="14324" max="14571" width="9.140625" style="136"/>
    <col min="14572" max="14572" width="21.42578125" style="136" customWidth="1"/>
    <col min="14573" max="14573" width="16.42578125" style="136" customWidth="1"/>
    <col min="14574" max="14574" width="18" style="136" customWidth="1"/>
    <col min="14575" max="14575" width="23.7109375" style="136" customWidth="1"/>
    <col min="14576" max="14576" width="26" style="136" customWidth="1"/>
    <col min="14577" max="14577" width="21.42578125" style="136" customWidth="1"/>
    <col min="14578" max="14578" width="20.85546875" style="136" customWidth="1"/>
    <col min="14579" max="14579" width="0" style="136" hidden="1" customWidth="1"/>
    <col min="14580" max="14827" width="9.140625" style="136"/>
    <col min="14828" max="14828" width="21.42578125" style="136" customWidth="1"/>
    <col min="14829" max="14829" width="16.42578125" style="136" customWidth="1"/>
    <col min="14830" max="14830" width="18" style="136" customWidth="1"/>
    <col min="14831" max="14831" width="23.7109375" style="136" customWidth="1"/>
    <col min="14832" max="14832" width="26" style="136" customWidth="1"/>
    <col min="14833" max="14833" width="21.42578125" style="136" customWidth="1"/>
    <col min="14834" max="14834" width="20.85546875" style="136" customWidth="1"/>
    <col min="14835" max="14835" width="0" style="136" hidden="1" customWidth="1"/>
    <col min="14836" max="15083" width="9.140625" style="136"/>
    <col min="15084" max="15084" width="21.42578125" style="136" customWidth="1"/>
    <col min="15085" max="15085" width="16.42578125" style="136" customWidth="1"/>
    <col min="15086" max="15086" width="18" style="136" customWidth="1"/>
    <col min="15087" max="15087" width="23.7109375" style="136" customWidth="1"/>
    <col min="15088" max="15088" width="26" style="136" customWidth="1"/>
    <col min="15089" max="15089" width="21.42578125" style="136" customWidth="1"/>
    <col min="15090" max="15090" width="20.85546875" style="136" customWidth="1"/>
    <col min="15091" max="15091" width="0" style="136" hidden="1" customWidth="1"/>
    <col min="15092" max="15339" width="9.140625" style="136"/>
    <col min="15340" max="15340" width="21.42578125" style="136" customWidth="1"/>
    <col min="15341" max="15341" width="16.42578125" style="136" customWidth="1"/>
    <col min="15342" max="15342" width="18" style="136" customWidth="1"/>
    <col min="15343" max="15343" width="23.7109375" style="136" customWidth="1"/>
    <col min="15344" max="15344" width="26" style="136" customWidth="1"/>
    <col min="15345" max="15345" width="21.42578125" style="136" customWidth="1"/>
    <col min="15346" max="15346" width="20.85546875" style="136" customWidth="1"/>
    <col min="15347" max="15347" width="0" style="136" hidden="1" customWidth="1"/>
    <col min="15348" max="15595" width="9.140625" style="136"/>
    <col min="15596" max="15596" width="21.42578125" style="136" customWidth="1"/>
    <col min="15597" max="15597" width="16.42578125" style="136" customWidth="1"/>
    <col min="15598" max="15598" width="18" style="136" customWidth="1"/>
    <col min="15599" max="15599" width="23.7109375" style="136" customWidth="1"/>
    <col min="15600" max="15600" width="26" style="136" customWidth="1"/>
    <col min="15601" max="15601" width="21.42578125" style="136" customWidth="1"/>
    <col min="15602" max="15602" width="20.85546875" style="136" customWidth="1"/>
    <col min="15603" max="15603" width="0" style="136" hidden="1" customWidth="1"/>
    <col min="15604" max="15851" width="9.140625" style="136"/>
    <col min="15852" max="15852" width="21.42578125" style="136" customWidth="1"/>
    <col min="15853" max="15853" width="16.42578125" style="136" customWidth="1"/>
    <col min="15854" max="15854" width="18" style="136" customWidth="1"/>
    <col min="15855" max="15855" width="23.7109375" style="136" customWidth="1"/>
    <col min="15856" max="15856" width="26" style="136" customWidth="1"/>
    <col min="15857" max="15857" width="21.42578125" style="136" customWidth="1"/>
    <col min="15858" max="15858" width="20.85546875" style="136" customWidth="1"/>
    <col min="15859" max="15859" width="0" style="136" hidden="1" customWidth="1"/>
    <col min="15860" max="16107" width="9.140625" style="136"/>
    <col min="16108" max="16108" width="21.42578125" style="136" customWidth="1"/>
    <col min="16109" max="16109" width="16.42578125" style="136" customWidth="1"/>
    <col min="16110" max="16110" width="18" style="136" customWidth="1"/>
    <col min="16111" max="16111" width="23.7109375" style="136" customWidth="1"/>
    <col min="16112" max="16112" width="26" style="136" customWidth="1"/>
    <col min="16113" max="16113" width="21.42578125" style="136" customWidth="1"/>
    <col min="16114" max="16114" width="20.85546875" style="136" customWidth="1"/>
    <col min="16115" max="16115" width="0" style="136" hidden="1" customWidth="1"/>
    <col min="16116" max="16384" width="9.140625" style="136"/>
  </cols>
  <sheetData>
    <row r="1" spans="2:19" ht="9" customHeight="1" thickBot="1" x14ac:dyDescent="0.25"/>
    <row r="2" spans="2:19" s="138" customFormat="1" ht="30" customHeight="1" thickBot="1" x14ac:dyDescent="0.3">
      <c r="B2" s="158" t="s">
        <v>57</v>
      </c>
      <c r="C2" s="159"/>
      <c r="D2" s="159"/>
      <c r="E2" s="159"/>
      <c r="F2" s="159"/>
      <c r="G2" s="160"/>
      <c r="H2" s="159"/>
      <c r="I2" s="159"/>
      <c r="J2" s="159"/>
      <c r="K2" s="159"/>
      <c r="L2" s="159"/>
      <c r="M2" s="161"/>
      <c r="N2" s="160"/>
      <c r="O2" s="160"/>
      <c r="P2" s="162"/>
    </row>
    <row r="3" spans="2:19" ht="15" x14ac:dyDescent="0.25">
      <c r="G3" s="163"/>
      <c r="M3" s="164"/>
      <c r="N3" s="165"/>
      <c r="O3" s="165"/>
      <c r="P3" s="165"/>
      <c r="R3" s="728" t="s">
        <v>289</v>
      </c>
      <c r="S3" s="729"/>
    </row>
    <row r="4" spans="2:19" ht="45" customHeight="1" x14ac:dyDescent="0.25">
      <c r="B4" s="139" t="s">
        <v>251</v>
      </c>
      <c r="C4" s="140" t="s">
        <v>250</v>
      </c>
      <c r="D4" s="140" t="s">
        <v>58</v>
      </c>
      <c r="E4" s="140" t="s">
        <v>12</v>
      </c>
      <c r="F4" s="140" t="s">
        <v>62</v>
      </c>
      <c r="G4" s="140" t="s">
        <v>165</v>
      </c>
      <c r="H4" s="140" t="s">
        <v>287</v>
      </c>
      <c r="I4" s="140" t="s">
        <v>378</v>
      </c>
      <c r="J4" s="140" t="s">
        <v>379</v>
      </c>
      <c r="K4" s="140" t="s">
        <v>380</v>
      </c>
      <c r="L4" s="140" t="s">
        <v>381</v>
      </c>
      <c r="M4" s="140" t="s">
        <v>164</v>
      </c>
      <c r="N4" s="140" t="s">
        <v>60</v>
      </c>
      <c r="O4" s="140" t="s">
        <v>61</v>
      </c>
      <c r="P4" s="141" t="s">
        <v>62</v>
      </c>
      <c r="R4" s="724" t="s">
        <v>382</v>
      </c>
      <c r="S4" s="726" t="s">
        <v>288</v>
      </c>
    </row>
    <row r="5" spans="2:19" ht="15.75" customHeight="1" x14ac:dyDescent="0.25">
      <c r="B5" s="142" t="s">
        <v>59</v>
      </c>
      <c r="C5" s="143" t="s">
        <v>56</v>
      </c>
      <c r="D5" s="143" t="s">
        <v>0</v>
      </c>
      <c r="E5" s="143" t="s">
        <v>0</v>
      </c>
      <c r="F5" s="143" t="s">
        <v>0</v>
      </c>
      <c r="G5" s="144" t="s">
        <v>0</v>
      </c>
      <c r="H5" s="144" t="s">
        <v>0</v>
      </c>
      <c r="I5" s="144" t="s">
        <v>0</v>
      </c>
      <c r="J5" s="144" t="s">
        <v>0</v>
      </c>
      <c r="K5" s="143" t="s">
        <v>0</v>
      </c>
      <c r="L5" s="143" t="s">
        <v>0</v>
      </c>
      <c r="M5" s="144" t="s">
        <v>0</v>
      </c>
      <c r="N5" s="144" t="s">
        <v>0</v>
      </c>
      <c r="O5" s="143" t="s">
        <v>1</v>
      </c>
      <c r="P5" s="145" t="s">
        <v>63</v>
      </c>
      <c r="R5" s="725"/>
      <c r="S5" s="727"/>
    </row>
    <row r="6" spans="2:19" ht="15.75" customHeight="1" x14ac:dyDescent="0.2">
      <c r="B6" s="146">
        <v>0</v>
      </c>
      <c r="C6" s="147"/>
      <c r="D6" s="148"/>
      <c r="E6" s="148"/>
      <c r="F6" s="148"/>
      <c r="G6" s="149"/>
      <c r="H6" s="148"/>
      <c r="I6" s="148"/>
      <c r="J6" s="148"/>
      <c r="K6" s="148"/>
      <c r="M6" s="149">
        <f>'Cash Flow'!F67</f>
        <v>-3371851.5683789058</v>
      </c>
      <c r="N6" s="149">
        <f>M6</f>
        <v>-3371851.5683789058</v>
      </c>
      <c r="O6" s="166"/>
      <c r="P6" s="167"/>
      <c r="R6" s="341"/>
      <c r="S6" s="342"/>
    </row>
    <row r="7" spans="2:19" s="154" customFormat="1" x14ac:dyDescent="0.2">
      <c r="B7" s="150">
        <v>1</v>
      </c>
      <c r="C7" s="151">
        <f>IF($B7&gt;Inputs!$G$15,"",IF($B7&lt;=Inputs!$Q$8,LOOKUP($B7,'Cash Flow'!$F$2:$AJ$2,'Cash Flow'!$F$14:$AJ$14),LOOKUP($B7,'Cash Flow'!$F$2:$AJ$2,'Cash Flow'!$F$16:$AJ$16)))</f>
        <v>28.05</v>
      </c>
      <c r="D7" s="149">
        <f>IF($B7&gt;Inputs!$G$15,"",LOOKUP($B7,'Cash Flow'!$F$2:$AJ$2,'Cash Flow'!$F$23:$AJ$23))</f>
        <v>980162.27644452266</v>
      </c>
      <c r="E7" s="149">
        <f>IF($B7&gt;Inputs!$G$15,"",LOOKUP($B7,'Cash Flow'!$F$2:$AJ$2,'Cash Flow'!$F$35:$AJ$35))</f>
        <v>-173113.099705475</v>
      </c>
      <c r="F7" s="149">
        <f>IF($B7&gt;Inputs!$G$15,"",LOOKUP($B7,'Cash Flow'!$F$2:$AJ$2,'Cash Flow'!$F$85:$AJ$85))</f>
        <v>-246046.18910444598</v>
      </c>
      <c r="G7" s="149">
        <f>IF($B7&gt;Inputs!$G$15,"",LOOKUP($B7,'Cash Flow'!$F$2:$AJ$2,'Cash Flow'!$F$47:$AJ$47)+LOOKUP($B7,'Cash Flow'!$F$2:$AJ$2,'Cash Flow'!$F$48:$AJ$48))</f>
        <v>-57444.444444444445</v>
      </c>
      <c r="H7" s="149">
        <f>IF($B7&gt;Inputs!$G$15,"",SUM(D7:G7))</f>
        <v>503558.54319015722</v>
      </c>
      <c r="I7" s="149">
        <f>IF($B7&gt;Inputs!$G$15,"",LOOKUP($B7,'Cash Flow'!$F$2:$AJ$2,'Cash Flow'!$F$60:$AJ$60))</f>
        <v>0</v>
      </c>
      <c r="J7" s="149">
        <f>IF($B7&gt;Inputs!$G$15,"",LOOKUP($B7,'Cash Flow'!$F$2:$AJ$2,'Cash Flow'!$F$61:$AJ$61))</f>
        <v>0</v>
      </c>
      <c r="K7" s="149">
        <f>IF($B7&gt;Inputs!$G$15,"",LOOKUP($B7,'Cash Flow'!$F$2:$AJ$2,'Cash Flow'!$F$63:$AJ$63)+LOOKUP($B7,'Cash Flow'!$F$2:$AJ$2,'Cash Flow'!$F$65:$AJ$65))</f>
        <v>0</v>
      </c>
      <c r="L7" s="149">
        <f>IF($B7&gt;Inputs!$G$15,"",LOOKUP($B7,'Cash Flow'!$F$2:$AJ$2,'Cash Flow'!$F$64:$AJ$64)+LOOKUP($B7,'Cash Flow'!$F$2:$AJ$2,'Cash Flow'!$F$66:$AJ$66))</f>
        <v>0</v>
      </c>
      <c r="M7" s="149">
        <f>IF($B7&gt;Inputs!$G$15,"",H7+K7+L7)</f>
        <v>503558.54319015722</v>
      </c>
      <c r="N7" s="149">
        <f>IF($B7&gt;Inputs!$G$15,N6,N6+M7)</f>
        <v>-2868293.0251887487</v>
      </c>
      <c r="O7" s="152">
        <f>IF($B7&gt;Inputs!$G$15,"",LOOKUP($B7,'Cash Flow'!$F$2:$AJ$2,'Cash Flow'!$F$68:$AJ$68))</f>
        <v>-0.85065815235981623</v>
      </c>
      <c r="P7" s="153">
        <f>IF($B7&gt;Inputs!$G$15,"",LOOKUP($B7,'Cash Flow'!$F$2:$AJ$2,'Cash Flow'!$F$41:$AJ$41))</f>
        <v>3.046601676794912</v>
      </c>
      <c r="R7" s="343">
        <f>IF($B7&gt;Inputs!$G$15,"",D7+K7+L7)</f>
        <v>980162.27644452266</v>
      </c>
      <c r="S7" s="344">
        <f>IF($B7&gt;Inputs!$G$15,"",-(E7+F7+G7))</f>
        <v>476603.73325436545</v>
      </c>
    </row>
    <row r="8" spans="2:19" s="154" customFormat="1" ht="15.75" customHeight="1" x14ac:dyDescent="0.2">
      <c r="B8" s="155">
        <v>2</v>
      </c>
      <c r="C8" s="151">
        <f>IF($B8&gt;Inputs!$G$15,"",IF($B8&lt;=Inputs!$Q$8,LOOKUP($B8,'Cash Flow'!$F$2:$AJ$2,'Cash Flow'!$F$14:$AJ$14),LOOKUP($B8,'Cash Flow'!$F$2:$AJ$2,'Cash Flow'!$F$16:$AJ$16)))</f>
        <v>28.611000000000001</v>
      </c>
      <c r="D8" s="149">
        <f>IF($B8&gt;Inputs!$G$15,"",LOOKUP($B8,'Cash Flow'!$F$2:$AJ$2,'Cash Flow'!$F$23:$AJ$23))</f>
        <v>995846.27626283583</v>
      </c>
      <c r="E8" s="149">
        <f>IF($B8&gt;Inputs!$G$15,"",LOOKUP($B8,'Cash Flow'!$F$2:$AJ$2,'Cash Flow'!$F$35:$AJ$35))</f>
        <v>-170048.95074385434</v>
      </c>
      <c r="F8" s="149">
        <f>IF($B8&gt;Inputs!$G$15,"",LOOKUP($B8,'Cash Flow'!$F$2:$AJ$2,'Cash Flow'!$F$85:$AJ$85))</f>
        <v>-246046.18910444598</v>
      </c>
      <c r="G8" s="149">
        <f>IF($B8&gt;Inputs!$G$15,"",LOOKUP($B8,'Cash Flow'!$F$2:$AJ$2,'Cash Flow'!$F$47:$AJ$47)+LOOKUP($B8,'Cash Flow'!$F$2:$AJ$2,'Cash Flow'!$F$48:$AJ$48))</f>
        <v>-57444.444444444445</v>
      </c>
      <c r="H8" s="149">
        <f>IF($B8&gt;Inputs!$G$15,"",SUM(D8:G8))</f>
        <v>522306.69197009114</v>
      </c>
      <c r="I8" s="149">
        <f>IF($B8&gt;Inputs!$G$15,"",LOOKUP($B8,'Cash Flow'!$F$2:$AJ$2,'Cash Flow'!$F$60:$AJ$60))</f>
        <v>0</v>
      </c>
      <c r="J8" s="149">
        <f>IF($B8&gt;Inputs!$G$15,"",LOOKUP($B8,'Cash Flow'!$F$2:$AJ$2,'Cash Flow'!$F$61:$AJ$61))</f>
        <v>0</v>
      </c>
      <c r="K8" s="149">
        <f>IF($B8&gt;Inputs!$G$15,"",LOOKUP($B8,'Cash Flow'!$F$2:$AJ$2,'Cash Flow'!$F$63:$AJ$63)+LOOKUP($B8,'Cash Flow'!$F$2:$AJ$2,'Cash Flow'!$F$65:$AJ$65))</f>
        <v>0</v>
      </c>
      <c r="L8" s="149">
        <f>IF($B8&gt;Inputs!$G$15,"",LOOKUP($B8,'Cash Flow'!$F$2:$AJ$2,'Cash Flow'!$F$64:$AJ$64)+LOOKUP($B8,'Cash Flow'!$F$2:$AJ$2,'Cash Flow'!$F$66:$AJ$66))</f>
        <v>0</v>
      </c>
      <c r="M8" s="149">
        <f>IF($B8&gt;Inputs!$G$15,"",H8+K8+L8)</f>
        <v>522306.69197009114</v>
      </c>
      <c r="N8" s="149">
        <f>IF($B8&gt;Inputs!$G$15,N7,N7+M8)</f>
        <v>-2345986.3332186574</v>
      </c>
      <c r="O8" s="152">
        <f>IF($B8&gt;Inputs!$G$15,"",LOOKUP($B8,'Cash Flow'!$F$2:$AJ$2,'Cash Flow'!$F$68:$AJ$68))</f>
        <v>-0.52473228577743258</v>
      </c>
      <c r="P8" s="153">
        <f>IF($B8&gt;Inputs!$G$15,"",LOOKUP($B8,'Cash Flow'!$F$2:$AJ$2,'Cash Flow'!$F$41:$AJ$41))</f>
        <v>3.1227993567840762</v>
      </c>
      <c r="R8" s="343">
        <f>IF($B8&gt;Inputs!$G$15,"",D8+K8+L8)</f>
        <v>995846.27626283583</v>
      </c>
      <c r="S8" s="344">
        <f>IF($B8&gt;Inputs!$G$15,"",-(E8+F8+G8))</f>
        <v>473539.58429274475</v>
      </c>
    </row>
    <row r="9" spans="2:19" x14ac:dyDescent="0.2">
      <c r="B9" s="150">
        <v>3</v>
      </c>
      <c r="C9" s="151">
        <f>IF($B9&gt;Inputs!$G$15,"",IF($B9&lt;=Inputs!$Q$8,LOOKUP($B9,'Cash Flow'!$F$2:$AJ$2,'Cash Flow'!$F$14:$AJ$14),LOOKUP($B9,'Cash Flow'!$F$2:$AJ$2,'Cash Flow'!$F$16:$AJ$16)))</f>
        <v>29.183220000000002</v>
      </c>
      <c r="D9" s="149">
        <f>IF($B9&gt;Inputs!$G$15,"",LOOKUP($B9,'Cash Flow'!$F$2:$AJ$2,'Cash Flow'!$F$23:$AJ$23))</f>
        <v>1011746.8492339975</v>
      </c>
      <c r="E9" s="149">
        <f>IF($B9&gt;Inputs!$G$15,"",LOOKUP($B9,'Cash Flow'!$F$2:$AJ$2,'Cash Flow'!$F$35:$AJ$35))</f>
        <v>-167515.27644781771</v>
      </c>
      <c r="F9" s="149">
        <f>IF($B9&gt;Inputs!$G$15,"",LOOKUP($B9,'Cash Flow'!$F$2:$AJ$2,'Cash Flow'!$F$85:$AJ$85))</f>
        <v>-246046.18910444598</v>
      </c>
      <c r="G9" s="149">
        <f>IF($B9&gt;Inputs!$G$15,"",LOOKUP($B9,'Cash Flow'!$F$2:$AJ$2,'Cash Flow'!$F$47:$AJ$47)+LOOKUP($B9,'Cash Flow'!$F$2:$AJ$2,'Cash Flow'!$F$48:$AJ$48))</f>
        <v>-57444.444444444445</v>
      </c>
      <c r="H9" s="149">
        <f>IF($B9&gt;Inputs!$G$15,"",SUM(D9:G9))</f>
        <v>540740.93923728936</v>
      </c>
      <c r="I9" s="149">
        <f>IF($B9&gt;Inputs!$G$15,"",LOOKUP($B9,'Cash Flow'!$F$2:$AJ$2,'Cash Flow'!$F$60:$AJ$60))</f>
        <v>0</v>
      </c>
      <c r="J9" s="149">
        <f>IF($B9&gt;Inputs!$G$15,"",LOOKUP($B9,'Cash Flow'!$F$2:$AJ$2,'Cash Flow'!$F$61:$AJ$61))</f>
        <v>0</v>
      </c>
      <c r="K9" s="149">
        <f>IF($B9&gt;Inputs!$G$15,"",LOOKUP($B9,'Cash Flow'!$F$2:$AJ$2,'Cash Flow'!$F$63:$AJ$63)+LOOKUP($B9,'Cash Flow'!$F$2:$AJ$2,'Cash Flow'!$F$65:$AJ$65))</f>
        <v>0</v>
      </c>
      <c r="L9" s="149">
        <f>IF($B9&gt;Inputs!$G$15,"",LOOKUP($B9,'Cash Flow'!$F$2:$AJ$2,'Cash Flow'!$F$64:$AJ$64)+LOOKUP($B9,'Cash Flow'!$F$2:$AJ$2,'Cash Flow'!$F$66:$AJ$66))</f>
        <v>0</v>
      </c>
      <c r="M9" s="149">
        <f>IF($B9&gt;Inputs!$G$15,"",H9+K9+L9)</f>
        <v>540740.93923728936</v>
      </c>
      <c r="N9" s="149">
        <f>IF($B9&gt;Inputs!$G$15,N8,N8+M9)</f>
        <v>-1805245.393981368</v>
      </c>
      <c r="O9" s="152">
        <f>IF($B9&gt;Inputs!$G$15,"",LOOKUP($B9,'Cash Flow'!$F$2:$AJ$2,'Cash Flow'!$F$68:$AJ$68))</f>
        <v>-0.30092547618662713</v>
      </c>
      <c r="P9" s="153">
        <f>IF($B9&gt;Inputs!$G$15,"",LOOKUP($B9,'Cash Flow'!$F$2:$AJ$2,'Cash Flow'!$F$41:$AJ$41))</f>
        <v>3.197721253905486</v>
      </c>
      <c r="R9" s="343">
        <f>IF($B9&gt;Inputs!$G$15,"",D9+K9+L9)</f>
        <v>1011746.8492339975</v>
      </c>
      <c r="S9" s="344">
        <f>IF($B9&gt;Inputs!$G$15,"",-(E9+F9+G9))</f>
        <v>471005.9099967081</v>
      </c>
    </row>
    <row r="10" spans="2:19" x14ac:dyDescent="0.2">
      <c r="B10" s="150">
        <v>4</v>
      </c>
      <c r="C10" s="151">
        <f>IF($B10&gt;Inputs!$G$15,"",IF($B10&lt;=Inputs!$Q$8,LOOKUP($B10,'Cash Flow'!$F$2:$AJ$2,'Cash Flow'!$F$14:$AJ$14),LOOKUP($B10,'Cash Flow'!$F$2:$AJ$2,'Cash Flow'!$F$16:$AJ$16)))</f>
        <v>29.766884400000002</v>
      </c>
      <c r="D10" s="149">
        <f>IF($B10&gt;Inputs!$G$15,"",LOOKUP($B10,'Cash Flow'!$F$2:$AJ$2,'Cash Flow'!$F$23:$AJ$23))</f>
        <v>1027867.2222979849</v>
      </c>
      <c r="E10" s="149">
        <f>IF($B10&gt;Inputs!$G$15,"",LOOKUP($B10,'Cash Flow'!$F$2:$AJ$2,'Cash Flow'!$F$35:$AJ$35))</f>
        <v>-165462.55705442777</v>
      </c>
      <c r="F10" s="149">
        <f>IF($B10&gt;Inputs!$G$15,"",LOOKUP($B10,'Cash Flow'!$F$2:$AJ$2,'Cash Flow'!$F$85:$AJ$85))</f>
        <v>-246046.18910444598</v>
      </c>
      <c r="G10" s="149">
        <f>IF($B10&gt;Inputs!$G$15,"",LOOKUP($B10,'Cash Flow'!$F$2:$AJ$2,'Cash Flow'!$F$47:$AJ$47)+LOOKUP($B10,'Cash Flow'!$F$2:$AJ$2,'Cash Flow'!$F$48:$AJ$48))</f>
        <v>-57444.444444444445</v>
      </c>
      <c r="H10" s="149">
        <f>IF($B10&gt;Inputs!$G$15,"",SUM(D10:G10))</f>
        <v>558914.0316946666</v>
      </c>
      <c r="I10" s="149">
        <f>IF($B10&gt;Inputs!$G$15,"",LOOKUP($B10,'Cash Flow'!$F$2:$AJ$2,'Cash Flow'!$F$60:$AJ$60))</f>
        <v>0</v>
      </c>
      <c r="J10" s="149">
        <f>IF($B10&gt;Inputs!$G$15,"",LOOKUP($B10,'Cash Flow'!$F$2:$AJ$2,'Cash Flow'!$F$61:$AJ$61))</f>
        <v>0</v>
      </c>
      <c r="K10" s="149">
        <f>IF($B10&gt;Inputs!$G$15,"",LOOKUP($B10,'Cash Flow'!$F$2:$AJ$2,'Cash Flow'!$F$63:$AJ$63)+LOOKUP($B10,'Cash Flow'!$F$2:$AJ$2,'Cash Flow'!$F$65:$AJ$65))</f>
        <v>0</v>
      </c>
      <c r="L10" s="149">
        <f>IF($B10&gt;Inputs!$G$15,"",LOOKUP($B10,'Cash Flow'!$F$2:$AJ$2,'Cash Flow'!$F$64:$AJ$64)+LOOKUP($B10,'Cash Flow'!$F$2:$AJ$2,'Cash Flow'!$F$66:$AJ$66))</f>
        <v>0</v>
      </c>
      <c r="M10" s="149">
        <f>IF($B10&gt;Inputs!$G$15,"",H10+K10+L10)</f>
        <v>558914.0316946666</v>
      </c>
      <c r="N10" s="149">
        <f>IF($B10&gt;Inputs!$G$15,N9,N9+M10)</f>
        <v>-1246331.3622867013</v>
      </c>
      <c r="O10" s="152">
        <f>IF($B10&gt;Inputs!$G$15,"",LOOKUP($B10,'Cash Flow'!$F$2:$AJ$2,'Cash Flow'!$F$68:$AJ$68))</f>
        <v>-0.15974807726122853</v>
      </c>
      <c r="P10" s="153">
        <f>IF($B10&gt;Inputs!$G$15,"",LOOKUP($B10,'Cash Flow'!$F$2:$AJ$2,'Cash Flow'!$F$41:$AJ$41))</f>
        <v>3.2715817453990681</v>
      </c>
      <c r="R10" s="343">
        <f>IF($B10&gt;Inputs!$G$15,"",D10+K10+L10)</f>
        <v>1027867.2222979849</v>
      </c>
      <c r="S10" s="344">
        <f>IF($B10&gt;Inputs!$G$15,"",-(E10+F10+G10))</f>
        <v>468953.19060331822</v>
      </c>
    </row>
    <row r="11" spans="2:19" x14ac:dyDescent="0.2">
      <c r="B11" s="155">
        <v>5</v>
      </c>
      <c r="C11" s="151">
        <f>IF($B11&gt;Inputs!$G$15,"",IF($B11&lt;=Inputs!$Q$8,LOOKUP($B11,'Cash Flow'!$F$2:$AJ$2,'Cash Flow'!$F$14:$AJ$14),LOOKUP($B11,'Cash Flow'!$F$2:$AJ$2,'Cash Flow'!$F$16:$AJ$16)))</f>
        <v>30.362222088000003</v>
      </c>
      <c r="D11" s="149">
        <f>IF($B11&gt;Inputs!$G$15,"",LOOKUP($B11,'Cash Flow'!$F$2:$AJ$2,'Cash Flow'!$F$23:$AJ$23))</f>
        <v>1044210.6704761812</v>
      </c>
      <c r="E11" s="149">
        <f>IF($B11&gt;Inputs!$G$15,"",LOOKUP($B11,'Cash Flow'!$F$2:$AJ$2,'Cash Flow'!$F$35:$AJ$35))</f>
        <v>-163846.28037575062</v>
      </c>
      <c r="F11" s="149">
        <f>IF($B11&gt;Inputs!$G$15,"",LOOKUP($B11,'Cash Flow'!$F$2:$AJ$2,'Cash Flow'!$F$85:$AJ$85))</f>
        <v>-246046.18910444598</v>
      </c>
      <c r="G11" s="149">
        <f>IF($B11&gt;Inputs!$G$15,"",LOOKUP($B11,'Cash Flow'!$F$2:$AJ$2,'Cash Flow'!$F$47:$AJ$47)+LOOKUP($B11,'Cash Flow'!$F$2:$AJ$2,'Cash Flow'!$F$48:$AJ$48))</f>
        <v>-57444.444444444445</v>
      </c>
      <c r="H11" s="149">
        <f>IF($B11&gt;Inputs!$G$15,"",SUM(D11:G11))</f>
        <v>576873.75655154011</v>
      </c>
      <c r="I11" s="149">
        <f>IF($B11&gt;Inputs!$G$15,"",LOOKUP($B11,'Cash Flow'!$F$2:$AJ$2,'Cash Flow'!$F$60:$AJ$60))</f>
        <v>0</v>
      </c>
      <c r="J11" s="149">
        <f>IF($B11&gt;Inputs!$G$15,"",LOOKUP($B11,'Cash Flow'!$F$2:$AJ$2,'Cash Flow'!$F$61:$AJ$61))</f>
        <v>0</v>
      </c>
      <c r="K11" s="149">
        <f>IF($B11&gt;Inputs!$G$15,"",LOOKUP($B11,'Cash Flow'!$F$2:$AJ$2,'Cash Flow'!$F$63:$AJ$63)+LOOKUP($B11,'Cash Flow'!$F$2:$AJ$2,'Cash Flow'!$F$65:$AJ$65))</f>
        <v>0</v>
      </c>
      <c r="L11" s="149">
        <f>IF($B11&gt;Inputs!$G$15,"",LOOKUP($B11,'Cash Flow'!$F$2:$AJ$2,'Cash Flow'!$F$64:$AJ$64)+LOOKUP($B11,'Cash Flow'!$F$2:$AJ$2,'Cash Flow'!$F$66:$AJ$66))</f>
        <v>0</v>
      </c>
      <c r="M11" s="149">
        <f>IF($B11&gt;Inputs!$G$15,"",H11+K11+L11)</f>
        <v>576873.75655154011</v>
      </c>
      <c r="N11" s="149">
        <f>IF($B11&gt;Inputs!$G$15,N10,N10+M11)</f>
        <v>-669457.60573516123</v>
      </c>
      <c r="O11" s="152">
        <f>IF($B11&gt;Inputs!$G$15,"",LOOKUP($B11,'Cash Flow'!$F$2:$AJ$2,'Cash Flow'!$F$68:$AJ$68))</f>
        <v>-6.8101909925190829E-2</v>
      </c>
      <c r="P11" s="153">
        <f>IF($B11&gt;Inputs!$G$15,"",LOOKUP($B11,'Cash Flow'!$F$2:$AJ$2,'Cash Flow'!$F$41:$AJ$41))</f>
        <v>3.3445750517463151</v>
      </c>
      <c r="R11" s="343">
        <f>IF($B11&gt;Inputs!$G$15,"",D11+K11+L11)</f>
        <v>1044210.6704761812</v>
      </c>
      <c r="S11" s="344">
        <f>IF($B11&gt;Inputs!$G$15,"",-(E11+F11+G11))</f>
        <v>467336.91392464103</v>
      </c>
    </row>
    <row r="12" spans="2:19" x14ac:dyDescent="0.2">
      <c r="B12" s="150">
        <v>6</v>
      </c>
      <c r="C12" s="151">
        <f>IF($B12&gt;Inputs!$G$15,"",IF($B12&lt;=Inputs!$Q$8,LOOKUP($B12,'Cash Flow'!$F$2:$AJ$2,'Cash Flow'!$F$14:$AJ$14),LOOKUP($B12,'Cash Flow'!$F$2:$AJ$2,'Cash Flow'!$F$16:$AJ$16)))</f>
        <v>30.969466529760002</v>
      </c>
      <c r="D12" s="149">
        <f>IF($B12&gt;Inputs!$G$15,"",LOOKUP($B12,'Cash Flow'!$F$2:$AJ$2,'Cash Flow'!$F$23:$AJ$23))</f>
        <v>1060780.5175877884</v>
      </c>
      <c r="E12" s="149">
        <f>IF($B12&gt;Inputs!$G$15,"",LOOKUP($B12,'Cash Flow'!$F$2:$AJ$2,'Cash Flow'!$F$35:$AJ$35))</f>
        <v>-162626.44191844403</v>
      </c>
      <c r="F12" s="149">
        <f>IF($B12&gt;Inputs!$G$15,"",LOOKUP($B12,'Cash Flow'!$F$2:$AJ$2,'Cash Flow'!$F$85:$AJ$85))</f>
        <v>-246046.18910444598</v>
      </c>
      <c r="G12" s="149">
        <f>IF($B12&gt;Inputs!$G$15,"",LOOKUP($B12,'Cash Flow'!$F$2:$AJ$2,'Cash Flow'!$F$47:$AJ$47)+LOOKUP($B12,'Cash Flow'!$F$2:$AJ$2,'Cash Flow'!$F$48:$AJ$48))</f>
        <v>-57444.444444444445</v>
      </c>
      <c r="H12" s="149">
        <f>IF($B12&gt;Inputs!$G$15,"",SUM(D12:G12))</f>
        <v>594663.44212045392</v>
      </c>
      <c r="I12" s="149">
        <f>IF($B12&gt;Inputs!$G$15,"",LOOKUP($B12,'Cash Flow'!$F$2:$AJ$2,'Cash Flow'!$F$60:$AJ$60))</f>
        <v>0</v>
      </c>
      <c r="J12" s="149">
        <f>IF($B12&gt;Inputs!$G$15,"",LOOKUP($B12,'Cash Flow'!$F$2:$AJ$2,'Cash Flow'!$F$61:$AJ$61))</f>
        <v>0</v>
      </c>
      <c r="K12" s="149">
        <f>IF($B12&gt;Inputs!$G$15,"",LOOKUP($B12,'Cash Flow'!$F$2:$AJ$2,'Cash Flow'!$F$63:$AJ$63)+LOOKUP($B12,'Cash Flow'!$F$2:$AJ$2,'Cash Flow'!$F$65:$AJ$65))</f>
        <v>0</v>
      </c>
      <c r="L12" s="149">
        <f>IF($B12&gt;Inputs!$G$15,"",LOOKUP($B12,'Cash Flow'!$F$2:$AJ$2,'Cash Flow'!$F$64:$AJ$64)+LOOKUP($B12,'Cash Flow'!$F$2:$AJ$2,'Cash Flow'!$F$66:$AJ$66))</f>
        <v>0</v>
      </c>
      <c r="M12" s="149">
        <f>IF($B12&gt;Inputs!$G$15,"",H12+K12+L12)</f>
        <v>594663.44212045392</v>
      </c>
      <c r="N12" s="149">
        <f>IF($B12&gt;Inputs!$G$15,N11,N11+M12)</f>
        <v>-74794.1636147073</v>
      </c>
      <c r="O12" s="152">
        <f>IF($B12&gt;Inputs!$G$15,"",LOOKUP($B12,'Cash Flow'!$F$2:$AJ$2,'Cash Flow'!$F$68:$AJ$68))</f>
        <v>-6.201853358988707E-3</v>
      </c>
      <c r="P12" s="153">
        <f>IF($B12&gt;Inputs!$G$15,"",LOOKUP($B12,'Cash Flow'!$F$2:$AJ$2,'Cash Flow'!$F$41:$AJ$41))</f>
        <v>3.4168772712347146</v>
      </c>
      <c r="R12" s="343">
        <f>IF($B12&gt;Inputs!$G$15,"",D12+K12+L12)</f>
        <v>1060780.5175877884</v>
      </c>
      <c r="S12" s="344">
        <f>IF($B12&gt;Inputs!$G$15,"",-(E12+F12+G12))</f>
        <v>466117.07546733442</v>
      </c>
    </row>
    <row r="13" spans="2:19" x14ac:dyDescent="0.2">
      <c r="B13" s="150">
        <v>7</v>
      </c>
      <c r="C13" s="151">
        <f>IF($B13&gt;Inputs!$G$15,"",IF($B13&lt;=Inputs!$Q$8,LOOKUP($B13,'Cash Flow'!$F$2:$AJ$2,'Cash Flow'!$F$14:$AJ$14),LOOKUP($B13,'Cash Flow'!$F$2:$AJ$2,'Cash Flow'!$F$16:$AJ$16)))</f>
        <v>31.588855860355203</v>
      </c>
      <c r="D13" s="149">
        <f>IF($B13&gt;Inputs!$G$15,"",LOOKUP($B13,'Cash Flow'!$F$2:$AJ$2,'Cash Flow'!$F$23:$AJ$23))</f>
        <v>1077580.136976914</v>
      </c>
      <c r="E13" s="149">
        <f>IF($B13&gt;Inputs!$G$15,"",LOOKUP($B13,'Cash Flow'!$F$2:$AJ$2,'Cash Flow'!$F$35:$AJ$35))</f>
        <v>-161767.09500523508</v>
      </c>
      <c r="F13" s="149">
        <f>IF($B13&gt;Inputs!$G$15,"",LOOKUP($B13,'Cash Flow'!$F$2:$AJ$2,'Cash Flow'!$F$85:$AJ$85))</f>
        <v>-246046.18910444598</v>
      </c>
      <c r="G13" s="149">
        <f>IF($B13&gt;Inputs!$G$15,"",LOOKUP($B13,'Cash Flow'!$F$2:$AJ$2,'Cash Flow'!$F$47:$AJ$47)+LOOKUP($B13,'Cash Flow'!$F$2:$AJ$2,'Cash Flow'!$F$48:$AJ$48))</f>
        <v>-57444.444444444445</v>
      </c>
      <c r="H13" s="149">
        <f>IF($B13&gt;Inputs!$G$15,"",SUM(D13:G13))</f>
        <v>612322.40842278849</v>
      </c>
      <c r="I13" s="149">
        <f>IF($B13&gt;Inputs!$G$15,"",LOOKUP($B13,'Cash Flow'!$F$2:$AJ$2,'Cash Flow'!$F$60:$AJ$60))</f>
        <v>182294.70482703811</v>
      </c>
      <c r="J13" s="149">
        <f>IF($B13&gt;Inputs!$G$15,"",LOOKUP($B13,'Cash Flow'!$F$2:$AJ$2,'Cash Flow'!$F$61:$AJ$61))</f>
        <v>182294.70482703811</v>
      </c>
      <c r="K13" s="149">
        <f>IF($B13&gt;Inputs!$G$15,"",LOOKUP($B13,'Cash Flow'!$F$2:$AJ$2,'Cash Flow'!$F$63:$AJ$63)+LOOKUP($B13,'Cash Flow'!$F$2:$AJ$2,'Cash Flow'!$F$65:$AJ$65))</f>
        <v>0</v>
      </c>
      <c r="L13" s="149">
        <f>IF($B13&gt;Inputs!$G$15,"",LOOKUP($B13,'Cash Flow'!$F$2:$AJ$2,'Cash Flow'!$F$64:$AJ$64)+LOOKUP($B13,'Cash Flow'!$F$2:$AJ$2,'Cash Flow'!$F$66:$AJ$66))</f>
        <v>-15495.049910298239</v>
      </c>
      <c r="M13" s="149">
        <f>IF($B13&gt;Inputs!$G$15,"",H13+K13+L13)</f>
        <v>596827.35851249029</v>
      </c>
      <c r="N13" s="149">
        <f>IF($B13&gt;Inputs!$G$15,N12,N12+M13)</f>
        <v>522033.19489778299</v>
      </c>
      <c r="O13" s="152">
        <f>IF($B13&gt;Inputs!$G$15,"",LOOKUP($B13,'Cash Flow'!$F$2:$AJ$2,'Cash Flow'!$F$68:$AJ$68))</f>
        <v>3.6201859870044428E-2</v>
      </c>
      <c r="P13" s="153">
        <f>IF($B13&gt;Inputs!$G$15,"",LOOKUP($B13,'Cash Flow'!$F$2:$AJ$2,'Cash Flow'!$F$41:$AJ$41))</f>
        <v>3.4886482113440058</v>
      </c>
      <c r="R13" s="343">
        <f>IF($B13&gt;Inputs!$G$15,"",D13+K13+L13)</f>
        <v>1062085.0870666157</v>
      </c>
      <c r="S13" s="344">
        <f>IF($B13&gt;Inputs!$G$15,"",-(E13+F13+G13))</f>
        <v>465257.72855412547</v>
      </c>
    </row>
    <row r="14" spans="2:19" x14ac:dyDescent="0.2">
      <c r="B14" s="155">
        <v>8</v>
      </c>
      <c r="C14" s="151">
        <f>IF($B14&gt;Inputs!$G$15,"",IF($B14&lt;=Inputs!$Q$8,LOOKUP($B14,'Cash Flow'!$F$2:$AJ$2,'Cash Flow'!$F$14:$AJ$14),LOOKUP($B14,'Cash Flow'!$F$2:$AJ$2,'Cash Flow'!$F$16:$AJ$16)))</f>
        <v>32.22063297756231</v>
      </c>
      <c r="D14" s="149">
        <f>IF($B14&gt;Inputs!$G$15,"",LOOKUP($B14,'Cash Flow'!$F$2:$AJ$2,'Cash Flow'!$F$23:$AJ$23))</f>
        <v>1094612.9522504932</v>
      </c>
      <c r="E14" s="149">
        <f>IF($B14&gt;Inputs!$G$15,"",LOOKUP($B14,'Cash Flow'!$F$2:$AJ$2,'Cash Flow'!$F$35:$AJ$35))</f>
        <v>-161235.94589831759</v>
      </c>
      <c r="F14" s="149">
        <f>IF($B14&gt;Inputs!$G$15,"",LOOKUP($B14,'Cash Flow'!$F$2:$AJ$2,'Cash Flow'!$F$85:$AJ$85))</f>
        <v>-246046.18910444592</v>
      </c>
      <c r="G14" s="149">
        <f>IF($B14&gt;Inputs!$G$15,"",LOOKUP($B14,'Cash Flow'!$F$2:$AJ$2,'Cash Flow'!$F$47:$AJ$47)+LOOKUP($B14,'Cash Flow'!$F$2:$AJ$2,'Cash Flow'!$F$48:$AJ$48))</f>
        <v>-57444.444444444445</v>
      </c>
      <c r="H14" s="149">
        <f>IF($B14&gt;Inputs!$G$15,"",SUM(D14:G14))</f>
        <v>629886.37280328525</v>
      </c>
      <c r="I14" s="149">
        <f>IF($B14&gt;Inputs!$G$15,"",LOOKUP($B14,'Cash Flow'!$F$2:$AJ$2,'Cash Flow'!$F$60:$AJ$60))</f>
        <v>751451.07901824825</v>
      </c>
      <c r="J14" s="149">
        <f>IF($B14&gt;Inputs!$G$15,"",LOOKUP($B14,'Cash Flow'!$F$2:$AJ$2,'Cash Flow'!$F$61:$AJ$61))</f>
        <v>751451.07901824825</v>
      </c>
      <c r="K14" s="149">
        <f>IF($B14&gt;Inputs!$G$15,"",LOOKUP($B14,'Cash Flow'!$F$2:$AJ$2,'Cash Flow'!$F$63:$AJ$63)+LOOKUP($B14,'Cash Flow'!$F$2:$AJ$2,'Cash Flow'!$F$65:$AJ$65))</f>
        <v>0</v>
      </c>
      <c r="L14" s="149">
        <f>IF($B14&gt;Inputs!$G$15,"",LOOKUP($B14,'Cash Flow'!$F$2:$AJ$2,'Cash Flow'!$F$64:$AJ$64)+LOOKUP($B14,'Cash Flow'!$F$2:$AJ$2,'Cash Flow'!$F$66:$AJ$66))</f>
        <v>-63873.341716551105</v>
      </c>
      <c r="M14" s="149">
        <f>IF($B14&gt;Inputs!$G$15,"",H14+K14+L14)</f>
        <v>566013.03108673415</v>
      </c>
      <c r="N14" s="149">
        <f>IF($B14&gt;Inputs!$G$15,N13,N13+M14)</f>
        <v>1088046.225984517</v>
      </c>
      <c r="O14" s="152">
        <f>IF($B14&gt;Inputs!$G$15,"",LOOKUP($B14,'Cash Flow'!$F$2:$AJ$2,'Cash Flow'!$F$68:$AJ$68))</f>
        <v>6.4870011562908836E-2</v>
      </c>
      <c r="P14" s="153">
        <f>IF($B14&gt;Inputs!$G$15,"",LOOKUP($B14,'Cash Flow'!$F$2:$AJ$2,'Cash Flow'!$F$41:$AJ$41))</f>
        <v>3.5600330372761846</v>
      </c>
      <c r="R14" s="343">
        <f>IF($B14&gt;Inputs!$G$15,"",D14+K14+L14)</f>
        <v>1030739.6105339421</v>
      </c>
      <c r="S14" s="344">
        <f>IF($B14&gt;Inputs!$G$15,"",-(E14+F14+G14))</f>
        <v>464726.57944720791</v>
      </c>
    </row>
    <row r="15" spans="2:19" x14ac:dyDescent="0.2">
      <c r="B15" s="150">
        <v>9</v>
      </c>
      <c r="C15" s="151">
        <f>IF($B15&gt;Inputs!$G$15,"",IF($B15&lt;=Inputs!$Q$8,LOOKUP($B15,'Cash Flow'!$F$2:$AJ$2,'Cash Flow'!$F$14:$AJ$14),LOOKUP($B15,'Cash Flow'!$F$2:$AJ$2,'Cash Flow'!$F$16:$AJ$16)))</f>
        <v>32.86504563711356</v>
      </c>
      <c r="D15" s="149">
        <f>IF($B15&gt;Inputs!$G$15,"",LOOKUP($B15,'Cash Flow'!$F$2:$AJ$2,'Cash Flow'!$F$23:$AJ$23))</f>
        <v>1111882.438027204</v>
      </c>
      <c r="E15" s="149">
        <f>IF($B15&gt;Inputs!$G$15,"",LOOKUP($B15,'Cash Flow'!$F$2:$AJ$2,'Cash Flow'!$F$35:$AJ$35))</f>
        <v>-161003.98942469858</v>
      </c>
      <c r="F15" s="149">
        <f>IF($B15&gt;Inputs!$G$15,"",LOOKUP($B15,'Cash Flow'!$F$2:$AJ$2,'Cash Flow'!$F$85:$AJ$85))</f>
        <v>-246046.18910444595</v>
      </c>
      <c r="G15" s="149">
        <f>IF($B15&gt;Inputs!$G$15,"",LOOKUP($B15,'Cash Flow'!$F$2:$AJ$2,'Cash Flow'!$F$47:$AJ$47)+LOOKUP($B15,'Cash Flow'!$F$2:$AJ$2,'Cash Flow'!$F$48:$AJ$48))</f>
        <v>-57444.444444444445</v>
      </c>
      <c r="H15" s="149">
        <f>IF($B15&gt;Inputs!$G$15,"",SUM(D15:G15))</f>
        <v>647387.81505361502</v>
      </c>
      <c r="I15" s="149">
        <f>IF($B15&gt;Inputs!$G$15,"",LOOKUP($B15,'Cash Flow'!$F$2:$AJ$2,'Cash Flow'!$F$60:$AJ$60))</f>
        <v>777110.38851202256</v>
      </c>
      <c r="J15" s="149">
        <f>IF($B15&gt;Inputs!$G$15,"",LOOKUP($B15,'Cash Flow'!$F$2:$AJ$2,'Cash Flow'!$F$61:$AJ$61))</f>
        <v>777110.38851202256</v>
      </c>
      <c r="K15" s="149">
        <f>IF($B15&gt;Inputs!$G$15,"",LOOKUP($B15,'Cash Flow'!$F$2:$AJ$2,'Cash Flow'!$F$63:$AJ$63)+LOOKUP($B15,'Cash Flow'!$F$2:$AJ$2,'Cash Flow'!$F$65:$AJ$65))</f>
        <v>0</v>
      </c>
      <c r="L15" s="149">
        <f>IF($B15&gt;Inputs!$G$15,"",LOOKUP($B15,'Cash Flow'!$F$2:$AJ$2,'Cash Flow'!$F$64:$AJ$64)+LOOKUP($B15,'Cash Flow'!$F$2:$AJ$2,'Cash Flow'!$F$66:$AJ$66))</f>
        <v>-66054.383023521921</v>
      </c>
      <c r="M15" s="149">
        <f>IF($B15&gt;Inputs!$G$15,"",H15+K15+L15)</f>
        <v>581333.43203009316</v>
      </c>
      <c r="N15" s="149">
        <f>IF($B15&gt;Inputs!$G$15,N14,N14+M15)</f>
        <v>1669379.6580146102</v>
      </c>
      <c r="O15" s="152">
        <f>IF($B15&gt;Inputs!$G$15,"",LOOKUP($B15,'Cash Flow'!$F$2:$AJ$2,'Cash Flow'!$F$68:$AJ$68))</f>
        <v>8.6510220369468316E-2</v>
      </c>
      <c r="P15" s="153">
        <f>IF($B15&gt;Inputs!$G$15,"",LOOKUP($B15,'Cash Flow'!$F$2:$AJ$2,'Cash Flow'!$F$41:$AJ$41))</f>
        <v>3.6311637559190184</v>
      </c>
      <c r="R15" s="343">
        <f>IF($B15&gt;Inputs!$G$15,"",D15+K15+L15)</f>
        <v>1045828.0550036822</v>
      </c>
      <c r="S15" s="344">
        <f>IF($B15&gt;Inputs!$G$15,"",-(E15+F15+G15))</f>
        <v>464494.62297358894</v>
      </c>
    </row>
    <row r="16" spans="2:19" x14ac:dyDescent="0.2">
      <c r="B16" s="150">
        <v>10</v>
      </c>
      <c r="C16" s="151">
        <f>IF($B16&gt;Inputs!$G$15,"",IF($B16&lt;=Inputs!$Q$8,LOOKUP($B16,'Cash Flow'!$F$2:$AJ$2,'Cash Flow'!$F$14:$AJ$14),LOOKUP($B16,'Cash Flow'!$F$2:$AJ$2,'Cash Flow'!$F$16:$AJ$16)))</f>
        <v>33.522346549855833</v>
      </c>
      <c r="D16" s="149">
        <f>IF($B16&gt;Inputs!$G$15,"",LOOKUP($B16,'Cash Flow'!$F$2:$AJ$2,'Cash Flow'!$F$23:$AJ$23))</f>
        <v>1123647.6762530992</v>
      </c>
      <c r="E16" s="149">
        <f>IF($B16&gt;Inputs!$G$15,"",LOOKUP($B16,'Cash Flow'!$F$2:$AJ$2,'Cash Flow'!$F$35:$AJ$35))</f>
        <v>-161045.18105352594</v>
      </c>
      <c r="F16" s="149">
        <f>IF($B16&gt;Inputs!$G$15,"",LOOKUP($B16,'Cash Flow'!$F$2:$AJ$2,'Cash Flow'!$F$85:$AJ$85))</f>
        <v>-246046.18910444598</v>
      </c>
      <c r="G16" s="149">
        <f>IF($B16&gt;Inputs!$G$15,"",LOOKUP($B16,'Cash Flow'!$F$2:$AJ$2,'Cash Flow'!$F$47:$AJ$47)+LOOKUP($B16,'Cash Flow'!$F$2:$AJ$2,'Cash Flow'!$F$48:$AJ$48))</f>
        <v>0</v>
      </c>
      <c r="H16" s="149">
        <f>IF($B16&gt;Inputs!$G$15,"",SUM(D16:G16))</f>
        <v>716556.30609512725</v>
      </c>
      <c r="I16" s="149">
        <f>IF($B16&gt;Inputs!$G$15,"",LOOKUP($B16,'Cash Flow'!$F$2:$AJ$2,'Cash Flow'!$F$60:$AJ$60))</f>
        <v>694214.62033165398</v>
      </c>
      <c r="J16" s="149">
        <f>IF($B16&gt;Inputs!$G$15,"",LOOKUP($B16,'Cash Flow'!$F$2:$AJ$2,'Cash Flow'!$F$61:$AJ$61))</f>
        <v>694214.62033165398</v>
      </c>
      <c r="K16" s="149">
        <f>IF($B16&gt;Inputs!$G$15,"",LOOKUP($B16,'Cash Flow'!$F$2:$AJ$2,'Cash Flow'!$F$63:$AJ$63)+LOOKUP($B16,'Cash Flow'!$F$2:$AJ$2,'Cash Flow'!$F$65:$AJ$65))</f>
        <v>0</v>
      </c>
      <c r="L16" s="149">
        <f>IF($B16&gt;Inputs!$G$15,"",LOOKUP($B16,'Cash Flow'!$F$2:$AJ$2,'Cash Flow'!$F$64:$AJ$64)+LOOKUP($B16,'Cash Flow'!$F$2:$AJ$2,'Cash Flow'!$F$66:$AJ$66))</f>
        <v>-59008.242728190591</v>
      </c>
      <c r="M16" s="149">
        <f>IF($B16&gt;Inputs!$G$15,"",H16+K16+L16)</f>
        <v>657548.06336693664</v>
      </c>
      <c r="N16" s="149">
        <f>IF($B16&gt;Inputs!$G$15,N15,N15+M16)</f>
        <v>2326927.7213815469</v>
      </c>
      <c r="O16" s="152">
        <f>IF($B16&gt;Inputs!$G$15,"",LOOKUP($B16,'Cash Flow'!$F$2:$AJ$2,'Cash Flow'!$F$68:$AJ$68))</f>
        <v>0.10462254560186612</v>
      </c>
      <c r="P16" s="153">
        <f>IF($B16&gt;Inputs!$G$15,"",LOOKUP($B16,'Cash Flow'!$F$2:$AJ$2,'Cash Flow'!$F$41:$AJ$41))</f>
        <v>3.9122837004841839</v>
      </c>
      <c r="R16" s="343">
        <f>IF($B16&gt;Inputs!$G$15,"",D16+K16+L16)</f>
        <v>1064639.4335249087</v>
      </c>
      <c r="S16" s="344">
        <f>IF($B16&gt;Inputs!$G$15,"",-(E16+F16+G16))</f>
        <v>407091.37015797192</v>
      </c>
    </row>
    <row r="17" spans="2:19" x14ac:dyDescent="0.2">
      <c r="B17" s="155">
        <v>11</v>
      </c>
      <c r="C17" s="151">
        <f>IF($B17&gt;Inputs!$G$15,"",IF($B17&lt;=Inputs!$Q$8,LOOKUP($B17,'Cash Flow'!$F$2:$AJ$2,'Cash Flow'!$F$14:$AJ$14),LOOKUP($B17,'Cash Flow'!$F$2:$AJ$2,'Cash Flow'!$F$16:$AJ$16)))</f>
        <v>34.192793480852949</v>
      </c>
      <c r="D17" s="149">
        <f>IF($B17&gt;Inputs!$G$15,"",LOOKUP($B17,'Cash Flow'!$F$2:$AJ$2,'Cash Flow'!$F$23:$AJ$23))</f>
        <v>1135681.1347507825</v>
      </c>
      <c r="E17" s="149">
        <f>IF($B17&gt;Inputs!$G$15,"",LOOKUP($B17,'Cash Flow'!$F$2:$AJ$2,'Cash Flow'!$F$35:$AJ$35))</f>
        <v>-161336.14178042757</v>
      </c>
      <c r="F17" s="149">
        <f>IF($B17&gt;Inputs!$G$15,"",LOOKUP($B17,'Cash Flow'!$F$2:$AJ$2,'Cash Flow'!$F$85:$AJ$85))</f>
        <v>-246046.18910444598</v>
      </c>
      <c r="G17" s="149">
        <f>IF($B17&gt;Inputs!$G$15,"",LOOKUP($B17,'Cash Flow'!$F$2:$AJ$2,'Cash Flow'!$F$47:$AJ$47)+LOOKUP($B17,'Cash Flow'!$F$2:$AJ$2,'Cash Flow'!$F$48:$AJ$48))</f>
        <v>-59888.888888888891</v>
      </c>
      <c r="H17" s="149">
        <f>IF($B17&gt;Inputs!$G$15,"",SUM(D17:G17))</f>
        <v>668409.91497702012</v>
      </c>
      <c r="I17" s="149">
        <f>IF($B17&gt;Inputs!$G$15,"",LOOKUP($B17,'Cash Flow'!$F$2:$AJ$2,'Cash Flow'!$F$60:$AJ$60))</f>
        <v>653260.6490185007</v>
      </c>
      <c r="J17" s="149">
        <f>IF($B17&gt;Inputs!$G$15,"",LOOKUP($B17,'Cash Flow'!$F$2:$AJ$2,'Cash Flow'!$F$61:$AJ$61))</f>
        <v>653260.6490185007</v>
      </c>
      <c r="K17" s="149">
        <f>IF($B17&gt;Inputs!$G$15,"",LOOKUP($B17,'Cash Flow'!$F$2:$AJ$2,'Cash Flow'!$F$63:$AJ$63)+LOOKUP($B17,'Cash Flow'!$F$2:$AJ$2,'Cash Flow'!$F$65:$AJ$65))</f>
        <v>-12230.644206815166</v>
      </c>
      <c r="L17" s="149">
        <f>IF($B17&gt;Inputs!$G$15,"",LOOKUP($B17,'Cash Flow'!$F$2:$AJ$2,'Cash Flow'!$F$64:$AJ$64)+LOOKUP($B17,'Cash Flow'!$F$2:$AJ$2,'Cash Flow'!$F$66:$AJ$66))</f>
        <v>-55527.155166572564</v>
      </c>
      <c r="M17" s="149">
        <f>IF($B17&gt;Inputs!$G$15,"",H17+K17+L17)</f>
        <v>600652.11560363241</v>
      </c>
      <c r="N17" s="149">
        <f>IF($B17&gt;Inputs!$G$15,N16,N16+M17)</f>
        <v>2927579.8369851792</v>
      </c>
      <c r="O17" s="152">
        <f>IF($B17&gt;Inputs!$G$15,"",LOOKUP($B17,'Cash Flow'!$F$2:$AJ$2,'Cash Flow'!$F$68:$AJ$68))</f>
        <v>0.11708082561430722</v>
      </c>
      <c r="P17" s="153">
        <f>IF($B17&gt;Inputs!$G$15,"",LOOKUP($B17,'Cash Flow'!$F$2:$AJ$2,'Cash Flow'!$F$41:$AJ$41))</f>
        <v>3.7166034044659875</v>
      </c>
      <c r="R17" s="343">
        <f>IF($B17&gt;Inputs!$G$15,"",D17+K17+L17)</f>
        <v>1067923.3353773947</v>
      </c>
      <c r="S17" s="344">
        <f>IF($B17&gt;Inputs!$G$15,"",-(E17+F17+G17))</f>
        <v>467271.21977376239</v>
      </c>
    </row>
    <row r="18" spans="2:19" x14ac:dyDescent="0.2">
      <c r="B18" s="150">
        <v>12</v>
      </c>
      <c r="C18" s="151">
        <f>IF($B18&gt;Inputs!$G$15,"",IF($B18&lt;=Inputs!$Q$8,LOOKUP($B18,'Cash Flow'!$F$2:$AJ$2,'Cash Flow'!$F$14:$AJ$14),LOOKUP($B18,'Cash Flow'!$F$2:$AJ$2,'Cash Flow'!$F$16:$AJ$16)))</f>
        <v>34.876649350470011</v>
      </c>
      <c r="D18" s="149">
        <f>IF($B18&gt;Inputs!$G$15,"",LOOKUP($B18,'Cash Flow'!$F$2:$AJ$2,'Cash Flow'!$F$23:$AJ$23))</f>
        <v>1153730.8902245257</v>
      </c>
      <c r="E18" s="149">
        <f>IF($B18&gt;Inputs!$G$15,"",LOOKUP($B18,'Cash Flow'!$F$2:$AJ$2,'Cash Flow'!$F$35:$AJ$35))</f>
        <v>-161855.89253839434</v>
      </c>
      <c r="F18" s="149">
        <f>IF($B18&gt;Inputs!$G$15,"",LOOKUP($B18,'Cash Flow'!$F$2:$AJ$2,'Cash Flow'!$F$85:$AJ$85))</f>
        <v>-246046.18910444598</v>
      </c>
      <c r="G18" s="149">
        <f>IF($B18&gt;Inputs!$G$15,"",LOOKUP($B18,'Cash Flow'!$F$2:$AJ$2,'Cash Flow'!$F$47:$AJ$47)+LOOKUP($B18,'Cash Flow'!$F$2:$AJ$2,'Cash Flow'!$F$48:$AJ$48))</f>
        <v>-59888.888888888891</v>
      </c>
      <c r="H18" s="149">
        <f>IF($B18&gt;Inputs!$G$15,"",SUM(D18:G18))</f>
        <v>685939.91969279654</v>
      </c>
      <c r="I18" s="149">
        <f>IF($B18&gt;Inputs!$G$15,"",LOOKUP($B18,'Cash Flow'!$F$2:$AJ$2,'Cash Flow'!$F$60:$AJ$60))</f>
        <v>747063.65674952755</v>
      </c>
      <c r="J18" s="149">
        <f>IF($B18&gt;Inputs!$G$15,"",LOOKUP($B18,'Cash Flow'!$F$2:$AJ$2,'Cash Flow'!$F$61:$AJ$61))</f>
        <v>747063.65674952755</v>
      </c>
      <c r="K18" s="149">
        <f>IF($B18&gt;Inputs!$G$15,"",LOOKUP($B18,'Cash Flow'!$F$2:$AJ$2,'Cash Flow'!$F$63:$AJ$63)+LOOKUP($B18,'Cash Flow'!$F$2:$AJ$2,'Cash Flow'!$F$65:$AJ$65))</f>
        <v>-239247.13607403619</v>
      </c>
      <c r="L18" s="149">
        <f>IF($B18&gt;Inputs!$G$15,"",LOOKUP($B18,'Cash Flow'!$F$2:$AJ$2,'Cash Flow'!$F$64:$AJ$64)+LOOKUP($B18,'Cash Flow'!$F$2:$AJ$2,'Cash Flow'!$F$66:$AJ$66))</f>
        <v>-63500.410823709848</v>
      </c>
      <c r="M18" s="149">
        <f>IF($B18&gt;Inputs!$G$15,"",H18+K18+L18)</f>
        <v>383192.3727950505</v>
      </c>
      <c r="N18" s="149">
        <f>IF($B18&gt;Inputs!$G$15,N17,N17+M18)</f>
        <v>3310772.2097802297</v>
      </c>
      <c r="O18" s="152">
        <f>IF($B18&gt;Inputs!$G$15,"",LOOKUP($B18,'Cash Flow'!$F$2:$AJ$2,'Cash Flow'!$F$68:$AJ$68))</f>
        <v>0.12336876655400308</v>
      </c>
      <c r="P18" s="153">
        <f>IF($B18&gt;Inputs!$G$15,"",LOOKUP($B18,'Cash Flow'!$F$2:$AJ$2,'Cash Flow'!$F$41:$AJ$41))</f>
        <v>3.7878502088956023</v>
      </c>
      <c r="R18" s="343">
        <f>IF($B18&gt;Inputs!$G$15,"",D18+K18+L18)</f>
        <v>850983.34332677978</v>
      </c>
      <c r="S18" s="344">
        <f>IF($B18&gt;Inputs!$G$15,"",-(E18+F18+G18))</f>
        <v>467790.97053172917</v>
      </c>
    </row>
    <row r="19" spans="2:19" x14ac:dyDescent="0.2">
      <c r="B19" s="150">
        <v>13</v>
      </c>
      <c r="C19" s="151">
        <f>IF($B19&gt;Inputs!$G$15,"",IF($B19&lt;=Inputs!$Q$8,LOOKUP($B19,'Cash Flow'!$F$2:$AJ$2,'Cash Flow'!$F$14:$AJ$14),LOOKUP($B19,'Cash Flow'!$F$2:$AJ$2,'Cash Flow'!$F$16:$AJ$16)))</f>
        <v>35.574182337479414</v>
      </c>
      <c r="D19" s="149">
        <f>IF($B19&gt;Inputs!$G$15,"",LOOKUP($B19,'Cash Flow'!$F$2:$AJ$2,'Cash Flow'!$F$23:$AJ$23))</f>
        <v>1172031.7401659386</v>
      </c>
      <c r="E19" s="149">
        <f>IF($B19&gt;Inputs!$G$15,"",LOOKUP($B19,'Cash Flow'!$F$2:$AJ$2,'Cash Flow'!$F$35:$AJ$35))</f>
        <v>-162585.61518278896</v>
      </c>
      <c r="F19" s="149">
        <f>IF($B19&gt;Inputs!$G$15,"",LOOKUP($B19,'Cash Flow'!$F$2:$AJ$2,'Cash Flow'!$F$85:$AJ$85))</f>
        <v>-246046.18910444598</v>
      </c>
      <c r="G19" s="149">
        <f>IF($B19&gt;Inputs!$G$15,"",LOOKUP($B19,'Cash Flow'!$F$2:$AJ$2,'Cash Flow'!$F$47:$AJ$47)+LOOKUP($B19,'Cash Flow'!$F$2:$AJ$2,'Cash Flow'!$F$48:$AJ$48))</f>
        <v>-59888.888888888891</v>
      </c>
      <c r="H19" s="149">
        <f>IF($B19&gt;Inputs!$G$15,"",SUM(D19:G19))</f>
        <v>703511.04698981484</v>
      </c>
      <c r="I19" s="149">
        <f>IF($B19&gt;Inputs!$G$15,"",LOOKUP($B19,'Cash Flow'!$F$2:$AJ$2,'Cash Flow'!$F$60:$AJ$60))</f>
        <v>815041.3813013942</v>
      </c>
      <c r="J19" s="149">
        <f>IF($B19&gt;Inputs!$G$15,"",LOOKUP($B19,'Cash Flow'!$F$2:$AJ$2,'Cash Flow'!$F$61:$AJ$61))</f>
        <v>815041.3813013942</v>
      </c>
      <c r="K19" s="149">
        <f>IF($B19&gt;Inputs!$G$15,"",LOOKUP($B19,'Cash Flow'!$F$2:$AJ$2,'Cash Flow'!$F$63:$AJ$63)+LOOKUP($B19,'Cash Flow'!$F$2:$AJ$2,'Cash Flow'!$F$65:$AJ$65))</f>
        <v>-261017.00236177148</v>
      </c>
      <c r="L19" s="149">
        <f>IF($B19&gt;Inputs!$G$15,"",LOOKUP($B19,'Cash Flow'!$F$2:$AJ$2,'Cash Flow'!$F$64:$AJ$64)+LOOKUP($B19,'Cash Flow'!$F$2:$AJ$2,'Cash Flow'!$F$66:$AJ$66))</f>
        <v>-69278.517410618515</v>
      </c>
      <c r="M19" s="149">
        <f>IF($B19&gt;Inputs!$G$15,"",H19+K19+L19)</f>
        <v>373215.52721742482</v>
      </c>
      <c r="N19" s="149">
        <f>IF($B19&gt;Inputs!$G$15,N18,N18+M19)</f>
        <v>3683987.7369976547</v>
      </c>
      <c r="O19" s="152">
        <f>IF($B19&gt;Inputs!$G$15,"",LOOKUP($B19,'Cash Flow'!$F$2:$AJ$2,'Cash Flow'!$F$68:$AJ$68))</f>
        <v>0.12838225573080542</v>
      </c>
      <c r="P19" s="153">
        <f>IF($B19&gt;Inputs!$G$15,"",LOOKUP($B19,'Cash Flow'!$F$2:$AJ$2,'Cash Flow'!$F$41:$AJ$41))</f>
        <v>3.8592641469085147</v>
      </c>
      <c r="R19" s="343">
        <f>IF($B19&gt;Inputs!$G$15,"",D19+K19+L19)</f>
        <v>841736.22039354872</v>
      </c>
      <c r="S19" s="344">
        <f>IF($B19&gt;Inputs!$G$15,"",-(E19+F19+G19))</f>
        <v>468520.69317612378</v>
      </c>
    </row>
    <row r="20" spans="2:19" x14ac:dyDescent="0.2">
      <c r="B20" s="155">
        <v>14</v>
      </c>
      <c r="C20" s="151">
        <f>IF($B20&gt;Inputs!$G$15,"",IF($B20&lt;=Inputs!$Q$8,LOOKUP($B20,'Cash Flow'!$F$2:$AJ$2,'Cash Flow'!$F$14:$AJ$14),LOOKUP($B20,'Cash Flow'!$F$2:$AJ$2,'Cash Flow'!$F$16:$AJ$16)))</f>
        <v>36.285665984229006</v>
      </c>
      <c r="D20" s="149">
        <f>IF($B20&gt;Inputs!$G$15,"",LOOKUP($B20,'Cash Flow'!$F$2:$AJ$2,'Cash Flow'!$F$23:$AJ$23))</f>
        <v>1190587.4258825898</v>
      </c>
      <c r="E20" s="149">
        <f>IF($B20&gt;Inputs!$G$15,"",LOOKUP($B20,'Cash Flow'!$F$2:$AJ$2,'Cash Flow'!$F$35:$AJ$35))</f>
        <v>-163508.43739330897</v>
      </c>
      <c r="F20" s="149">
        <f>IF($B20&gt;Inputs!$G$15,"",LOOKUP($B20,'Cash Flow'!$F$2:$AJ$2,'Cash Flow'!$F$85:$AJ$85))</f>
        <v>-246046.18910444592</v>
      </c>
      <c r="G20" s="149">
        <f>IF($B20&gt;Inputs!$G$15,"",LOOKUP($B20,'Cash Flow'!$F$2:$AJ$2,'Cash Flow'!$F$47:$AJ$47)+LOOKUP($B20,'Cash Flow'!$F$2:$AJ$2,'Cash Flow'!$F$48:$AJ$48))</f>
        <v>-59888.888888888891</v>
      </c>
      <c r="H20" s="149">
        <f>IF($B20&gt;Inputs!$G$15,"",SUM(D20:G20))</f>
        <v>721143.91049594607</v>
      </c>
      <c r="I20" s="149">
        <f>IF($B20&gt;Inputs!$G$15,"",LOOKUP($B20,'Cash Flow'!$F$2:$AJ$2,'Cash Flow'!$F$60:$AJ$60))</f>
        <v>844175.5791422911</v>
      </c>
      <c r="J20" s="149">
        <f>IF($B20&gt;Inputs!$G$15,"",LOOKUP($B20,'Cash Flow'!$F$2:$AJ$2,'Cash Flow'!$F$61:$AJ$61))</f>
        <v>844175.5791422911</v>
      </c>
      <c r="K20" s="149">
        <f>IF($B20&gt;Inputs!$G$15,"",LOOKUP($B20,'Cash Flow'!$F$2:$AJ$2,'Cash Flow'!$F$63:$AJ$63)+LOOKUP($B20,'Cash Flow'!$F$2:$AJ$2,'Cash Flow'!$F$65:$AJ$65))</f>
        <v>-270347.22922031872</v>
      </c>
      <c r="L20" s="149">
        <f>IF($B20&gt;Inputs!$G$15,"",LOOKUP($B20,'Cash Flow'!$F$2:$AJ$2,'Cash Flow'!$F$64:$AJ$64)+LOOKUP($B20,'Cash Flow'!$F$2:$AJ$2,'Cash Flow'!$F$66:$AJ$66))</f>
        <v>-71754.924227094743</v>
      </c>
      <c r="M20" s="149">
        <f>IF($B20&gt;Inputs!$G$15,"",H20+K20+L20)</f>
        <v>379041.7570485326</v>
      </c>
      <c r="N20" s="149">
        <f>IF($B20&gt;Inputs!$G$15,N19,N19+M20)</f>
        <v>4063029.494046187</v>
      </c>
      <c r="O20" s="152">
        <f>IF($B20&gt;Inputs!$G$15,"",LOOKUP($B20,'Cash Flow'!$F$2:$AJ$2,'Cash Flow'!$F$68:$AJ$68))</f>
        <v>0.13256864023169501</v>
      </c>
      <c r="P20" s="153">
        <f>IF($B20&gt;Inputs!$G$15,"",LOOKUP($B20,'Cash Flow'!$F$2:$AJ$2,'Cash Flow'!$F$41:$AJ$41))</f>
        <v>3.9309289980094855</v>
      </c>
      <c r="R20" s="343">
        <f>IF($B20&gt;Inputs!$G$15,"",D20+K20+L20)</f>
        <v>848485.2724351763</v>
      </c>
      <c r="S20" s="344">
        <f>IF($B20&gt;Inputs!$G$15,"",-(E20+F20+G20))</f>
        <v>469443.51538664376</v>
      </c>
    </row>
    <row r="21" spans="2:19" x14ac:dyDescent="0.2">
      <c r="B21" s="150">
        <v>15</v>
      </c>
      <c r="C21" s="151">
        <f>IF($B21&gt;Inputs!$G$15,"",IF($B21&lt;=Inputs!$Q$8,LOOKUP($B21,'Cash Flow'!$F$2:$AJ$2,'Cash Flow'!$F$14:$AJ$14),LOOKUP($B21,'Cash Flow'!$F$2:$AJ$2,'Cash Flow'!$F$16:$AJ$16)))</f>
        <v>37.011379303913586</v>
      </c>
      <c r="D21" s="149">
        <f>IF($B21&gt;Inputs!$G$15,"",LOOKUP($B21,'Cash Flow'!$F$2:$AJ$2,'Cash Flow'!$F$23:$AJ$23))</f>
        <v>1209401.7444275303</v>
      </c>
      <c r="E21" s="149">
        <f>IF($B21&gt;Inputs!$G$15,"",LOOKUP($B21,'Cash Flow'!$F$2:$AJ$2,'Cash Flow'!$F$35:$AJ$35))</f>
        <v>-164609.23910145182</v>
      </c>
      <c r="F21" s="149">
        <f>IF($B21&gt;Inputs!$G$15,"",LOOKUP($B21,'Cash Flow'!$F$2:$AJ$2,'Cash Flow'!$F$85:$AJ$85))</f>
        <v>-246046.18910444598</v>
      </c>
      <c r="G21" s="149">
        <f>IF($B21&gt;Inputs!$G$15,"",LOOKUP($B21,'Cash Flow'!$F$2:$AJ$2,'Cash Flow'!$F$47:$AJ$47)+LOOKUP($B21,'Cash Flow'!$F$2:$AJ$2,'Cash Flow'!$F$48:$AJ$48))</f>
        <v>-59888.888888888891</v>
      </c>
      <c r="H21" s="149">
        <f>IF($B21&gt;Inputs!$G$15,"",SUM(D21:G21))</f>
        <v>738857.42733274365</v>
      </c>
      <c r="I21" s="149">
        <f>IF($B21&gt;Inputs!$G$15,"",LOOKUP($B21,'Cash Flow'!$F$2:$AJ$2,'Cash Flow'!$F$60:$AJ$60))</f>
        <v>903923.45644521003</v>
      </c>
      <c r="J21" s="149">
        <f>IF($B21&gt;Inputs!$G$15,"",LOOKUP($B21,'Cash Flow'!$F$2:$AJ$2,'Cash Flow'!$F$61:$AJ$61))</f>
        <v>903923.45644521003</v>
      </c>
      <c r="K21" s="149">
        <f>IF($B21&gt;Inputs!$G$15,"",LOOKUP($B21,'Cash Flow'!$F$2:$AJ$2,'Cash Flow'!$F$63:$AJ$63)+LOOKUP($B21,'Cash Flow'!$F$2:$AJ$2,'Cash Flow'!$F$65:$AJ$65))</f>
        <v>-289481.48692657851</v>
      </c>
      <c r="L21" s="149">
        <f>IF($B21&gt;Inputs!$G$15,"",LOOKUP($B21,'Cash Flow'!$F$2:$AJ$2,'Cash Flow'!$F$64:$AJ$64)+LOOKUP($B21,'Cash Flow'!$F$2:$AJ$2,'Cash Flow'!$F$66:$AJ$66))</f>
        <v>-76833.493797842864</v>
      </c>
      <c r="M21" s="149">
        <f>IF($B21&gt;Inputs!$G$15,"",H21+K21+L21)</f>
        <v>372542.44660832227</v>
      </c>
      <c r="N21" s="149">
        <f>IF($B21&gt;Inputs!$G$15,N20,N20+M21)</f>
        <v>4435571.9406545097</v>
      </c>
      <c r="O21" s="152">
        <f>IF($B21&gt;Inputs!$G$15,"",LOOKUP($B21,'Cash Flow'!$F$2:$AJ$2,'Cash Flow'!$F$68:$AJ$68))</f>
        <v>0.13596524984509628</v>
      </c>
      <c r="P21" s="153">
        <f>IF($B21&gt;Inputs!$G$15,"",LOOKUP($B21,'Cash Flow'!$F$2:$AJ$2,'Cash Flow'!$F$41:$AJ$41))</f>
        <v>4.0029216466307496</v>
      </c>
      <c r="R21" s="343">
        <f>IF($B21&gt;Inputs!$G$15,"",D21+K21+L21)</f>
        <v>843086.763703109</v>
      </c>
      <c r="S21" s="344">
        <f>IF($B21&gt;Inputs!$G$15,"",-(E21+F21+G21))</f>
        <v>470544.31709478667</v>
      </c>
    </row>
    <row r="22" spans="2:19" x14ac:dyDescent="0.2">
      <c r="B22" s="150">
        <v>16</v>
      </c>
      <c r="C22" s="151">
        <f>IF($B22&gt;Inputs!$G$15,"",IF($B22&lt;=Inputs!$Q$8,LOOKUP($B22,'Cash Flow'!$F$2:$AJ$2,'Cash Flow'!$F$14:$AJ$14),LOOKUP($B22,'Cash Flow'!$F$2:$AJ$2,'Cash Flow'!$F$16:$AJ$16)))</f>
        <v>37.751606889991855</v>
      </c>
      <c r="D22" s="149">
        <f>IF($B22&gt;Inputs!$G$15,"",LOOKUP($B22,'Cash Flow'!$F$2:$AJ$2,'Cash Flow'!$F$23:$AJ$23))</f>
        <v>1228478.5494299012</v>
      </c>
      <c r="E22" s="149">
        <f>IF($B22&gt;Inputs!$G$15,"",LOOKUP($B22,'Cash Flow'!$F$2:$AJ$2,'Cash Flow'!$F$35:$AJ$35))</f>
        <v>-165874.47829118112</v>
      </c>
      <c r="F22" s="149">
        <f>IF($B22&gt;Inputs!$G$15,"",LOOKUP($B22,'Cash Flow'!$F$2:$AJ$2,'Cash Flow'!$F$85:$AJ$85))</f>
        <v>-246046.18910444595</v>
      </c>
      <c r="G22" s="149">
        <f>IF($B22&gt;Inputs!$G$15,"",LOOKUP($B22,'Cash Flow'!$F$2:$AJ$2,'Cash Flow'!$F$47:$AJ$47)+LOOKUP($B22,'Cash Flow'!$F$2:$AJ$2,'Cash Flow'!$F$48:$AJ$48))</f>
        <v>-59888.888888888891</v>
      </c>
      <c r="H22" s="149">
        <f>IF($B22&gt;Inputs!$G$15,"",SUM(D22:G22))</f>
        <v>756668.99314538518</v>
      </c>
      <c r="I22" s="149">
        <f>IF($B22&gt;Inputs!$G$15,"",LOOKUP($B22,'Cash Flow'!$F$2:$AJ$2,'Cash Flow'!$F$60:$AJ$60))</f>
        <v>988021.2184430107</v>
      </c>
      <c r="J22" s="149">
        <f>IF($B22&gt;Inputs!$G$15,"",LOOKUP($B22,'Cash Flow'!$F$2:$AJ$2,'Cash Flow'!$F$61:$AJ$61))</f>
        <v>988021.2184430107</v>
      </c>
      <c r="K22" s="149">
        <f>IF($B22&gt;Inputs!$G$15,"",LOOKUP($B22,'Cash Flow'!$F$2:$AJ$2,'Cash Flow'!$F$63:$AJ$63)+LOOKUP($B22,'Cash Flow'!$F$2:$AJ$2,'Cash Flow'!$F$65:$AJ$65))</f>
        <v>-316413.7952063742</v>
      </c>
      <c r="L22" s="149">
        <f>IF($B22&gt;Inputs!$G$15,"",LOOKUP($B22,'Cash Flow'!$F$2:$AJ$2,'Cash Flow'!$F$64:$AJ$64)+LOOKUP($B22,'Cash Flow'!$F$2:$AJ$2,'Cash Flow'!$F$66:$AJ$66))</f>
        <v>-83981.803567655908</v>
      </c>
      <c r="M22" s="149">
        <f>IF($B22&gt;Inputs!$G$15,"",H22+K22+L22)</f>
        <v>356273.39437135507</v>
      </c>
      <c r="N22" s="149">
        <f>IF($B22&gt;Inputs!$G$15,N21,N21+M22)</f>
        <v>4791845.3350258647</v>
      </c>
      <c r="O22" s="152">
        <f>IF($B22&gt;Inputs!$G$15,"",LOOKUP($B22,'Cash Flow'!$F$2:$AJ$2,'Cash Flow'!$F$68:$AJ$68))</f>
        <v>0.13866228607410536</v>
      </c>
      <c r="P22" s="153">
        <f>IF($B22&gt;Inputs!$G$15,"",LOOKUP($B22,'Cash Flow'!$F$2:$AJ$2,'Cash Flow'!$F$41:$AJ$41))</f>
        <v>4.0753127935022855</v>
      </c>
      <c r="R22" s="343">
        <f>IF($B22&gt;Inputs!$G$15,"",D22+K22+L22)</f>
        <v>828082.95065587107</v>
      </c>
      <c r="S22" s="344">
        <f>IF($B22&gt;Inputs!$G$15,"",-(E22+F22+G22))</f>
        <v>471809.55628451594</v>
      </c>
    </row>
    <row r="23" spans="2:19" x14ac:dyDescent="0.2">
      <c r="B23" s="155">
        <v>17</v>
      </c>
      <c r="C23" s="151">
        <f>IF($B23&gt;Inputs!$G$15,"",IF($B23&lt;=Inputs!$Q$8,LOOKUP($B23,'Cash Flow'!$F$2:$AJ$2,'Cash Flow'!$F$14:$AJ$14),LOOKUP($B23,'Cash Flow'!$F$2:$AJ$2,'Cash Flow'!$F$16:$AJ$16)))</f>
        <v>38.506639027791692</v>
      </c>
      <c r="D23" s="149">
        <f>IF($B23&gt;Inputs!$G$15,"",LOOKUP($B23,'Cash Flow'!$F$2:$AJ$2,'Cash Flow'!$F$23:$AJ$23))</f>
        <v>1247821.7519379186</v>
      </c>
      <c r="E23" s="149">
        <f>IF($B23&gt;Inputs!$G$15,"",LOOKUP($B23,'Cash Flow'!$F$2:$AJ$2,'Cash Flow'!$F$35:$AJ$35))</f>
        <v>-167292.034235725</v>
      </c>
      <c r="F23" s="149">
        <f>IF($B23&gt;Inputs!$G$15,"",LOOKUP($B23,'Cash Flow'!$F$2:$AJ$2,'Cash Flow'!$F$85:$AJ$85))</f>
        <v>-246046.18910444595</v>
      </c>
      <c r="G23" s="149">
        <f>IF($B23&gt;Inputs!$G$15,"",LOOKUP($B23,'Cash Flow'!$F$2:$AJ$2,'Cash Flow'!$F$47:$AJ$47)+LOOKUP($B23,'Cash Flow'!$F$2:$AJ$2,'Cash Flow'!$F$48:$AJ$48))</f>
        <v>-59888.888888888891</v>
      </c>
      <c r="H23" s="149">
        <f>IF($B23&gt;Inputs!$G$15,"",SUM(D23:G23))</f>
        <v>774594.6397088588</v>
      </c>
      <c r="I23" s="149">
        <f>IF($B23&gt;Inputs!$G$15,"",LOOKUP($B23,'Cash Flow'!$F$2:$AJ$2,'Cash Flow'!$F$60:$AJ$60))</f>
        <v>1043348.8609456287</v>
      </c>
      <c r="J23" s="149">
        <f>IF($B23&gt;Inputs!$G$15,"",LOOKUP($B23,'Cash Flow'!$F$2:$AJ$2,'Cash Flow'!$F$61:$AJ$61))</f>
        <v>1043348.8609456287</v>
      </c>
      <c r="K23" s="149">
        <f>IF($B23&gt;Inputs!$G$15,"",LOOKUP($B23,'Cash Flow'!$F$2:$AJ$2,'Cash Flow'!$F$63:$AJ$63)+LOOKUP($B23,'Cash Flow'!$F$2:$AJ$2,'Cash Flow'!$F$65:$AJ$65))</f>
        <v>-334132.47271783755</v>
      </c>
      <c r="L23" s="149">
        <f>IF($B23&gt;Inputs!$G$15,"",LOOKUP($B23,'Cash Flow'!$F$2:$AJ$2,'Cash Flow'!$F$64:$AJ$64)+LOOKUP($B23,'Cash Flow'!$F$2:$AJ$2,'Cash Flow'!$F$66:$AJ$66))</f>
        <v>-88684.653180378446</v>
      </c>
      <c r="M23" s="149">
        <f>IF($B23&gt;Inputs!$G$15,"",H23+K23+L23)</f>
        <v>351777.51381064282</v>
      </c>
      <c r="N23" s="149">
        <f>IF($B23&gt;Inputs!$G$15,N22,N22+M23)</f>
        <v>5143622.8488365076</v>
      </c>
      <c r="O23" s="152">
        <f>IF($B23&gt;Inputs!$G$15,"",LOOKUP($B23,'Cash Flow'!$F$2:$AJ$2,'Cash Flow'!$F$68:$AJ$68))</f>
        <v>0.14088492497081706</v>
      </c>
      <c r="P23" s="153">
        <f>IF($B23&gt;Inputs!$G$15,"",LOOKUP($B23,'Cash Flow'!$F$2:$AJ$2,'Cash Flow'!$F$41:$AJ$41))</f>
        <v>4.1481675962070907</v>
      </c>
      <c r="R23" s="343">
        <f>IF($B23&gt;Inputs!$G$15,"",D23+K23+L23)</f>
        <v>825004.62603970256</v>
      </c>
      <c r="S23" s="344">
        <f>IF($B23&gt;Inputs!$G$15,"",-(E23+F23+G23))</f>
        <v>473227.1122290598</v>
      </c>
    </row>
    <row r="24" spans="2:19" x14ac:dyDescent="0.2">
      <c r="B24" s="150">
        <v>18</v>
      </c>
      <c r="C24" s="151">
        <f>IF($B24&gt;Inputs!$G$15,"",IF($B24&lt;=Inputs!$Q$8,LOOKUP($B24,'Cash Flow'!$F$2:$AJ$2,'Cash Flow'!$F$14:$AJ$14),LOOKUP($B24,'Cash Flow'!$F$2:$AJ$2,'Cash Flow'!$F$16:$AJ$16)))</f>
        <v>39.276771808347526</v>
      </c>
      <c r="D24" s="149">
        <f>IF($B24&gt;Inputs!$G$15,"",LOOKUP($B24,'Cash Flow'!$F$2:$AJ$2,'Cash Flow'!$F$23:$AJ$23))</f>
        <v>1267435.3212744168</v>
      </c>
      <c r="E24" s="149">
        <f>IF($B24&gt;Inputs!$G$15,"",LOOKUP($B24,'Cash Flow'!$F$2:$AJ$2,'Cash Flow'!$F$35:$AJ$35))</f>
        <v>-168851.06642714958</v>
      </c>
      <c r="F24" s="149">
        <f>IF($B24&gt;Inputs!$G$15,"",LOOKUP($B24,'Cash Flow'!$F$2:$AJ$2,'Cash Flow'!$F$85:$AJ$85))</f>
        <v>-246046.18910444595</v>
      </c>
      <c r="G24" s="149">
        <f>IF($B24&gt;Inputs!$G$15,"",LOOKUP($B24,'Cash Flow'!$F$2:$AJ$2,'Cash Flow'!$F$47:$AJ$47)+LOOKUP($B24,'Cash Flow'!$F$2:$AJ$2,'Cash Flow'!$F$48:$AJ$48))</f>
        <v>-59888.888888888891</v>
      </c>
      <c r="H24" s="149">
        <f>IF($B24&gt;Inputs!$G$15,"",SUM(D24:G24))</f>
        <v>792649.17685393232</v>
      </c>
      <c r="I24" s="149">
        <f>IF($B24&gt;Inputs!$G$15,"",LOOKUP($B24,'Cash Flow'!$F$2:$AJ$2,'Cash Flow'!$F$60:$AJ$60))</f>
        <v>1076446.8370262522</v>
      </c>
      <c r="J24" s="149">
        <f>IF($B24&gt;Inputs!$G$15,"",LOOKUP($B24,'Cash Flow'!$F$2:$AJ$2,'Cash Flow'!$F$61:$AJ$61))</f>
        <v>1076446.8370262522</v>
      </c>
      <c r="K24" s="149">
        <f>IF($B24&gt;Inputs!$G$15,"",LOOKUP($B24,'Cash Flow'!$F$2:$AJ$2,'Cash Flow'!$F$63:$AJ$63)+LOOKUP($B24,'Cash Flow'!$F$2:$AJ$2,'Cash Flow'!$F$65:$AJ$65))</f>
        <v>-344732.09955765726</v>
      </c>
      <c r="L24" s="149">
        <f>IF($B24&gt;Inputs!$G$15,"",LOOKUP($B24,'Cash Flow'!$F$2:$AJ$2,'Cash Flow'!$F$64:$AJ$64)+LOOKUP($B24,'Cash Flow'!$F$2:$AJ$2,'Cash Flow'!$F$66:$AJ$66))</f>
        <v>-91497.981147231447</v>
      </c>
      <c r="M24" s="149">
        <f>IF($B24&gt;Inputs!$G$15,"",H24+K24+L24)</f>
        <v>356419.09614904365</v>
      </c>
      <c r="N24" s="149">
        <f>IF($B24&gt;Inputs!$G$15,N23,N23+M24)</f>
        <v>5500041.9449855518</v>
      </c>
      <c r="O24" s="152">
        <f>IF($B24&gt;Inputs!$G$15,"",LOOKUP($B24,'Cash Flow'!$F$2:$AJ$2,'Cash Flow'!$F$68:$AJ$68))</f>
        <v>0.1427708072771916</v>
      </c>
      <c r="P24" s="153">
        <f>IF($B24&gt;Inputs!$G$15,"",LOOKUP($B24,'Cash Flow'!$F$2:$AJ$2,'Cash Flow'!$F$41:$AJ$41))</f>
        <v>4.2215462460077156</v>
      </c>
      <c r="R24" s="343">
        <f>IF($B24&gt;Inputs!$G$15,"",D24+K24+L24)</f>
        <v>831205.24056952808</v>
      </c>
      <c r="S24" s="344">
        <f>IF($B24&gt;Inputs!$G$15,"",-(E24+F24+G24))</f>
        <v>474786.14442048443</v>
      </c>
    </row>
    <row r="25" spans="2:19" x14ac:dyDescent="0.2">
      <c r="B25" s="150">
        <v>19</v>
      </c>
      <c r="C25" s="151">
        <f>IF($B25&gt;Inputs!$G$15,"",IF($B25&lt;=Inputs!$Q$8,LOOKUP($B25,'Cash Flow'!$F$2:$AJ$2,'Cash Flow'!$F$14:$AJ$14),LOOKUP($B25,'Cash Flow'!$F$2:$AJ$2,'Cash Flow'!$F$16:$AJ$16)))</f>
        <v>40.062307244514479</v>
      </c>
      <c r="D25" s="149">
        <f>IF($B25&gt;Inputs!$G$15,"",LOOKUP($B25,'Cash Flow'!$F$2:$AJ$2,'Cash Flow'!$F$23:$AJ$23))</f>
        <v>1286093.0549596176</v>
      </c>
      <c r="E25" s="149">
        <f>IF($B25&gt;Inputs!$G$15,"",LOOKUP($B25,'Cash Flow'!$F$2:$AJ$2,'Cash Flow'!$F$35:$AJ$35))</f>
        <v>-170541.88762969041</v>
      </c>
      <c r="F25" s="149">
        <f>IF($B25&gt;Inputs!$G$15,"",LOOKUP($B25,'Cash Flow'!$F$2:$AJ$2,'Cash Flow'!$F$85:$AJ$85))</f>
        <v>0</v>
      </c>
      <c r="G25" s="149">
        <f>IF($B25&gt;Inputs!$G$15,"",LOOKUP($B25,'Cash Flow'!$F$2:$AJ$2,'Cash Flow'!$F$47:$AJ$47)+LOOKUP($B25,'Cash Flow'!$F$2:$AJ$2,'Cash Flow'!$F$48:$AJ$48))</f>
        <v>63134.205663334098</v>
      </c>
      <c r="H25" s="149">
        <f>IF($B25&gt;Inputs!$G$15,"",SUM(D25:G25))</f>
        <v>1178685.3729932613</v>
      </c>
      <c r="I25" s="149">
        <f>IF($B25&gt;Inputs!$G$15,"",LOOKUP($B25,'Cash Flow'!$F$2:$AJ$2,'Cash Flow'!$F$60:$AJ$60))</f>
        <v>1109510.2291699508</v>
      </c>
      <c r="J25" s="149">
        <f>IF($B25&gt;Inputs!$G$15,"",LOOKUP($B25,'Cash Flow'!$F$2:$AJ$2,'Cash Flow'!$F$61:$AJ$61))</f>
        <v>1109510.2291699508</v>
      </c>
      <c r="K25" s="149">
        <f>IF($B25&gt;Inputs!$G$15,"",LOOKUP($B25,'Cash Flow'!$F$2:$AJ$2,'Cash Flow'!$F$63:$AJ$63)+LOOKUP($B25,'Cash Flow'!$F$2:$AJ$2,'Cash Flow'!$F$65:$AJ$65))</f>
        <v>-355320.65089167672</v>
      </c>
      <c r="L25" s="149">
        <f>IF($B25&gt;Inputs!$G$15,"",LOOKUP($B25,'Cash Flow'!$F$2:$AJ$2,'Cash Flow'!$F$64:$AJ$64)+LOOKUP($B25,'Cash Flow'!$F$2:$AJ$2,'Cash Flow'!$F$66:$AJ$66))</f>
        <v>-94308.369479445828</v>
      </c>
      <c r="M25" s="149">
        <f>IF($B25&gt;Inputs!$G$15,"",H25+K25+L25)</f>
        <v>729056.35262213869</v>
      </c>
      <c r="N25" s="149">
        <f>IF($B25&gt;Inputs!$G$15,N24,N24+M25)</f>
        <v>6229098.2976076901</v>
      </c>
      <c r="O25" s="152">
        <f>IF($B25&gt;Inputs!$G$15,"",LOOKUP($B25,'Cash Flow'!$F$2:$AJ$2,'Cash Flow'!$F$68:$AJ$68))</f>
        <v>0.14594754414249134</v>
      </c>
      <c r="P25" s="153" t="str">
        <f>IF($B25&gt;Inputs!$G$15,"",LOOKUP($B25,'Cash Flow'!$F$2:$AJ$2,'Cash Flow'!$F$41:$AJ$41))</f>
        <v>N/A</v>
      </c>
      <c r="R25" s="343">
        <f>IF($B25&gt;Inputs!$G$15,"",D25+K25+L25)</f>
        <v>836464.03458849492</v>
      </c>
      <c r="S25" s="344">
        <f>IF($B25&gt;Inputs!$G$15,"",-(E25+F25+G25))</f>
        <v>107407.68196635631</v>
      </c>
    </row>
    <row r="26" spans="2:19" x14ac:dyDescent="0.2">
      <c r="B26" s="155">
        <v>20</v>
      </c>
      <c r="C26" s="151">
        <f>IF($B26&gt;Inputs!$G$15,"",IF($B26&lt;=Inputs!$Q$8,LOOKUP($B26,'Cash Flow'!$F$2:$AJ$2,'Cash Flow'!$F$14:$AJ$14),LOOKUP($B26,'Cash Flow'!$F$2:$AJ$2,'Cash Flow'!$F$16:$AJ$16)))</f>
        <v>40.863553389404771</v>
      </c>
      <c r="D26" s="149">
        <f>IF($B26&gt;Inputs!$G$15,"",LOOKUP($B26,'Cash Flow'!$F$2:$AJ$2,'Cash Flow'!$F$23:$AJ$23))</f>
        <v>1299040.3835400385</v>
      </c>
      <c r="E26" s="149">
        <f>IF($B26&gt;Inputs!$G$15,"",LOOKUP($B26,'Cash Flow'!$F$2:$AJ$2,'Cash Flow'!$F$35:$AJ$35))</f>
        <v>-172355.84964473004</v>
      </c>
      <c r="F26" s="149">
        <f>IF($B26&gt;Inputs!$G$15,"",LOOKUP($B26,'Cash Flow'!$F$2:$AJ$2,'Cash Flow'!$F$85:$AJ$85))</f>
        <v>0</v>
      </c>
      <c r="G26" s="149">
        <f>IF($B26&gt;Inputs!$G$15,"",LOOKUP($B26,'Cash Flow'!$F$2:$AJ$2,'Cash Flow'!$F$47:$AJ$47)+LOOKUP($B26,'Cash Flow'!$F$2:$AJ$2,'Cash Flow'!$F$48:$AJ$48))</f>
        <v>0</v>
      </c>
      <c r="H26" s="149">
        <f>IF($B26&gt;Inputs!$G$15,"",SUM(D26:G26))</f>
        <v>1126684.5338953084</v>
      </c>
      <c r="I26" s="149">
        <f>IF($B26&gt;Inputs!$G$15,"",LOOKUP($B26,'Cash Flow'!$F$2:$AJ$2,'Cash Flow'!$F$60:$AJ$60))</f>
        <v>1012843.595735332</v>
      </c>
      <c r="J26" s="149">
        <f>IF($B26&gt;Inputs!$G$15,"",LOOKUP($B26,'Cash Flow'!$F$2:$AJ$2,'Cash Flow'!$F$61:$AJ$61))</f>
        <v>1012843.595735332</v>
      </c>
      <c r="K26" s="149">
        <f>IF($B26&gt;Inputs!$G$15,"",LOOKUP($B26,'Cash Flow'!$F$2:$AJ$2,'Cash Flow'!$F$63:$AJ$63)+LOOKUP($B26,'Cash Flow'!$F$2:$AJ$2,'Cash Flow'!$F$65:$AJ$65))</f>
        <v>-324363.16153424006</v>
      </c>
      <c r="L26" s="149">
        <f>IF($B26&gt;Inputs!$G$15,"",LOOKUP($B26,'Cash Flow'!$F$2:$AJ$2,'Cash Flow'!$F$64:$AJ$64)+LOOKUP($B26,'Cash Flow'!$F$2:$AJ$2,'Cash Flow'!$F$66:$AJ$66))</f>
        <v>-86091.705637503226</v>
      </c>
      <c r="M26" s="149">
        <f>IF($B26&gt;Inputs!$G$15,"",H26+K26+L26)</f>
        <v>716229.6667235652</v>
      </c>
      <c r="N26" s="149">
        <f>IF($B26&gt;Inputs!$G$15,N25,N25+M26)</f>
        <v>6945327.9643312553</v>
      </c>
      <c r="O26" s="152">
        <f>IF($B26&gt;Inputs!$G$15,"",LOOKUP($B26,'Cash Flow'!$F$2:$AJ$2,'Cash Flow'!$F$68:$AJ$68))</f>
        <v>0.14848362806738247</v>
      </c>
      <c r="P26" s="153" t="str">
        <f>IF($B26&gt;Inputs!$G$15,"",LOOKUP($B26,'Cash Flow'!$F$2:$AJ$2,'Cash Flow'!$F$41:$AJ$41))</f>
        <v>N/A</v>
      </c>
      <c r="R26" s="343">
        <f>IF($B26&gt;Inputs!$G$15,"",D26+K26+L26)</f>
        <v>888585.5163682953</v>
      </c>
      <c r="S26" s="344">
        <f>IF($B26&gt;Inputs!$G$15,"",-(E26+F26+G26))</f>
        <v>172355.84964473004</v>
      </c>
    </row>
    <row r="27" spans="2:19" x14ac:dyDescent="0.2">
      <c r="B27" s="150">
        <v>21</v>
      </c>
      <c r="C27" s="151">
        <f>IF($B27&gt;Inputs!$G$15,"",IF($B27&lt;=Inputs!$Q$8,LOOKUP($B27,'Cash Flow'!$F$2:$AJ$2,'Cash Flow'!$F$14:$AJ$14),LOOKUP($B27,'Cash Flow'!$F$2:$AJ$2,'Cash Flow'!$F$16:$AJ$16)))</f>
        <v>9.0305561733470743</v>
      </c>
      <c r="D27" s="149">
        <f>IF($B27&gt;Inputs!$G$15,"",LOOKUP($B27,'Cash Flow'!$F$2:$AJ$2,'Cash Flow'!$F$23:$AJ$23))</f>
        <v>285719.24908088887</v>
      </c>
      <c r="E27" s="149">
        <f>IF($B27&gt;Inputs!$G$15,"",LOOKUP($B27,'Cash Flow'!$F$2:$AJ$2,'Cash Flow'!$F$35:$AJ$35))</f>
        <v>-143469.76736786455</v>
      </c>
      <c r="F27" s="149">
        <f>IF($B27&gt;Inputs!$G$15,"",LOOKUP($B27,'Cash Flow'!$F$2:$AJ$2,'Cash Flow'!$F$85:$AJ$85))</f>
        <v>0</v>
      </c>
      <c r="G27" s="149">
        <f>IF($B27&gt;Inputs!$G$15,"",LOOKUP($B27,'Cash Flow'!$F$2:$AJ$2,'Cash Flow'!$F$47:$AJ$47)+LOOKUP($B27,'Cash Flow'!$F$2:$AJ$2,'Cash Flow'!$F$48:$AJ$48))</f>
        <v>0</v>
      </c>
      <c r="H27" s="149">
        <f>IF($B27&gt;Inputs!$G$15,"",SUM(D27:G27))</f>
        <v>142249.48171302432</v>
      </c>
      <c r="I27" s="149">
        <f>IF($B27&gt;Inputs!$G$15,"",LOOKUP($B27,'Cash Flow'!$F$2:$AJ$2,'Cash Flow'!$F$60:$AJ$60))</f>
        <v>0</v>
      </c>
      <c r="J27" s="149">
        <f>IF($B27&gt;Inputs!$G$15,"",LOOKUP($B27,'Cash Flow'!$F$2:$AJ$2,'Cash Flow'!$F$61:$AJ$61))</f>
        <v>0</v>
      </c>
      <c r="K27" s="149">
        <f>IF($B27&gt;Inputs!$G$15,"",LOOKUP($B27,'Cash Flow'!$F$2:$AJ$2,'Cash Flow'!$F$63:$AJ$63)+LOOKUP($B27,'Cash Flow'!$F$2:$AJ$2,'Cash Flow'!$F$65:$AJ$65))</f>
        <v>0</v>
      </c>
      <c r="L27" s="149">
        <f>IF($B27&gt;Inputs!$G$15,"",LOOKUP($B27,'Cash Flow'!$F$2:$AJ$2,'Cash Flow'!$F$64:$AJ$64)+LOOKUP($B27,'Cash Flow'!$F$2:$AJ$2,'Cash Flow'!$F$66:$AJ$66))</f>
        <v>0</v>
      </c>
      <c r="M27" s="149">
        <f>IF($B27&gt;Inputs!$G$15,"",H27+K27+L27)</f>
        <v>142249.48171302432</v>
      </c>
      <c r="N27" s="149">
        <f>IF($B27&gt;Inputs!$G$15,N26,N26+M27)</f>
        <v>7087577.4460442793</v>
      </c>
      <c r="O27" s="152">
        <f>IF($B27&gt;Inputs!$G$15,"",LOOKUP($B27,'Cash Flow'!$F$2:$AJ$2,'Cash Flow'!$F$68:$AJ$68))</f>
        <v>0.1489058074056262</v>
      </c>
      <c r="P27" s="153" t="str">
        <f>IF($B27&gt;Inputs!$G$15,"",LOOKUP($B27,'Cash Flow'!$F$2:$AJ$2,'Cash Flow'!$F$41:$AJ$41))</f>
        <v>N/A</v>
      </c>
      <c r="R27" s="343">
        <f>IF($B27&gt;Inputs!$G$15,"",D27+K27+L27)</f>
        <v>285719.24908088887</v>
      </c>
      <c r="S27" s="344">
        <f>IF($B27&gt;Inputs!$G$15,"",-(E27+F27+G27))</f>
        <v>143469.76736786455</v>
      </c>
    </row>
    <row r="28" spans="2:19" x14ac:dyDescent="0.2">
      <c r="B28" s="150">
        <v>22</v>
      </c>
      <c r="C28" s="151">
        <f>IF($B28&gt;Inputs!$G$15,"",IF($B28&lt;=Inputs!$Q$8,LOOKUP($B28,'Cash Flow'!$F$2:$AJ$2,'Cash Flow'!$F$14:$AJ$14),LOOKUP($B28,'Cash Flow'!$F$2:$AJ$2,'Cash Flow'!$F$16:$AJ$16)))</f>
        <v>9.301472858547486</v>
      </c>
      <c r="D28" s="149">
        <f>IF($B28&gt;Inputs!$G$15,"",LOOKUP($B28,'Cash Flow'!$F$2:$AJ$2,'Cash Flow'!$F$23:$AJ$23))</f>
        <v>292779.20066905714</v>
      </c>
      <c r="E28" s="149">
        <f>IF($B28&gt;Inputs!$G$15,"",LOOKUP($B28,'Cash Flow'!$F$2:$AJ$2,'Cash Flow'!$F$35:$AJ$35))</f>
        <v>-145133.37298616848</v>
      </c>
      <c r="F28" s="149">
        <f>IF($B28&gt;Inputs!$G$15,"",LOOKUP($B28,'Cash Flow'!$F$2:$AJ$2,'Cash Flow'!$F$85:$AJ$85))</f>
        <v>0</v>
      </c>
      <c r="G28" s="149">
        <f>IF($B28&gt;Inputs!$G$15,"",LOOKUP($B28,'Cash Flow'!$F$2:$AJ$2,'Cash Flow'!$F$47:$AJ$47)+LOOKUP($B28,'Cash Flow'!$F$2:$AJ$2,'Cash Flow'!$F$48:$AJ$48))</f>
        <v>0</v>
      </c>
      <c r="H28" s="149">
        <f>IF($B28&gt;Inputs!$G$15,"",SUM(D28:G28))</f>
        <v>147645.82768288866</v>
      </c>
      <c r="I28" s="149">
        <f>IF($B28&gt;Inputs!$G$15,"",LOOKUP($B28,'Cash Flow'!$F$2:$AJ$2,'Cash Flow'!$F$60:$AJ$60))</f>
        <v>10906.840315924754</v>
      </c>
      <c r="J28" s="149">
        <f>IF($B28&gt;Inputs!$G$15,"",LOOKUP($B28,'Cash Flow'!$F$2:$AJ$2,'Cash Flow'!$F$61:$AJ$61))</f>
        <v>10906.840315924754</v>
      </c>
      <c r="K28" s="149">
        <f>IF($B28&gt;Inputs!$G$15,"",LOOKUP($B28,'Cash Flow'!$F$2:$AJ$2,'Cash Flow'!$F$63:$AJ$63)+LOOKUP($B28,'Cash Flow'!$F$2:$AJ$2,'Cash Flow'!$F$65:$AJ$65))</f>
        <v>-3492.9156111749016</v>
      </c>
      <c r="L28" s="149">
        <f>IF($B28&gt;Inputs!$G$15,"",LOOKUP($B28,'Cash Flow'!$F$2:$AJ$2,'Cash Flow'!$F$64:$AJ$64)+LOOKUP($B28,'Cash Flow'!$F$2:$AJ$2,'Cash Flow'!$F$66:$AJ$66))</f>
        <v>-927.08142685360417</v>
      </c>
      <c r="M28" s="149">
        <f>IF($B28&gt;Inputs!$G$15,"",H28+K28+L28)</f>
        <v>143225.83064486017</v>
      </c>
      <c r="N28" s="149">
        <f>IF($B28&gt;Inputs!$G$15,N27,N27+M28)</f>
        <v>7230803.2766891392</v>
      </c>
      <c r="O28" s="152">
        <f>IF($B28&gt;Inputs!$G$15,"",LOOKUP($B28,'Cash Flow'!$F$2:$AJ$2,'Cash Flow'!$F$68:$AJ$68))</f>
        <v>0.14927173531825622</v>
      </c>
      <c r="P28" s="153" t="str">
        <f>IF($B28&gt;Inputs!$G$15,"",LOOKUP($B28,'Cash Flow'!$F$2:$AJ$2,'Cash Flow'!$F$41:$AJ$41))</f>
        <v>N/A</v>
      </c>
      <c r="R28" s="343">
        <f>IF($B28&gt;Inputs!$G$15,"",D28+K28+L28)</f>
        <v>288359.20363102865</v>
      </c>
      <c r="S28" s="344">
        <f>IF($B28&gt;Inputs!$G$15,"",-(E28+F28+G28))</f>
        <v>145133.37298616848</v>
      </c>
    </row>
    <row r="29" spans="2:19" x14ac:dyDescent="0.2">
      <c r="B29" s="155">
        <v>23</v>
      </c>
      <c r="C29" s="151">
        <f>IF($B29&gt;Inputs!$G$15,"",IF($B29&lt;=Inputs!$Q$8,LOOKUP($B29,'Cash Flow'!$F$2:$AJ$2,'Cash Flow'!$F$14:$AJ$14),LOOKUP($B29,'Cash Flow'!$F$2:$AJ$2,'Cash Flow'!$F$16:$AJ$16)))</f>
        <v>9.5805170443039103</v>
      </c>
      <c r="D29" s="149">
        <f>IF($B29&gt;Inputs!$G$15,"",LOOKUP($B29,'Cash Flow'!$F$2:$AJ$2,'Cash Flow'!$F$23:$AJ$23))</f>
        <v>300014.59205419128</v>
      </c>
      <c r="E29" s="149">
        <f>IF($B29&gt;Inputs!$G$15,"",LOOKUP($B29,'Cash Flow'!$F$2:$AJ$2,'Cash Flow'!$F$35:$AJ$35))</f>
        <v>-146895.96119823214</v>
      </c>
      <c r="F29" s="149">
        <f>IF($B29&gt;Inputs!$G$15,"",LOOKUP($B29,'Cash Flow'!$F$2:$AJ$2,'Cash Flow'!$F$85:$AJ$85))</f>
        <v>0</v>
      </c>
      <c r="G29" s="149">
        <f>IF($B29&gt;Inputs!$G$15,"",LOOKUP($B29,'Cash Flow'!$F$2:$AJ$2,'Cash Flow'!$F$47:$AJ$47)+LOOKUP($B29,'Cash Flow'!$F$2:$AJ$2,'Cash Flow'!$F$48:$AJ$48))</f>
        <v>0</v>
      </c>
      <c r="H29" s="149">
        <f>IF($B29&gt;Inputs!$G$15,"",SUM(D29:G29))</f>
        <v>153118.63085595914</v>
      </c>
      <c r="I29" s="149">
        <f>IF($B29&gt;Inputs!$G$15,"",LOOKUP($B29,'Cash Flow'!$F$2:$AJ$2,'Cash Flow'!$F$60:$AJ$60))</f>
        <v>91025.830855959153</v>
      </c>
      <c r="J29" s="149">
        <f>IF($B29&gt;Inputs!$G$15,"",LOOKUP($B29,'Cash Flow'!$F$2:$AJ$2,'Cash Flow'!$F$61:$AJ$61))</f>
        <v>91025.830855959153</v>
      </c>
      <c r="K29" s="149">
        <f>IF($B29&gt;Inputs!$G$15,"",LOOKUP($B29,'Cash Flow'!$F$2:$AJ$2,'Cash Flow'!$F$63:$AJ$63)+LOOKUP($B29,'Cash Flow'!$F$2:$AJ$2,'Cash Flow'!$F$65:$AJ$65))</f>
        <v>-29151.022331620919</v>
      </c>
      <c r="L29" s="149">
        <f>IF($B29&gt;Inputs!$G$15,"",LOOKUP($B29,'Cash Flow'!$F$2:$AJ$2,'Cash Flow'!$F$64:$AJ$64)+LOOKUP($B29,'Cash Flow'!$F$2:$AJ$2,'Cash Flow'!$F$66:$AJ$66))</f>
        <v>-7737.1956227565288</v>
      </c>
      <c r="M29" s="149">
        <f>IF($B29&gt;Inputs!$G$15,"",H29+K29+L29)</f>
        <v>116230.4129015817</v>
      </c>
      <c r="N29" s="149">
        <f>IF($B29&gt;Inputs!$G$15,N28,N28+M29)</f>
        <v>7347033.6895907205</v>
      </c>
      <c r="O29" s="152">
        <f>IF($B29&gt;Inputs!$G$15,"",LOOKUP($B29,'Cash Flow'!$F$2:$AJ$2,'Cash Flow'!$F$68:$AJ$68))</f>
        <v>0.14952775920033456</v>
      </c>
      <c r="P29" s="153" t="str">
        <f>IF($B29&gt;Inputs!$G$15,"",LOOKUP($B29,'Cash Flow'!$F$2:$AJ$2,'Cash Flow'!$F$41:$AJ$41))</f>
        <v>N/A</v>
      </c>
      <c r="R29" s="343">
        <f>IF($B29&gt;Inputs!$G$15,"",D29+K29+L29)</f>
        <v>263126.37409981381</v>
      </c>
      <c r="S29" s="344">
        <f>IF($B29&gt;Inputs!$G$15,"",-(E29+F29+G29))</f>
        <v>146895.96119823214</v>
      </c>
    </row>
    <row r="30" spans="2:19" x14ac:dyDescent="0.2">
      <c r="B30" s="150">
        <v>24</v>
      </c>
      <c r="C30" s="151">
        <f>IF($B30&gt;Inputs!$G$15,"",IF($B30&lt;=Inputs!$Q$8,LOOKUP($B30,'Cash Flow'!$F$2:$AJ$2,'Cash Flow'!$F$14:$AJ$14),LOOKUP($B30,'Cash Flow'!$F$2:$AJ$2,'Cash Flow'!$F$16:$AJ$16)))</f>
        <v>9.8679325556330273</v>
      </c>
      <c r="D30" s="149">
        <f>IF($B30&gt;Inputs!$G$15,"",LOOKUP($B30,'Cash Flow'!$F$2:$AJ$2,'Cash Flow'!$F$23:$AJ$23))</f>
        <v>307429.78291524609</v>
      </c>
      <c r="E30" s="149">
        <f>IF($B30&gt;Inputs!$G$15,"",LOOKUP($B30,'Cash Flow'!$F$2:$AJ$2,'Cash Flow'!$F$35:$AJ$35))</f>
        <v>-148752.11059707098</v>
      </c>
      <c r="F30" s="149">
        <f>IF($B30&gt;Inputs!$G$15,"",LOOKUP($B30,'Cash Flow'!$F$2:$AJ$2,'Cash Flow'!$F$85:$AJ$85))</f>
        <v>0</v>
      </c>
      <c r="G30" s="149">
        <f>IF($B30&gt;Inputs!$G$15,"",LOOKUP($B30,'Cash Flow'!$F$2:$AJ$2,'Cash Flow'!$F$47:$AJ$47)+LOOKUP($B30,'Cash Flow'!$F$2:$AJ$2,'Cash Flow'!$F$48:$AJ$48))</f>
        <v>0</v>
      </c>
      <c r="H30" s="149">
        <f>IF($B30&gt;Inputs!$G$15,"",SUM(D30:G30))</f>
        <v>158677.67231817511</v>
      </c>
      <c r="I30" s="149">
        <f>IF($B30&gt;Inputs!$G$15,"",LOOKUP($B30,'Cash Flow'!$F$2:$AJ$2,'Cash Flow'!$F$60:$AJ$60))</f>
        <v>96584.872318175127</v>
      </c>
      <c r="J30" s="149">
        <f>IF($B30&gt;Inputs!$G$15,"",LOOKUP($B30,'Cash Flow'!$F$2:$AJ$2,'Cash Flow'!$F$61:$AJ$61))</f>
        <v>96584.872318175127</v>
      </c>
      <c r="K30" s="149">
        <f>IF($B30&gt;Inputs!$G$15,"",LOOKUP($B30,'Cash Flow'!$F$2:$AJ$2,'Cash Flow'!$F$63:$AJ$63)+LOOKUP($B30,'Cash Flow'!$F$2:$AJ$2,'Cash Flow'!$F$65:$AJ$65))</f>
        <v>-30931.305359895581</v>
      </c>
      <c r="L30" s="149">
        <f>IF($B30&gt;Inputs!$G$15,"",LOOKUP($B30,'Cash Flow'!$F$2:$AJ$2,'Cash Flow'!$F$64:$AJ$64)+LOOKUP($B30,'Cash Flow'!$F$2:$AJ$2,'Cash Flow'!$F$66:$AJ$66))</f>
        <v>-8209.714147044886</v>
      </c>
      <c r="M30" s="149">
        <f>IF($B30&gt;Inputs!$G$15,"",H30+K30+L30)</f>
        <v>119536.65281123466</v>
      </c>
      <c r="N30" s="149">
        <f>IF($B30&gt;Inputs!$G$15,N29,N29+M30)</f>
        <v>7466570.3424019553</v>
      </c>
      <c r="O30" s="152">
        <f>IF($B30&gt;Inputs!$G$15,"",LOOKUP($B30,'Cash Flow'!$F$2:$AJ$2,'Cash Flow'!$F$68:$AJ$68))</f>
        <v>0.14975508765074008</v>
      </c>
      <c r="P30" s="153" t="str">
        <f>IF($B30&gt;Inputs!$G$15,"",LOOKUP($B30,'Cash Flow'!$F$2:$AJ$2,'Cash Flow'!$F$41:$AJ$41))</f>
        <v>N/A</v>
      </c>
      <c r="R30" s="343">
        <f>IF($B30&gt;Inputs!$G$15,"",D30+K30+L30)</f>
        <v>268288.76340830565</v>
      </c>
      <c r="S30" s="344">
        <f>IF($B30&gt;Inputs!$G$15,"",-(E30+F30+G30))</f>
        <v>148752.11059707098</v>
      </c>
    </row>
    <row r="31" spans="2:19" x14ac:dyDescent="0.2">
      <c r="B31" s="150">
        <v>25</v>
      </c>
      <c r="C31" s="151">
        <f>IF($B31&gt;Inputs!$G$15,"",IF($B31&lt;=Inputs!$Q$8,LOOKUP($B31,'Cash Flow'!$F$2:$AJ$2,'Cash Flow'!$F$14:$AJ$14),LOOKUP($B31,'Cash Flow'!$F$2:$AJ$2,'Cash Flow'!$F$16:$AJ$16)))</f>
        <v>10.163970532302018</v>
      </c>
      <c r="D31" s="149">
        <f>IF($B31&gt;Inputs!$G$15,"",LOOKUP($B31,'Cash Flow'!$F$2:$AJ$2,'Cash Flow'!$F$23:$AJ$23))</f>
        <v>314220.95653093129</v>
      </c>
      <c r="E31" s="149">
        <f>IF($B31&gt;Inputs!$G$15,"",LOOKUP($B31,'Cash Flow'!$F$2:$AJ$2,'Cash Flow'!$F$35:$AJ$35))</f>
        <v>-150697.01933242136</v>
      </c>
      <c r="F31" s="149">
        <f>IF($B31&gt;Inputs!$G$15,"",LOOKUP($B31,'Cash Flow'!$F$2:$AJ$2,'Cash Flow'!$F$85:$AJ$85))</f>
        <v>0</v>
      </c>
      <c r="G31" s="149">
        <f>IF($B31&gt;Inputs!$G$15,"",LOOKUP($B31,'Cash Flow'!$F$2:$AJ$2,'Cash Flow'!$F$47:$AJ$47)+LOOKUP($B31,'Cash Flow'!$F$2:$AJ$2,'Cash Flow'!$F$48:$AJ$48))</f>
        <v>80828.473826683039</v>
      </c>
      <c r="H31" s="149">
        <f>IF($B31&gt;Inputs!$G$15,"",SUM(D31:G31))</f>
        <v>244352.41102519297</v>
      </c>
      <c r="I31" s="149">
        <f>IF($B31&gt;Inputs!$G$15,"",LOOKUP($B31,'Cash Flow'!$F$2:$AJ$2,'Cash Flow'!$F$60:$AJ$60))</f>
        <v>132477.53719850993</v>
      </c>
      <c r="J31" s="149">
        <f>IF($B31&gt;Inputs!$G$15,"",LOOKUP($B31,'Cash Flow'!$F$2:$AJ$2,'Cash Flow'!$F$61:$AJ$61))</f>
        <v>132477.53719850993</v>
      </c>
      <c r="K31" s="149">
        <f>IF($B31&gt;Inputs!$G$15,"",LOOKUP($B31,'Cash Flow'!$F$2:$AJ$2,'Cash Flow'!$F$63:$AJ$63)+LOOKUP($B31,'Cash Flow'!$F$2:$AJ$2,'Cash Flow'!$F$65:$AJ$65))</f>
        <v>-42425.931287822801</v>
      </c>
      <c r="L31" s="149">
        <f>IF($B31&gt;Inputs!$G$15,"",LOOKUP($B31,'Cash Flow'!$F$2:$AJ$2,'Cash Flow'!$F$64:$AJ$64)+LOOKUP($B31,'Cash Flow'!$F$2:$AJ$2,'Cash Flow'!$F$66:$AJ$66))</f>
        <v>-11260.590661873344</v>
      </c>
      <c r="M31" s="149">
        <f>IF($B31&gt;Inputs!$G$15,"",H31+K31+L31)</f>
        <v>190665.88907549682</v>
      </c>
      <c r="N31" s="149">
        <f>IF($B31&gt;Inputs!$G$15,N30,N30+M31)</f>
        <v>7657236.2314774524</v>
      </c>
      <c r="O31" s="152">
        <f>IF($B31&gt;Inputs!$G$15,"",LOOKUP($B31,'Cash Flow'!$F$2:$AJ$2,'Cash Flow'!$F$68:$AJ$68))</f>
        <v>0.15006764381260651</v>
      </c>
      <c r="P31" s="153" t="str">
        <f>IF($B31&gt;Inputs!$G$15,"",LOOKUP($B31,'Cash Flow'!$F$2:$AJ$2,'Cash Flow'!$F$41:$AJ$41))</f>
        <v>N/A</v>
      </c>
      <c r="R31" s="343">
        <f>IF($B31&gt;Inputs!$G$15,"",D31+K31+L31)</f>
        <v>260534.43458123517</v>
      </c>
      <c r="S31" s="344">
        <f>IF($B31&gt;Inputs!$G$15,"",-(E31+F31+G31))</f>
        <v>69868.545505738322</v>
      </c>
    </row>
    <row r="32" spans="2:19" x14ac:dyDescent="0.2">
      <c r="B32" s="155">
        <v>26</v>
      </c>
      <c r="C32" s="151" t="str">
        <f>IF($B32&gt;Inputs!$G$15,"",IF($B32&lt;=Inputs!$Q$8,LOOKUP($B32,'Cash Flow'!$F$2:$AJ$2,'Cash Flow'!$F$14:$AJ$14),LOOKUP($B32,'Cash Flow'!$F$2:$AJ$2,'Cash Flow'!$F$16:$AJ$16)))</f>
        <v/>
      </c>
      <c r="D32" s="149" t="str">
        <f>IF($B32&gt;Inputs!$G$15,"",LOOKUP($B32,'Cash Flow'!$F$2:$AJ$2,'Cash Flow'!$F$23:$AJ$23))</f>
        <v/>
      </c>
      <c r="E32" s="149" t="str">
        <f>IF($B32&gt;Inputs!$G$15,"",LOOKUP($B32,'Cash Flow'!$F$2:$AJ$2,'Cash Flow'!$F$35:$AJ$35))</f>
        <v/>
      </c>
      <c r="F32" s="149" t="str">
        <f>IF($B32&gt;Inputs!$G$15,"",LOOKUP($B32,'Cash Flow'!$F$2:$AJ$2,'Cash Flow'!$F$85:$AJ$85))</f>
        <v/>
      </c>
      <c r="G32" s="149" t="str">
        <f>IF($B32&gt;Inputs!$G$15,"",LOOKUP($B32,'Cash Flow'!$F$2:$AJ$2,'Cash Flow'!$F$47:$AJ$47)+LOOKUP($B32,'Cash Flow'!$F$2:$AJ$2,'Cash Flow'!$F$48:$AJ$48))</f>
        <v/>
      </c>
      <c r="H32" s="149" t="str">
        <f>IF($B32&gt;Inputs!$G$15,"",SUM(D32:G32))</f>
        <v/>
      </c>
      <c r="I32" s="149" t="str">
        <f>IF($B32&gt;Inputs!$G$15,"",LOOKUP($B32,'Cash Flow'!$F$2:$AJ$2,'Cash Flow'!$F$60:$AJ$60))</f>
        <v/>
      </c>
      <c r="J32" s="149" t="str">
        <f>IF($B32&gt;Inputs!$G$15,"",LOOKUP($B32,'Cash Flow'!$F$2:$AJ$2,'Cash Flow'!$F$61:$AJ$61))</f>
        <v/>
      </c>
      <c r="K32" s="149" t="str">
        <f>IF($B32&gt;Inputs!$G$15,"",LOOKUP($B32,'Cash Flow'!$F$2:$AJ$2,'Cash Flow'!$F$63:$AJ$63)+LOOKUP($B32,'Cash Flow'!$F$2:$AJ$2,'Cash Flow'!$F$65:$AJ$65))</f>
        <v/>
      </c>
      <c r="L32" s="149" t="str">
        <f>IF($B32&gt;Inputs!$G$15,"",LOOKUP($B32,'Cash Flow'!$F$2:$AJ$2,'Cash Flow'!$F$64:$AJ$64)+LOOKUP($B32,'Cash Flow'!$F$2:$AJ$2,'Cash Flow'!$F$66:$AJ$66))</f>
        <v/>
      </c>
      <c r="M32" s="149" t="str">
        <f>IF($B32&gt;Inputs!$G$15,"",H32+K32+L32)</f>
        <v/>
      </c>
      <c r="N32" s="149">
        <f>IF($B32&gt;Inputs!$G$15,N31,N31+M32)</f>
        <v>7657236.2314774524</v>
      </c>
      <c r="O32" s="152" t="str">
        <f>IF($B32&gt;Inputs!$G$15,"",LOOKUP($B32,'Cash Flow'!$F$2:$AJ$2,'Cash Flow'!$F$68:$AJ$68))</f>
        <v/>
      </c>
      <c r="P32" s="153" t="str">
        <f>IF($B32&gt;Inputs!$G$15,"",LOOKUP($B32,'Cash Flow'!$F$2:$AJ$2,'Cash Flow'!$F$41:$AJ$41))</f>
        <v/>
      </c>
      <c r="R32" s="343" t="str">
        <f>IF($B32&gt;Inputs!$G$15,"",D32+K32+L32)</f>
        <v/>
      </c>
      <c r="S32" s="344" t="str">
        <f>IF($B32&gt;Inputs!$G$15,"",-(E32+F32+G32))</f>
        <v/>
      </c>
    </row>
    <row r="33" spans="2:19" x14ac:dyDescent="0.2">
      <c r="B33" s="150">
        <v>27</v>
      </c>
      <c r="C33" s="151" t="str">
        <f>IF($B33&gt;Inputs!$G$15,"",IF($B33&lt;=Inputs!$Q$8,LOOKUP($B33,'Cash Flow'!$F$2:$AJ$2,'Cash Flow'!$F$14:$AJ$14),LOOKUP($B33,'Cash Flow'!$F$2:$AJ$2,'Cash Flow'!$F$16:$AJ$16)))</f>
        <v/>
      </c>
      <c r="D33" s="149" t="str">
        <f>IF($B33&gt;Inputs!$G$15,"",LOOKUP($B33,'Cash Flow'!$F$2:$AJ$2,'Cash Flow'!$F$23:$AJ$23))</f>
        <v/>
      </c>
      <c r="E33" s="149" t="str">
        <f>IF($B33&gt;Inputs!$G$15,"",LOOKUP($B33,'Cash Flow'!$F$2:$AJ$2,'Cash Flow'!$F$35:$AJ$35))</f>
        <v/>
      </c>
      <c r="F33" s="149" t="str">
        <f>IF($B33&gt;Inputs!$G$15,"",LOOKUP($B33,'Cash Flow'!$F$2:$AJ$2,'Cash Flow'!$F$85:$AJ$85))</f>
        <v/>
      </c>
      <c r="G33" s="149" t="str">
        <f>IF($B33&gt;Inputs!$G$15,"",LOOKUP($B33,'Cash Flow'!$F$2:$AJ$2,'Cash Flow'!$F$47:$AJ$47)+LOOKUP($B33,'Cash Flow'!$F$2:$AJ$2,'Cash Flow'!$F$48:$AJ$48))</f>
        <v/>
      </c>
      <c r="H33" s="149" t="str">
        <f>IF($B33&gt;Inputs!$G$15,"",SUM(D33:G33))</f>
        <v/>
      </c>
      <c r="I33" s="149" t="str">
        <f>IF($B33&gt;Inputs!$G$15,"",LOOKUP($B33,'Cash Flow'!$F$2:$AJ$2,'Cash Flow'!$F$60:$AJ$60))</f>
        <v/>
      </c>
      <c r="J33" s="149" t="str">
        <f>IF($B33&gt;Inputs!$G$15,"",LOOKUP($B33,'Cash Flow'!$F$2:$AJ$2,'Cash Flow'!$F$61:$AJ$61))</f>
        <v/>
      </c>
      <c r="K33" s="149" t="str">
        <f>IF($B33&gt;Inputs!$G$15,"",LOOKUP($B33,'Cash Flow'!$F$2:$AJ$2,'Cash Flow'!$F$63:$AJ$63)+LOOKUP($B33,'Cash Flow'!$F$2:$AJ$2,'Cash Flow'!$F$65:$AJ$65))</f>
        <v/>
      </c>
      <c r="L33" s="149" t="str">
        <f>IF($B33&gt;Inputs!$G$15,"",LOOKUP($B33,'Cash Flow'!$F$2:$AJ$2,'Cash Flow'!$F$64:$AJ$64)+LOOKUP($B33,'Cash Flow'!$F$2:$AJ$2,'Cash Flow'!$F$66:$AJ$66))</f>
        <v/>
      </c>
      <c r="M33" s="149" t="str">
        <f>IF($B33&gt;Inputs!$G$15,"",H33+K33+L33)</f>
        <v/>
      </c>
      <c r="N33" s="149">
        <f>IF($B33&gt;Inputs!$G$15,N32,N32+M33)</f>
        <v>7657236.2314774524</v>
      </c>
      <c r="O33" s="152" t="str">
        <f>IF($B33&gt;Inputs!$G$15,"",LOOKUP($B33,'Cash Flow'!$F$2:$AJ$2,'Cash Flow'!$F$68:$AJ$68))</f>
        <v/>
      </c>
      <c r="P33" s="153" t="str">
        <f>IF($B33&gt;Inputs!$G$15,"",LOOKUP($B33,'Cash Flow'!$F$2:$AJ$2,'Cash Flow'!$F$41:$AJ$41))</f>
        <v/>
      </c>
      <c r="R33" s="343" t="str">
        <f>IF($B33&gt;Inputs!$G$15,"",D33+K33+L33)</f>
        <v/>
      </c>
      <c r="S33" s="344" t="str">
        <f>IF($B33&gt;Inputs!$G$15,"",-(E33+F33+G33))</f>
        <v/>
      </c>
    </row>
    <row r="34" spans="2:19" x14ac:dyDescent="0.2">
      <c r="B34" s="150">
        <v>28</v>
      </c>
      <c r="C34" s="151" t="str">
        <f>IF($B34&gt;Inputs!$G$15,"",IF($B34&lt;=Inputs!$Q$8,LOOKUP($B34,'Cash Flow'!$F$2:$AJ$2,'Cash Flow'!$F$14:$AJ$14),LOOKUP($B34,'Cash Flow'!$F$2:$AJ$2,'Cash Flow'!$F$16:$AJ$16)))</f>
        <v/>
      </c>
      <c r="D34" s="149" t="str">
        <f>IF($B34&gt;Inputs!$G$15,"",LOOKUP($B34,'Cash Flow'!$F$2:$AJ$2,'Cash Flow'!$F$23:$AJ$23))</f>
        <v/>
      </c>
      <c r="E34" s="149" t="str">
        <f>IF($B34&gt;Inputs!$G$15,"",LOOKUP($B34,'Cash Flow'!$F$2:$AJ$2,'Cash Flow'!$F$35:$AJ$35))</f>
        <v/>
      </c>
      <c r="F34" s="149" t="str">
        <f>IF($B34&gt;Inputs!$G$15,"",LOOKUP($B34,'Cash Flow'!$F$2:$AJ$2,'Cash Flow'!$F$85:$AJ$85))</f>
        <v/>
      </c>
      <c r="G34" s="149" t="str">
        <f>IF($B34&gt;Inputs!$G$15,"",LOOKUP($B34,'Cash Flow'!$F$2:$AJ$2,'Cash Flow'!$F$47:$AJ$47)+LOOKUP($B34,'Cash Flow'!$F$2:$AJ$2,'Cash Flow'!$F$48:$AJ$48))</f>
        <v/>
      </c>
      <c r="H34" s="149" t="str">
        <f>IF($B34&gt;Inputs!$G$15,"",SUM(D34:G34))</f>
        <v/>
      </c>
      <c r="I34" s="149" t="str">
        <f>IF($B34&gt;Inputs!$G$15,"",LOOKUP($B34,'Cash Flow'!$F$2:$AJ$2,'Cash Flow'!$F$60:$AJ$60))</f>
        <v/>
      </c>
      <c r="J34" s="149" t="str">
        <f>IF($B34&gt;Inputs!$G$15,"",LOOKUP($B34,'Cash Flow'!$F$2:$AJ$2,'Cash Flow'!$F$61:$AJ$61))</f>
        <v/>
      </c>
      <c r="K34" s="149" t="str">
        <f>IF($B34&gt;Inputs!$G$15,"",LOOKUP($B34,'Cash Flow'!$F$2:$AJ$2,'Cash Flow'!$F$63:$AJ$63)+LOOKUP($B34,'Cash Flow'!$F$2:$AJ$2,'Cash Flow'!$F$65:$AJ$65))</f>
        <v/>
      </c>
      <c r="L34" s="149" t="str">
        <f>IF($B34&gt;Inputs!$G$15,"",LOOKUP($B34,'Cash Flow'!$F$2:$AJ$2,'Cash Flow'!$F$64:$AJ$64)+LOOKUP($B34,'Cash Flow'!$F$2:$AJ$2,'Cash Flow'!$F$66:$AJ$66))</f>
        <v/>
      </c>
      <c r="M34" s="149" t="str">
        <f>IF($B34&gt;Inputs!$G$15,"",H34+K34+L34)</f>
        <v/>
      </c>
      <c r="N34" s="149">
        <f>IF($B34&gt;Inputs!$G$15,N33,N33+M34)</f>
        <v>7657236.2314774524</v>
      </c>
      <c r="O34" s="152" t="str">
        <f>IF($B34&gt;Inputs!$G$15,"",LOOKUP($B34,'Cash Flow'!$F$2:$AJ$2,'Cash Flow'!$F$68:$AJ$68))</f>
        <v/>
      </c>
      <c r="P34" s="153" t="str">
        <f>IF($B34&gt;Inputs!$G$15,"",LOOKUP($B34,'Cash Flow'!$F$2:$AJ$2,'Cash Flow'!$F$41:$AJ$41))</f>
        <v/>
      </c>
      <c r="R34" s="343" t="str">
        <f>IF($B34&gt;Inputs!$G$15,"",D34+K34+L34)</f>
        <v/>
      </c>
      <c r="S34" s="344" t="str">
        <f>IF($B34&gt;Inputs!$G$15,"",-(E34+F34+G34))</f>
        <v/>
      </c>
    </row>
    <row r="35" spans="2:19" x14ac:dyDescent="0.2">
      <c r="B35" s="155">
        <v>29</v>
      </c>
      <c r="C35" s="151" t="str">
        <f>IF($B35&gt;Inputs!$G$15,"",IF($B35&lt;=Inputs!$Q$8,LOOKUP($B35,'Cash Flow'!$F$2:$AJ$2,'Cash Flow'!$F$14:$AJ$14),LOOKUP($B35,'Cash Flow'!$F$2:$AJ$2,'Cash Flow'!$F$16:$AJ$16)))</f>
        <v/>
      </c>
      <c r="D35" s="149" t="str">
        <f>IF($B35&gt;Inputs!$G$15,"",LOOKUP($B35,'Cash Flow'!$F$2:$AJ$2,'Cash Flow'!$F$23:$AJ$23))</f>
        <v/>
      </c>
      <c r="E35" s="149" t="str">
        <f>IF($B35&gt;Inputs!$G$15,"",LOOKUP($B35,'Cash Flow'!$F$2:$AJ$2,'Cash Flow'!$F$35:$AJ$35))</f>
        <v/>
      </c>
      <c r="F35" s="149" t="str">
        <f>IF($B35&gt;Inputs!$G$15,"",LOOKUP($B35,'Cash Flow'!$F$2:$AJ$2,'Cash Flow'!$F$85:$AJ$85))</f>
        <v/>
      </c>
      <c r="G35" s="149" t="str">
        <f>IF($B35&gt;Inputs!$G$15,"",LOOKUP($B35,'Cash Flow'!$F$2:$AJ$2,'Cash Flow'!$F$47:$AJ$47)+LOOKUP($B35,'Cash Flow'!$F$2:$AJ$2,'Cash Flow'!$F$48:$AJ$48))</f>
        <v/>
      </c>
      <c r="H35" s="149" t="str">
        <f>IF($B35&gt;Inputs!$G$15,"",SUM(D35:G35))</f>
        <v/>
      </c>
      <c r="I35" s="149" t="str">
        <f>IF($B35&gt;Inputs!$G$15,"",LOOKUP($B35,'Cash Flow'!$F$2:$AJ$2,'Cash Flow'!$F$60:$AJ$60))</f>
        <v/>
      </c>
      <c r="J35" s="149" t="str">
        <f>IF($B35&gt;Inputs!$G$15,"",LOOKUP($B35,'Cash Flow'!$F$2:$AJ$2,'Cash Flow'!$F$61:$AJ$61))</f>
        <v/>
      </c>
      <c r="K35" s="149" t="str">
        <f>IF($B35&gt;Inputs!$G$15,"",LOOKUP($B35,'Cash Flow'!$F$2:$AJ$2,'Cash Flow'!$F$63:$AJ$63)+LOOKUP($B35,'Cash Flow'!$F$2:$AJ$2,'Cash Flow'!$F$65:$AJ$65))</f>
        <v/>
      </c>
      <c r="L35" s="149" t="str">
        <f>IF($B35&gt;Inputs!$G$15,"",LOOKUP($B35,'Cash Flow'!$F$2:$AJ$2,'Cash Flow'!$F$64:$AJ$64)+LOOKUP($B35,'Cash Flow'!$F$2:$AJ$2,'Cash Flow'!$F$66:$AJ$66))</f>
        <v/>
      </c>
      <c r="M35" s="149" t="str">
        <f>IF($B35&gt;Inputs!$G$15,"",H35+K35+L35)</f>
        <v/>
      </c>
      <c r="N35" s="149">
        <f>IF($B35&gt;Inputs!$G$15,N34,N34+M35)</f>
        <v>7657236.2314774524</v>
      </c>
      <c r="O35" s="152" t="str">
        <f>IF($B35&gt;Inputs!$G$15,"",LOOKUP($B35,'Cash Flow'!$F$2:$AJ$2,'Cash Flow'!$F$68:$AJ$68))</f>
        <v/>
      </c>
      <c r="P35" s="153" t="str">
        <f>IF($B35&gt;Inputs!$G$15,"",LOOKUP($B35,'Cash Flow'!$F$2:$AJ$2,'Cash Flow'!$F$41:$AJ$41))</f>
        <v/>
      </c>
      <c r="R35" s="343" t="str">
        <f>IF($B35&gt;Inputs!$G$15,"",D35+K35+L35)</f>
        <v/>
      </c>
      <c r="S35" s="344" t="str">
        <f>IF($B35&gt;Inputs!$G$15,"",-(E35+F35+G35))</f>
        <v/>
      </c>
    </row>
    <row r="36" spans="2:19" x14ac:dyDescent="0.2">
      <c r="B36" s="150">
        <v>30</v>
      </c>
      <c r="C36" s="151" t="str">
        <f>IF($B36&gt;Inputs!$G$15,"",IF($B36&lt;=Inputs!$Q$8,LOOKUP($B36,'Cash Flow'!$F$2:$AJ$2,'Cash Flow'!$F$14:$AJ$14),LOOKUP($B36,'Cash Flow'!$F$2:$AJ$2,'Cash Flow'!$F$16:$AJ$16)))</f>
        <v/>
      </c>
      <c r="D36" s="149" t="str">
        <f>IF($B36&gt;Inputs!$G$15,"",LOOKUP($B36,'Cash Flow'!$F$2:$AJ$2,'Cash Flow'!$F$23:$AJ$23))</f>
        <v/>
      </c>
      <c r="E36" s="149" t="str">
        <f>IF($B36&gt;Inputs!$G$15,"",LOOKUP($B36,'Cash Flow'!$F$2:$AJ$2,'Cash Flow'!$F$35:$AJ$35))</f>
        <v/>
      </c>
      <c r="F36" s="149" t="str">
        <f>IF($B36&gt;Inputs!$G$15,"",LOOKUP($B36,'Cash Flow'!$F$2:$AJ$2,'Cash Flow'!$F$85:$AJ$85))</f>
        <v/>
      </c>
      <c r="G36" s="149" t="str">
        <f>IF($B36&gt;Inputs!$G$15,"",LOOKUP($B36,'Cash Flow'!$F$2:$AJ$2,'Cash Flow'!$F$47:$AJ$47)+LOOKUP($B36,'Cash Flow'!$F$2:$AJ$2,'Cash Flow'!$F$48:$AJ$48))</f>
        <v/>
      </c>
      <c r="H36" s="149" t="str">
        <f>IF($B36&gt;Inputs!$G$15,"",SUM(D36:G36))</f>
        <v/>
      </c>
      <c r="I36" s="149" t="str">
        <f>IF($B36&gt;Inputs!$G$15,"",LOOKUP($B36,'Cash Flow'!$F$2:$AJ$2,'Cash Flow'!$F$60:$AJ$60))</f>
        <v/>
      </c>
      <c r="J36" s="149" t="str">
        <f>IF($B36&gt;Inputs!$G$15,"",LOOKUP($B36,'Cash Flow'!$F$2:$AJ$2,'Cash Flow'!$F$61:$AJ$61))</f>
        <v/>
      </c>
      <c r="K36" s="149" t="str">
        <f>IF($B36&gt;Inputs!$G$15,"",LOOKUP($B36,'Cash Flow'!$F$2:$AJ$2,'Cash Flow'!$F$63:$AJ$63)+LOOKUP($B36,'Cash Flow'!$F$2:$AJ$2,'Cash Flow'!$F$65:$AJ$65))</f>
        <v/>
      </c>
      <c r="L36" s="149" t="str">
        <f>IF($B36&gt;Inputs!$G$15,"",LOOKUP($B36,'Cash Flow'!$F$2:$AJ$2,'Cash Flow'!$F$64:$AJ$64)+LOOKUP($B36,'Cash Flow'!$F$2:$AJ$2,'Cash Flow'!$F$66:$AJ$66))</f>
        <v/>
      </c>
      <c r="M36" s="149" t="str">
        <f>IF($B36&gt;Inputs!$G$15,"",H36+K36+L36)</f>
        <v/>
      </c>
      <c r="N36" s="149">
        <f>IF($B36&gt;Inputs!$G$15,N35,N35+M36)</f>
        <v>7657236.2314774524</v>
      </c>
      <c r="O36" s="152" t="str">
        <f>IF($B36&gt;Inputs!$G$15,"",LOOKUP($B36,'Cash Flow'!$F$2:$AJ$2,'Cash Flow'!$F$68:$AJ$68))</f>
        <v/>
      </c>
      <c r="P36" s="153" t="str">
        <f>IF($B36&gt;Inputs!$G$15,"",LOOKUP($B36,'Cash Flow'!$F$2:$AJ$2,'Cash Flow'!$F$41:$AJ$41))</f>
        <v/>
      </c>
      <c r="R36" s="343" t="str">
        <f>IF($B36&gt;Inputs!$G$15,"",D36+K36+L36)</f>
        <v/>
      </c>
      <c r="S36" s="344" t="str">
        <f>IF($B36&gt;Inputs!$G$15,"",-(E36+F36+G36))</f>
        <v/>
      </c>
    </row>
    <row r="37" spans="2:19" x14ac:dyDescent="0.2">
      <c r="B37" s="156"/>
      <c r="C37" s="157"/>
      <c r="D37" s="157"/>
      <c r="E37" s="157"/>
      <c r="F37" s="157"/>
      <c r="G37" s="168"/>
      <c r="H37" s="157"/>
      <c r="I37" s="157"/>
      <c r="J37" s="157"/>
      <c r="K37" s="157"/>
      <c r="L37" s="157"/>
      <c r="M37" s="168"/>
      <c r="N37" s="168"/>
      <c r="O37" s="168"/>
      <c r="P37" s="169"/>
      <c r="R37" s="345"/>
      <c r="S37" s="346"/>
    </row>
    <row r="38" spans="2:19" x14ac:dyDescent="0.2">
      <c r="G38" s="170"/>
      <c r="M38" s="170"/>
      <c r="N38" s="170"/>
      <c r="O38" s="170"/>
      <c r="P38" s="170"/>
    </row>
  </sheetData>
  <mergeCells count="3">
    <mergeCell ref="R4:R5"/>
    <mergeCell ref="S4:S5"/>
    <mergeCell ref="R3:S3"/>
  </mergeCells>
  <conditionalFormatting sqref="N7:N36">
    <cfRule type="expression" dxfId="3" priority="1">
      <formula>$N7=$N6</formula>
    </cfRule>
  </conditionalFormatting>
  <pageMargins left="0.7" right="0.7" top="0.75" bottom="0.75" header="0.3" footer="0.3"/>
  <pageSetup orientation="portrait" horizontalDpi="4294967293"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AJ228"/>
  <sheetViews>
    <sheetView showGridLines="0" tabSelected="1" zoomScale="70" zoomScaleNormal="70" workbookViewId="0">
      <pane xSplit="5" ySplit="2" topLeftCell="F3" activePane="bottomRight" state="frozen"/>
      <selection pane="topRight" activeCell="D1" sqref="D1"/>
      <selection pane="bottomLeft" activeCell="A4" sqref="A4"/>
      <selection pane="bottomRight" activeCell="A34" sqref="A34:XFD34"/>
    </sheetView>
  </sheetViews>
  <sheetFormatPr defaultColWidth="8.85546875" defaultRowHeight="15" x14ac:dyDescent="0.25"/>
  <cols>
    <col min="1" max="1" width="5.42578125" customWidth="1"/>
    <col min="2" max="2" width="57.42578125" customWidth="1"/>
    <col min="3" max="4" width="15.28515625" customWidth="1"/>
    <col min="5" max="5" width="17.42578125" customWidth="1"/>
    <col min="6" max="6" width="15.85546875" customWidth="1"/>
    <col min="7" max="7" width="15.140625" customWidth="1"/>
    <col min="8" max="36" width="13.7109375" customWidth="1"/>
    <col min="37" max="228" width="9.140625"/>
    <col min="229" max="229" width="5.42578125" customWidth="1"/>
    <col min="230" max="230" width="56.42578125" customWidth="1"/>
    <col min="231" max="231" width="15.28515625" customWidth="1"/>
    <col min="232" max="232" width="15.85546875" customWidth="1"/>
    <col min="233" max="233" width="15.140625" customWidth="1"/>
    <col min="234" max="292" width="13.7109375" customWidth="1"/>
    <col min="293" max="484" width="9.140625"/>
    <col min="485" max="485" width="5.42578125" customWidth="1"/>
    <col min="486" max="486" width="56.42578125" customWidth="1"/>
    <col min="487" max="487" width="15.28515625" customWidth="1"/>
    <col min="488" max="488" width="15.85546875" customWidth="1"/>
    <col min="489" max="489" width="15.140625" customWidth="1"/>
    <col min="490" max="548" width="13.7109375" customWidth="1"/>
    <col min="549" max="740" width="9.140625"/>
    <col min="741" max="741" width="5.42578125" customWidth="1"/>
    <col min="742" max="742" width="56.42578125" customWidth="1"/>
    <col min="743" max="743" width="15.28515625" customWidth="1"/>
    <col min="744" max="744" width="15.85546875" customWidth="1"/>
    <col min="745" max="745" width="15.140625" customWidth="1"/>
    <col min="746" max="804" width="13.7109375" customWidth="1"/>
    <col min="805" max="996" width="9.140625"/>
    <col min="997" max="997" width="5.42578125" customWidth="1"/>
    <col min="998" max="998" width="56.42578125" customWidth="1"/>
    <col min="999" max="999" width="15.28515625" customWidth="1"/>
    <col min="1000" max="1000" width="15.85546875" customWidth="1"/>
    <col min="1001" max="1001" width="15.140625" customWidth="1"/>
    <col min="1002" max="1060" width="13.7109375" customWidth="1"/>
    <col min="1061" max="1252" width="9.140625"/>
    <col min="1253" max="1253" width="5.42578125" customWidth="1"/>
    <col min="1254" max="1254" width="56.42578125" customWidth="1"/>
    <col min="1255" max="1255" width="15.28515625" customWidth="1"/>
    <col min="1256" max="1256" width="15.85546875" customWidth="1"/>
    <col min="1257" max="1257" width="15.140625" customWidth="1"/>
    <col min="1258" max="1316" width="13.7109375" customWidth="1"/>
    <col min="1317" max="1508" width="9.140625"/>
    <col min="1509" max="1509" width="5.42578125" customWidth="1"/>
    <col min="1510" max="1510" width="56.42578125" customWidth="1"/>
    <col min="1511" max="1511" width="15.28515625" customWidth="1"/>
    <col min="1512" max="1512" width="15.85546875" customWidth="1"/>
    <col min="1513" max="1513" width="15.140625" customWidth="1"/>
    <col min="1514" max="1572" width="13.7109375" customWidth="1"/>
    <col min="1573" max="1764" width="9.140625"/>
    <col min="1765" max="1765" width="5.42578125" customWidth="1"/>
    <col min="1766" max="1766" width="56.42578125" customWidth="1"/>
    <col min="1767" max="1767" width="15.28515625" customWidth="1"/>
    <col min="1768" max="1768" width="15.85546875" customWidth="1"/>
    <col min="1769" max="1769" width="15.140625" customWidth="1"/>
    <col min="1770" max="1828" width="13.7109375" customWidth="1"/>
    <col min="1829" max="2020" width="9.140625"/>
    <col min="2021" max="2021" width="5.42578125" customWidth="1"/>
    <col min="2022" max="2022" width="56.42578125" customWidth="1"/>
    <col min="2023" max="2023" width="15.28515625" customWidth="1"/>
    <col min="2024" max="2024" width="15.85546875" customWidth="1"/>
    <col min="2025" max="2025" width="15.140625" customWidth="1"/>
    <col min="2026" max="2084" width="13.7109375" customWidth="1"/>
    <col min="2085" max="2276" width="9.140625"/>
    <col min="2277" max="2277" width="5.42578125" customWidth="1"/>
    <col min="2278" max="2278" width="56.42578125" customWidth="1"/>
    <col min="2279" max="2279" width="15.28515625" customWidth="1"/>
    <col min="2280" max="2280" width="15.85546875" customWidth="1"/>
    <col min="2281" max="2281" width="15.140625" customWidth="1"/>
    <col min="2282" max="2340" width="13.7109375" customWidth="1"/>
    <col min="2341" max="2532" width="9.140625"/>
    <col min="2533" max="2533" width="5.42578125" customWidth="1"/>
    <col min="2534" max="2534" width="56.42578125" customWidth="1"/>
    <col min="2535" max="2535" width="15.28515625" customWidth="1"/>
    <col min="2536" max="2536" width="15.85546875" customWidth="1"/>
    <col min="2537" max="2537" width="15.140625" customWidth="1"/>
    <col min="2538" max="2596" width="13.7109375" customWidth="1"/>
    <col min="2597" max="2788" width="9.140625"/>
    <col min="2789" max="2789" width="5.42578125" customWidth="1"/>
    <col min="2790" max="2790" width="56.42578125" customWidth="1"/>
    <col min="2791" max="2791" width="15.28515625" customWidth="1"/>
    <col min="2792" max="2792" width="15.85546875" customWidth="1"/>
    <col min="2793" max="2793" width="15.140625" customWidth="1"/>
    <col min="2794" max="2852" width="13.7109375" customWidth="1"/>
    <col min="2853" max="3044" width="9.140625"/>
    <col min="3045" max="3045" width="5.42578125" customWidth="1"/>
    <col min="3046" max="3046" width="56.42578125" customWidth="1"/>
    <col min="3047" max="3047" width="15.28515625" customWidth="1"/>
    <col min="3048" max="3048" width="15.85546875" customWidth="1"/>
    <col min="3049" max="3049" width="15.140625" customWidth="1"/>
    <col min="3050" max="3108" width="13.7109375" customWidth="1"/>
    <col min="3109" max="3300" width="9.140625"/>
    <col min="3301" max="3301" width="5.42578125" customWidth="1"/>
    <col min="3302" max="3302" width="56.42578125" customWidth="1"/>
    <col min="3303" max="3303" width="15.28515625" customWidth="1"/>
    <col min="3304" max="3304" width="15.85546875" customWidth="1"/>
    <col min="3305" max="3305" width="15.140625" customWidth="1"/>
    <col min="3306" max="3364" width="13.7109375" customWidth="1"/>
    <col min="3365" max="3556" width="9.140625"/>
    <col min="3557" max="3557" width="5.42578125" customWidth="1"/>
    <col min="3558" max="3558" width="56.42578125" customWidth="1"/>
    <col min="3559" max="3559" width="15.28515625" customWidth="1"/>
    <col min="3560" max="3560" width="15.85546875" customWidth="1"/>
    <col min="3561" max="3561" width="15.140625" customWidth="1"/>
    <col min="3562" max="3620" width="13.7109375" customWidth="1"/>
    <col min="3621" max="3812" width="9.140625"/>
    <col min="3813" max="3813" width="5.42578125" customWidth="1"/>
    <col min="3814" max="3814" width="56.42578125" customWidth="1"/>
    <col min="3815" max="3815" width="15.28515625" customWidth="1"/>
    <col min="3816" max="3816" width="15.85546875" customWidth="1"/>
    <col min="3817" max="3817" width="15.140625" customWidth="1"/>
    <col min="3818" max="3876" width="13.7109375" customWidth="1"/>
    <col min="3877" max="4068" width="9.140625"/>
    <col min="4069" max="4069" width="5.42578125" customWidth="1"/>
    <col min="4070" max="4070" width="56.42578125" customWidth="1"/>
    <col min="4071" max="4071" width="15.28515625" customWidth="1"/>
    <col min="4072" max="4072" width="15.85546875" customWidth="1"/>
    <col min="4073" max="4073" width="15.140625" customWidth="1"/>
    <col min="4074" max="4132" width="13.7109375" customWidth="1"/>
    <col min="4133" max="4324" width="9.140625"/>
    <col min="4325" max="4325" width="5.42578125" customWidth="1"/>
    <col min="4326" max="4326" width="56.42578125" customWidth="1"/>
    <col min="4327" max="4327" width="15.28515625" customWidth="1"/>
    <col min="4328" max="4328" width="15.85546875" customWidth="1"/>
    <col min="4329" max="4329" width="15.140625" customWidth="1"/>
    <col min="4330" max="4388" width="13.7109375" customWidth="1"/>
    <col min="4389" max="4580" width="9.140625"/>
    <col min="4581" max="4581" width="5.42578125" customWidth="1"/>
    <col min="4582" max="4582" width="56.42578125" customWidth="1"/>
    <col min="4583" max="4583" width="15.28515625" customWidth="1"/>
    <col min="4584" max="4584" width="15.85546875" customWidth="1"/>
    <col min="4585" max="4585" width="15.140625" customWidth="1"/>
    <col min="4586" max="4644" width="13.7109375" customWidth="1"/>
    <col min="4645" max="4836" width="9.140625"/>
    <col min="4837" max="4837" width="5.42578125" customWidth="1"/>
    <col min="4838" max="4838" width="56.42578125" customWidth="1"/>
    <col min="4839" max="4839" width="15.28515625" customWidth="1"/>
    <col min="4840" max="4840" width="15.85546875" customWidth="1"/>
    <col min="4841" max="4841" width="15.140625" customWidth="1"/>
    <col min="4842" max="4900" width="13.7109375" customWidth="1"/>
    <col min="4901" max="5092" width="9.140625"/>
    <col min="5093" max="5093" width="5.42578125" customWidth="1"/>
    <col min="5094" max="5094" width="56.42578125" customWidth="1"/>
    <col min="5095" max="5095" width="15.28515625" customWidth="1"/>
    <col min="5096" max="5096" width="15.85546875" customWidth="1"/>
    <col min="5097" max="5097" width="15.140625" customWidth="1"/>
    <col min="5098" max="5156" width="13.7109375" customWidth="1"/>
    <col min="5157" max="5348" width="9.140625"/>
    <col min="5349" max="5349" width="5.42578125" customWidth="1"/>
    <col min="5350" max="5350" width="56.42578125" customWidth="1"/>
    <col min="5351" max="5351" width="15.28515625" customWidth="1"/>
    <col min="5352" max="5352" width="15.85546875" customWidth="1"/>
    <col min="5353" max="5353" width="15.140625" customWidth="1"/>
    <col min="5354" max="5412" width="13.7109375" customWidth="1"/>
    <col min="5413" max="5604" width="9.140625"/>
    <col min="5605" max="5605" width="5.42578125" customWidth="1"/>
    <col min="5606" max="5606" width="56.42578125" customWidth="1"/>
    <col min="5607" max="5607" width="15.28515625" customWidth="1"/>
    <col min="5608" max="5608" width="15.85546875" customWidth="1"/>
    <col min="5609" max="5609" width="15.140625" customWidth="1"/>
    <col min="5610" max="5668" width="13.7109375" customWidth="1"/>
    <col min="5669" max="5860" width="9.140625"/>
    <col min="5861" max="5861" width="5.42578125" customWidth="1"/>
    <col min="5862" max="5862" width="56.42578125" customWidth="1"/>
    <col min="5863" max="5863" width="15.28515625" customWidth="1"/>
    <col min="5864" max="5864" width="15.85546875" customWidth="1"/>
    <col min="5865" max="5865" width="15.140625" customWidth="1"/>
    <col min="5866" max="5924" width="13.7109375" customWidth="1"/>
    <col min="5925" max="6116" width="9.140625"/>
    <col min="6117" max="6117" width="5.42578125" customWidth="1"/>
    <col min="6118" max="6118" width="56.42578125" customWidth="1"/>
    <col min="6119" max="6119" width="15.28515625" customWidth="1"/>
    <col min="6120" max="6120" width="15.85546875" customWidth="1"/>
    <col min="6121" max="6121" width="15.140625" customWidth="1"/>
    <col min="6122" max="6180" width="13.7109375" customWidth="1"/>
    <col min="6181" max="6372" width="9.140625"/>
    <col min="6373" max="6373" width="5.42578125" customWidth="1"/>
    <col min="6374" max="6374" width="56.42578125" customWidth="1"/>
    <col min="6375" max="6375" width="15.28515625" customWidth="1"/>
    <col min="6376" max="6376" width="15.85546875" customWidth="1"/>
    <col min="6377" max="6377" width="15.140625" customWidth="1"/>
    <col min="6378" max="6436" width="13.7109375" customWidth="1"/>
    <col min="6437" max="6628" width="9.140625"/>
    <col min="6629" max="6629" width="5.42578125" customWidth="1"/>
    <col min="6630" max="6630" width="56.42578125" customWidth="1"/>
    <col min="6631" max="6631" width="15.28515625" customWidth="1"/>
    <col min="6632" max="6632" width="15.85546875" customWidth="1"/>
    <col min="6633" max="6633" width="15.140625" customWidth="1"/>
    <col min="6634" max="6692" width="13.7109375" customWidth="1"/>
    <col min="6693" max="6884" width="9.140625"/>
    <col min="6885" max="6885" width="5.42578125" customWidth="1"/>
    <col min="6886" max="6886" width="56.42578125" customWidth="1"/>
    <col min="6887" max="6887" width="15.28515625" customWidth="1"/>
    <col min="6888" max="6888" width="15.85546875" customWidth="1"/>
    <col min="6889" max="6889" width="15.140625" customWidth="1"/>
    <col min="6890" max="6948" width="13.7109375" customWidth="1"/>
    <col min="6949" max="7140" width="9.140625"/>
    <col min="7141" max="7141" width="5.42578125" customWidth="1"/>
    <col min="7142" max="7142" width="56.42578125" customWidth="1"/>
    <col min="7143" max="7143" width="15.28515625" customWidth="1"/>
    <col min="7144" max="7144" width="15.85546875" customWidth="1"/>
    <col min="7145" max="7145" width="15.140625" customWidth="1"/>
    <col min="7146" max="7204" width="13.7109375" customWidth="1"/>
    <col min="7205" max="7396" width="9.140625"/>
    <col min="7397" max="7397" width="5.42578125" customWidth="1"/>
    <col min="7398" max="7398" width="56.42578125" customWidth="1"/>
    <col min="7399" max="7399" width="15.28515625" customWidth="1"/>
    <col min="7400" max="7400" width="15.85546875" customWidth="1"/>
    <col min="7401" max="7401" width="15.140625" customWidth="1"/>
    <col min="7402" max="7460" width="13.7109375" customWidth="1"/>
    <col min="7461" max="7652" width="9.140625"/>
    <col min="7653" max="7653" width="5.42578125" customWidth="1"/>
    <col min="7654" max="7654" width="56.42578125" customWidth="1"/>
    <col min="7655" max="7655" width="15.28515625" customWidth="1"/>
    <col min="7656" max="7656" width="15.85546875" customWidth="1"/>
    <col min="7657" max="7657" width="15.140625" customWidth="1"/>
    <col min="7658" max="7716" width="13.7109375" customWidth="1"/>
    <col min="7717" max="7908" width="9.140625"/>
    <col min="7909" max="7909" width="5.42578125" customWidth="1"/>
    <col min="7910" max="7910" width="56.42578125" customWidth="1"/>
    <col min="7911" max="7911" width="15.28515625" customWidth="1"/>
    <col min="7912" max="7912" width="15.85546875" customWidth="1"/>
    <col min="7913" max="7913" width="15.140625" customWidth="1"/>
    <col min="7914" max="7972" width="13.7109375" customWidth="1"/>
    <col min="7973" max="8164" width="9.140625"/>
    <col min="8165" max="8165" width="5.42578125" customWidth="1"/>
    <col min="8166" max="8166" width="56.42578125" customWidth="1"/>
    <col min="8167" max="8167" width="15.28515625" customWidth="1"/>
    <col min="8168" max="8168" width="15.85546875" customWidth="1"/>
    <col min="8169" max="8169" width="15.140625" customWidth="1"/>
    <col min="8170" max="8228" width="13.7109375" customWidth="1"/>
    <col min="8229" max="8420" width="9.140625"/>
    <col min="8421" max="8421" width="5.42578125" customWidth="1"/>
    <col min="8422" max="8422" width="56.42578125" customWidth="1"/>
    <col min="8423" max="8423" width="15.28515625" customWidth="1"/>
    <col min="8424" max="8424" width="15.85546875" customWidth="1"/>
    <col min="8425" max="8425" width="15.140625" customWidth="1"/>
    <col min="8426" max="8484" width="13.7109375" customWidth="1"/>
    <col min="8485" max="8676" width="9.140625"/>
    <col min="8677" max="8677" width="5.42578125" customWidth="1"/>
    <col min="8678" max="8678" width="56.42578125" customWidth="1"/>
    <col min="8679" max="8679" width="15.28515625" customWidth="1"/>
    <col min="8680" max="8680" width="15.85546875" customWidth="1"/>
    <col min="8681" max="8681" width="15.140625" customWidth="1"/>
    <col min="8682" max="8740" width="13.7109375" customWidth="1"/>
    <col min="8741" max="8932" width="9.140625"/>
    <col min="8933" max="8933" width="5.42578125" customWidth="1"/>
    <col min="8934" max="8934" width="56.42578125" customWidth="1"/>
    <col min="8935" max="8935" width="15.28515625" customWidth="1"/>
    <col min="8936" max="8936" width="15.85546875" customWidth="1"/>
    <col min="8937" max="8937" width="15.140625" customWidth="1"/>
    <col min="8938" max="8996" width="13.7109375" customWidth="1"/>
    <col min="8997" max="9188" width="9.140625"/>
    <col min="9189" max="9189" width="5.42578125" customWidth="1"/>
    <col min="9190" max="9190" width="56.42578125" customWidth="1"/>
    <col min="9191" max="9191" width="15.28515625" customWidth="1"/>
    <col min="9192" max="9192" width="15.85546875" customWidth="1"/>
    <col min="9193" max="9193" width="15.140625" customWidth="1"/>
    <col min="9194" max="9252" width="13.7109375" customWidth="1"/>
    <col min="9253" max="9444" width="9.140625"/>
    <col min="9445" max="9445" width="5.42578125" customWidth="1"/>
    <col min="9446" max="9446" width="56.42578125" customWidth="1"/>
    <col min="9447" max="9447" width="15.28515625" customWidth="1"/>
    <col min="9448" max="9448" width="15.85546875" customWidth="1"/>
    <col min="9449" max="9449" width="15.140625" customWidth="1"/>
    <col min="9450" max="9508" width="13.7109375" customWidth="1"/>
    <col min="9509" max="9700" width="9.140625"/>
    <col min="9701" max="9701" width="5.42578125" customWidth="1"/>
    <col min="9702" max="9702" width="56.42578125" customWidth="1"/>
    <col min="9703" max="9703" width="15.28515625" customWidth="1"/>
    <col min="9704" max="9704" width="15.85546875" customWidth="1"/>
    <col min="9705" max="9705" width="15.140625" customWidth="1"/>
    <col min="9706" max="9764" width="13.7109375" customWidth="1"/>
    <col min="9765" max="9956" width="9.140625"/>
    <col min="9957" max="9957" width="5.42578125" customWidth="1"/>
    <col min="9958" max="9958" width="56.42578125" customWidth="1"/>
    <col min="9959" max="9959" width="15.28515625" customWidth="1"/>
    <col min="9960" max="9960" width="15.85546875" customWidth="1"/>
    <col min="9961" max="9961" width="15.140625" customWidth="1"/>
    <col min="9962" max="10020" width="13.7109375" customWidth="1"/>
    <col min="10021" max="10212" width="9.140625"/>
    <col min="10213" max="10213" width="5.42578125" customWidth="1"/>
    <col min="10214" max="10214" width="56.42578125" customWidth="1"/>
    <col min="10215" max="10215" width="15.28515625" customWidth="1"/>
    <col min="10216" max="10216" width="15.85546875" customWidth="1"/>
    <col min="10217" max="10217" width="15.140625" customWidth="1"/>
    <col min="10218" max="10276" width="13.7109375" customWidth="1"/>
    <col min="10277" max="10468" width="9.140625"/>
    <col min="10469" max="10469" width="5.42578125" customWidth="1"/>
    <col min="10470" max="10470" width="56.42578125" customWidth="1"/>
    <col min="10471" max="10471" width="15.28515625" customWidth="1"/>
    <col min="10472" max="10472" width="15.85546875" customWidth="1"/>
    <col min="10473" max="10473" width="15.140625" customWidth="1"/>
    <col min="10474" max="10532" width="13.7109375" customWidth="1"/>
    <col min="10533" max="10724" width="9.140625"/>
    <col min="10725" max="10725" width="5.42578125" customWidth="1"/>
    <col min="10726" max="10726" width="56.42578125" customWidth="1"/>
    <col min="10727" max="10727" width="15.28515625" customWidth="1"/>
    <col min="10728" max="10728" width="15.85546875" customWidth="1"/>
    <col min="10729" max="10729" width="15.140625" customWidth="1"/>
    <col min="10730" max="10788" width="13.7109375" customWidth="1"/>
    <col min="10789" max="10980" width="9.140625"/>
    <col min="10981" max="10981" width="5.42578125" customWidth="1"/>
    <col min="10982" max="10982" width="56.42578125" customWidth="1"/>
    <col min="10983" max="10983" width="15.28515625" customWidth="1"/>
    <col min="10984" max="10984" width="15.85546875" customWidth="1"/>
    <col min="10985" max="10985" width="15.140625" customWidth="1"/>
    <col min="10986" max="11044" width="13.7109375" customWidth="1"/>
    <col min="11045" max="11236" width="9.140625"/>
    <col min="11237" max="11237" width="5.42578125" customWidth="1"/>
    <col min="11238" max="11238" width="56.42578125" customWidth="1"/>
    <col min="11239" max="11239" width="15.28515625" customWidth="1"/>
    <col min="11240" max="11240" width="15.85546875" customWidth="1"/>
    <col min="11241" max="11241" width="15.140625" customWidth="1"/>
    <col min="11242" max="11300" width="13.7109375" customWidth="1"/>
    <col min="11301" max="11492" width="9.140625"/>
    <col min="11493" max="11493" width="5.42578125" customWidth="1"/>
    <col min="11494" max="11494" width="56.42578125" customWidth="1"/>
    <col min="11495" max="11495" width="15.28515625" customWidth="1"/>
    <col min="11496" max="11496" width="15.85546875" customWidth="1"/>
    <col min="11497" max="11497" width="15.140625" customWidth="1"/>
    <col min="11498" max="11556" width="13.7109375" customWidth="1"/>
    <col min="11557" max="11748" width="9.140625"/>
    <col min="11749" max="11749" width="5.42578125" customWidth="1"/>
    <col min="11750" max="11750" width="56.42578125" customWidth="1"/>
    <col min="11751" max="11751" width="15.28515625" customWidth="1"/>
    <col min="11752" max="11752" width="15.85546875" customWidth="1"/>
    <col min="11753" max="11753" width="15.140625" customWidth="1"/>
    <col min="11754" max="11812" width="13.7109375" customWidth="1"/>
    <col min="11813" max="12004" width="9.140625"/>
    <col min="12005" max="12005" width="5.42578125" customWidth="1"/>
    <col min="12006" max="12006" width="56.42578125" customWidth="1"/>
    <col min="12007" max="12007" width="15.28515625" customWidth="1"/>
    <col min="12008" max="12008" width="15.85546875" customWidth="1"/>
    <col min="12009" max="12009" width="15.140625" customWidth="1"/>
    <col min="12010" max="12068" width="13.7109375" customWidth="1"/>
    <col min="12069" max="12260" width="9.140625"/>
    <col min="12261" max="12261" width="5.42578125" customWidth="1"/>
    <col min="12262" max="12262" width="56.42578125" customWidth="1"/>
    <col min="12263" max="12263" width="15.28515625" customWidth="1"/>
    <col min="12264" max="12264" width="15.85546875" customWidth="1"/>
    <col min="12265" max="12265" width="15.140625" customWidth="1"/>
    <col min="12266" max="12324" width="13.7109375" customWidth="1"/>
    <col min="12325" max="12516" width="9.140625"/>
    <col min="12517" max="12517" width="5.42578125" customWidth="1"/>
    <col min="12518" max="12518" width="56.42578125" customWidth="1"/>
    <col min="12519" max="12519" width="15.28515625" customWidth="1"/>
    <col min="12520" max="12520" width="15.85546875" customWidth="1"/>
    <col min="12521" max="12521" width="15.140625" customWidth="1"/>
    <col min="12522" max="12580" width="13.7109375" customWidth="1"/>
    <col min="12581" max="12772" width="9.140625"/>
    <col min="12773" max="12773" width="5.42578125" customWidth="1"/>
    <col min="12774" max="12774" width="56.42578125" customWidth="1"/>
    <col min="12775" max="12775" width="15.28515625" customWidth="1"/>
    <col min="12776" max="12776" width="15.85546875" customWidth="1"/>
    <col min="12777" max="12777" width="15.140625" customWidth="1"/>
    <col min="12778" max="12836" width="13.7109375" customWidth="1"/>
    <col min="12837" max="13028" width="9.140625"/>
    <col min="13029" max="13029" width="5.42578125" customWidth="1"/>
    <col min="13030" max="13030" width="56.42578125" customWidth="1"/>
    <col min="13031" max="13031" width="15.28515625" customWidth="1"/>
    <col min="13032" max="13032" width="15.85546875" customWidth="1"/>
    <col min="13033" max="13033" width="15.140625" customWidth="1"/>
    <col min="13034" max="13092" width="13.7109375" customWidth="1"/>
    <col min="13093" max="13284" width="9.140625"/>
    <col min="13285" max="13285" width="5.42578125" customWidth="1"/>
    <col min="13286" max="13286" width="56.42578125" customWidth="1"/>
    <col min="13287" max="13287" width="15.28515625" customWidth="1"/>
    <col min="13288" max="13288" width="15.85546875" customWidth="1"/>
    <col min="13289" max="13289" width="15.140625" customWidth="1"/>
    <col min="13290" max="13348" width="13.7109375" customWidth="1"/>
    <col min="13349" max="13540" width="9.140625"/>
    <col min="13541" max="13541" width="5.42578125" customWidth="1"/>
    <col min="13542" max="13542" width="56.42578125" customWidth="1"/>
    <col min="13543" max="13543" width="15.28515625" customWidth="1"/>
    <col min="13544" max="13544" width="15.85546875" customWidth="1"/>
    <col min="13545" max="13545" width="15.140625" customWidth="1"/>
    <col min="13546" max="13604" width="13.7109375" customWidth="1"/>
    <col min="13605" max="13796" width="9.140625"/>
    <col min="13797" max="13797" width="5.42578125" customWidth="1"/>
    <col min="13798" max="13798" width="56.42578125" customWidth="1"/>
    <col min="13799" max="13799" width="15.28515625" customWidth="1"/>
    <col min="13800" max="13800" width="15.85546875" customWidth="1"/>
    <col min="13801" max="13801" width="15.140625" customWidth="1"/>
    <col min="13802" max="13860" width="13.7109375" customWidth="1"/>
    <col min="13861" max="14052" width="9.140625"/>
    <col min="14053" max="14053" width="5.42578125" customWidth="1"/>
    <col min="14054" max="14054" width="56.42578125" customWidth="1"/>
    <col min="14055" max="14055" width="15.28515625" customWidth="1"/>
    <col min="14056" max="14056" width="15.85546875" customWidth="1"/>
    <col min="14057" max="14057" width="15.140625" customWidth="1"/>
    <col min="14058" max="14116" width="13.7109375" customWidth="1"/>
    <col min="14117" max="14308" width="9.140625"/>
    <col min="14309" max="14309" width="5.42578125" customWidth="1"/>
    <col min="14310" max="14310" width="56.42578125" customWidth="1"/>
    <col min="14311" max="14311" width="15.28515625" customWidth="1"/>
    <col min="14312" max="14312" width="15.85546875" customWidth="1"/>
    <col min="14313" max="14313" width="15.140625" customWidth="1"/>
    <col min="14314" max="14372" width="13.7109375" customWidth="1"/>
    <col min="14373" max="14564" width="9.140625"/>
    <col min="14565" max="14565" width="5.42578125" customWidth="1"/>
    <col min="14566" max="14566" width="56.42578125" customWidth="1"/>
    <col min="14567" max="14567" width="15.28515625" customWidth="1"/>
    <col min="14568" max="14568" width="15.85546875" customWidth="1"/>
    <col min="14569" max="14569" width="15.140625" customWidth="1"/>
    <col min="14570" max="14628" width="13.7109375" customWidth="1"/>
    <col min="14629" max="14820" width="9.140625"/>
    <col min="14821" max="14821" width="5.42578125" customWidth="1"/>
    <col min="14822" max="14822" width="56.42578125" customWidth="1"/>
    <col min="14823" max="14823" width="15.28515625" customWidth="1"/>
    <col min="14824" max="14824" width="15.85546875" customWidth="1"/>
    <col min="14825" max="14825" width="15.140625" customWidth="1"/>
    <col min="14826" max="14884" width="13.7109375" customWidth="1"/>
    <col min="14885" max="15076" width="9.140625"/>
    <col min="15077" max="15077" width="5.42578125" customWidth="1"/>
    <col min="15078" max="15078" width="56.42578125" customWidth="1"/>
    <col min="15079" max="15079" width="15.28515625" customWidth="1"/>
    <col min="15080" max="15080" width="15.85546875" customWidth="1"/>
    <col min="15081" max="15081" width="15.140625" customWidth="1"/>
    <col min="15082" max="15140" width="13.7109375" customWidth="1"/>
    <col min="15141" max="15332" width="9.140625"/>
    <col min="15333" max="15333" width="5.42578125" customWidth="1"/>
    <col min="15334" max="15334" width="56.42578125" customWidth="1"/>
    <col min="15335" max="15335" width="15.28515625" customWidth="1"/>
    <col min="15336" max="15336" width="15.85546875" customWidth="1"/>
    <col min="15337" max="15337" width="15.140625" customWidth="1"/>
    <col min="15338" max="15396" width="13.7109375" customWidth="1"/>
    <col min="15397" max="15588" width="9.140625"/>
    <col min="15589" max="15589" width="5.42578125" customWidth="1"/>
    <col min="15590" max="15590" width="56.42578125" customWidth="1"/>
    <col min="15591" max="15591" width="15.28515625" customWidth="1"/>
    <col min="15592" max="15592" width="15.85546875" customWidth="1"/>
    <col min="15593" max="15593" width="15.140625" customWidth="1"/>
    <col min="15594" max="15652" width="13.7109375" customWidth="1"/>
    <col min="15653" max="15844" width="9.140625"/>
    <col min="15845" max="15845" width="5.42578125" customWidth="1"/>
    <col min="15846" max="15846" width="56.42578125" customWidth="1"/>
    <col min="15847" max="15847" width="15.28515625" customWidth="1"/>
    <col min="15848" max="15848" width="15.85546875" customWidth="1"/>
    <col min="15849" max="15849" width="15.140625" customWidth="1"/>
    <col min="15850" max="15908" width="13.7109375" customWidth="1"/>
    <col min="15909" max="16100" width="9.140625"/>
    <col min="16101" max="16101" width="5.42578125" customWidth="1"/>
    <col min="16102" max="16102" width="56.42578125" customWidth="1"/>
    <col min="16103" max="16103" width="15.28515625" customWidth="1"/>
    <col min="16104" max="16104" width="15.85546875" customWidth="1"/>
    <col min="16105" max="16105" width="15.140625" customWidth="1"/>
    <col min="16106" max="16164" width="13.7109375" customWidth="1"/>
    <col min="16165" max="16384" width="9.140625"/>
  </cols>
  <sheetData>
    <row r="1" spans="2:36" ht="15.75" x14ac:dyDescent="0.25">
      <c r="F1" s="15" t="s">
        <v>70</v>
      </c>
    </row>
    <row r="2" spans="2:36" s="1" customFormat="1" x14ac:dyDescent="0.2">
      <c r="B2" s="1" t="s">
        <v>131</v>
      </c>
      <c r="E2" s="216" t="s">
        <v>65</v>
      </c>
      <c r="F2" s="17">
        <v>0</v>
      </c>
      <c r="G2" s="17">
        <v>1</v>
      </c>
      <c r="H2" s="17">
        <v>2</v>
      </c>
      <c r="I2" s="17">
        <v>3</v>
      </c>
      <c r="J2" s="17">
        <v>4</v>
      </c>
      <c r="K2" s="17">
        <v>5</v>
      </c>
      <c r="L2" s="17">
        <v>6</v>
      </c>
      <c r="M2" s="17">
        <v>7</v>
      </c>
      <c r="N2" s="17">
        <v>8</v>
      </c>
      <c r="O2" s="17">
        <v>9</v>
      </c>
      <c r="P2" s="17">
        <v>10</v>
      </c>
      <c r="Q2" s="17">
        <v>11</v>
      </c>
      <c r="R2" s="17">
        <v>12</v>
      </c>
      <c r="S2" s="17">
        <v>13</v>
      </c>
      <c r="T2" s="17">
        <v>14</v>
      </c>
      <c r="U2" s="17">
        <v>15</v>
      </c>
      <c r="V2" s="17">
        <v>16</v>
      </c>
      <c r="W2" s="17">
        <v>17</v>
      </c>
      <c r="X2" s="17">
        <v>18</v>
      </c>
      <c r="Y2" s="17">
        <v>19</v>
      </c>
      <c r="Z2" s="17">
        <v>20</v>
      </c>
      <c r="AA2" s="17">
        <v>21</v>
      </c>
      <c r="AB2" s="17">
        <v>22</v>
      </c>
      <c r="AC2" s="17">
        <v>23</v>
      </c>
      <c r="AD2" s="17">
        <v>24</v>
      </c>
      <c r="AE2" s="17">
        <v>25</v>
      </c>
      <c r="AF2" s="17">
        <v>26</v>
      </c>
      <c r="AG2" s="17">
        <v>27</v>
      </c>
      <c r="AH2" s="17">
        <v>28</v>
      </c>
      <c r="AI2" s="17">
        <v>29</v>
      </c>
      <c r="AJ2" s="17">
        <v>30</v>
      </c>
    </row>
    <row r="3" spans="2:36" s="1" customFormat="1" x14ac:dyDescent="0.2"/>
    <row r="4" spans="2:36" s="1" customFormat="1" x14ac:dyDescent="0.2">
      <c r="B4" s="1" t="s">
        <v>71</v>
      </c>
      <c r="E4" s="54"/>
      <c r="G4" s="276">
        <v>1</v>
      </c>
      <c r="H4" s="23">
        <f>G4*(1-Inputs!$G$14)</f>
        <v>0.995</v>
      </c>
      <c r="I4" s="23">
        <f>H4*(1-Inputs!$G$14)</f>
        <v>0.99002500000000004</v>
      </c>
      <c r="J4" s="23">
        <f>I4*(1-Inputs!$G$14)</f>
        <v>0.98507487500000002</v>
      </c>
      <c r="K4" s="23">
        <f>J4*(1-Inputs!$G$14)</f>
        <v>0.98014950062500006</v>
      </c>
      <c r="L4" s="23">
        <f>K4*(1-Inputs!$G$14)</f>
        <v>0.97524875312187509</v>
      </c>
      <c r="M4" s="23">
        <f>L4*(1-Inputs!$G$14)</f>
        <v>0.97037250935626573</v>
      </c>
      <c r="N4" s="23">
        <f>M4*(1-Inputs!$G$14)</f>
        <v>0.96552064680948435</v>
      </c>
      <c r="O4" s="23">
        <f>N4*(1-Inputs!$G$14)</f>
        <v>0.96069304357543694</v>
      </c>
      <c r="P4" s="23">
        <f>O4*(1-Inputs!$G$14)</f>
        <v>0.95588957835755972</v>
      </c>
      <c r="Q4" s="23">
        <f>P4*(1-Inputs!$G$14)</f>
        <v>0.95111013046577186</v>
      </c>
      <c r="R4" s="23">
        <f>Q4*(1-Inputs!$G$14)</f>
        <v>0.94635457981344295</v>
      </c>
      <c r="S4" s="23">
        <f>R4*(1-Inputs!$G$14)</f>
        <v>0.94162280691437572</v>
      </c>
      <c r="T4" s="23">
        <f>S4*(1-Inputs!$G$14)</f>
        <v>0.93691469287980389</v>
      </c>
      <c r="U4" s="23">
        <f>T4*(1-Inputs!$G$14)</f>
        <v>0.9322301194154049</v>
      </c>
      <c r="V4" s="23">
        <f>U4*(1-Inputs!$G$14)</f>
        <v>0.92756896881832784</v>
      </c>
      <c r="W4" s="23">
        <f>V4*(1-Inputs!$G$14)</f>
        <v>0.92293112397423616</v>
      </c>
      <c r="X4" s="23">
        <f>W4*(1-Inputs!$G$14)</f>
        <v>0.91831646835436498</v>
      </c>
      <c r="Y4" s="23">
        <f>X4*(1-Inputs!$G$14)</f>
        <v>0.91372488601259316</v>
      </c>
      <c r="Z4" s="23">
        <f>Y4*(1-Inputs!$G$14)</f>
        <v>0.90915626158253016</v>
      </c>
      <c r="AA4" s="23">
        <f>Z4*(1-Inputs!$G$14)</f>
        <v>0.90461048027461755</v>
      </c>
      <c r="AB4" s="23">
        <f>AA4*(1-Inputs!$G$14)</f>
        <v>0.90008742787324447</v>
      </c>
      <c r="AC4" s="23">
        <f>AB4*(1-Inputs!$G$14)</f>
        <v>0.89558699073387826</v>
      </c>
      <c r="AD4" s="23">
        <f>AC4*(1-Inputs!$G$14)</f>
        <v>0.89110905578020883</v>
      </c>
      <c r="AE4" s="23">
        <f>AD4*(1-Inputs!$G$14)</f>
        <v>0.88665351050130781</v>
      </c>
      <c r="AF4" s="23">
        <f>AE4*(1-Inputs!$G$14)</f>
        <v>0.8822202429488013</v>
      </c>
      <c r="AG4" s="23">
        <f>AF4*(1-Inputs!$G$14)</f>
        <v>0.87780914173405733</v>
      </c>
      <c r="AH4" s="23">
        <f>AG4*(1-Inputs!$G$14)</f>
        <v>0.87342009602538706</v>
      </c>
      <c r="AI4" s="23">
        <f>AH4*(1-Inputs!$G$14)</f>
        <v>0.86905299554526017</v>
      </c>
      <c r="AJ4" s="23">
        <f>AI4*(1-Inputs!$G$14)</f>
        <v>0.86470773056753381</v>
      </c>
    </row>
    <row r="5" spans="2:36" s="1" customFormat="1" ht="15.75" x14ac:dyDescent="0.25">
      <c r="B5" s="24" t="s">
        <v>3</v>
      </c>
      <c r="C5" s="24"/>
      <c r="D5" s="24"/>
      <c r="E5" s="54" t="s">
        <v>2</v>
      </c>
      <c r="G5" s="25">
        <f>Inputs!$G$13</f>
        <v>3477756.8650000002</v>
      </c>
      <c r="H5" s="25">
        <f>IF(H$2&gt;Inputs!$G$15,0,Inputs!$G$13*H$4)</f>
        <v>3460368.0806750003</v>
      </c>
      <c r="I5" s="25">
        <f>IF(I$2&gt;Inputs!$G$15,0,Inputs!$G$13*I$4)</f>
        <v>3443066.2402716256</v>
      </c>
      <c r="J5" s="25">
        <f>IF(J$2&gt;Inputs!$G$15,0,Inputs!$G$13*J$4)</f>
        <v>3425850.9090702673</v>
      </c>
      <c r="K5" s="25">
        <f>IF(K$2&gt;Inputs!$G$15,0,Inputs!$G$13*K$4)</f>
        <v>3408721.6545249159</v>
      </c>
      <c r="L5" s="25">
        <f>IF(L$2&gt;Inputs!$G$15,0,Inputs!$G$13*L$4)</f>
        <v>3391678.0462522916</v>
      </c>
      <c r="M5" s="25">
        <f>IF(M$2&gt;Inputs!$G$15,0,Inputs!$G$13*M$4)</f>
        <v>3374719.6560210302</v>
      </c>
      <c r="N5" s="25">
        <f>IF(N$2&gt;Inputs!$G$15,0,Inputs!$G$13*N$4)</f>
        <v>3357846.0577409249</v>
      </c>
      <c r="O5" s="25">
        <f>IF(O$2&gt;Inputs!$G$15,0,Inputs!$G$13*O$4)</f>
        <v>3341056.82745222</v>
      </c>
      <c r="P5" s="25">
        <f>IF(P$2&gt;Inputs!$G$15,0,Inputs!$G$13*P$4)</f>
        <v>3324351.5433149589</v>
      </c>
      <c r="Q5" s="25">
        <f>IF(Q$2&gt;Inputs!$G$15,0,Inputs!$G$13*Q$4)</f>
        <v>3307729.7855983838</v>
      </c>
      <c r="R5" s="25">
        <f>IF(R$2&gt;Inputs!$G$15,0,Inputs!$G$13*R$4)</f>
        <v>3291191.136670392</v>
      </c>
      <c r="S5" s="25">
        <f>IF(S$2&gt;Inputs!$G$15,0,Inputs!$G$13*S$4)</f>
        <v>3274735.18098704</v>
      </c>
      <c r="T5" s="25">
        <f>IF(T$2&gt;Inputs!$G$15,0,Inputs!$G$13*T$4)</f>
        <v>3258361.5050821048</v>
      </c>
      <c r="U5" s="25">
        <f>IF(U$2&gt;Inputs!$G$15,0,Inputs!$G$13*U$4)</f>
        <v>3242069.6975566945</v>
      </c>
      <c r="V5" s="25">
        <f>IF(V$2&gt;Inputs!$G$15,0,Inputs!$G$13*V$4)</f>
        <v>3225859.3490689108</v>
      </c>
      <c r="W5" s="25">
        <f>IF(W$2&gt;Inputs!$G$15,0,Inputs!$G$13*W$4)</f>
        <v>3209730.0523235663</v>
      </c>
      <c r="X5" s="25">
        <f>IF(X$2&gt;Inputs!$G$15,0,Inputs!$G$13*X$4)</f>
        <v>3193681.4020619481</v>
      </c>
      <c r="Y5" s="25">
        <f>IF(Y$2&gt;Inputs!$G$15,0,Inputs!$G$13*Y$4)</f>
        <v>3177712.9950516387</v>
      </c>
      <c r="Z5" s="25">
        <f>IF(Z$2&gt;Inputs!$G$15,0,Inputs!$G$13*Z$4)</f>
        <v>3161824.4300763803</v>
      </c>
      <c r="AA5" s="25">
        <f>IF(AA$2&gt;Inputs!$G$15,0,Inputs!$G$13*AA$4)</f>
        <v>3146015.3079259982</v>
      </c>
      <c r="AB5" s="25">
        <f>IF(AB$2&gt;Inputs!$G$15,0,Inputs!$G$13*AB$4)</f>
        <v>3130285.2313863686</v>
      </c>
      <c r="AC5" s="25">
        <f>IF(AC$2&gt;Inputs!$G$15,0,Inputs!$G$13*AC$4)</f>
        <v>3114633.8052294366</v>
      </c>
      <c r="AD5" s="25">
        <f>IF(AD$2&gt;Inputs!$G$15,0,Inputs!$G$13*AD$4)</f>
        <v>3099060.6362032895</v>
      </c>
      <c r="AE5" s="25">
        <f>IF(AE$2&gt;Inputs!$G$15,0,Inputs!$G$13*AE$4)</f>
        <v>3083565.3330222731</v>
      </c>
      <c r="AF5" s="25">
        <f>IF(AF$2&gt;Inputs!$G$15,0,Inputs!$G$13*AF$4)</f>
        <v>0</v>
      </c>
      <c r="AG5" s="25">
        <f>IF(AG$2&gt;Inputs!$G$15,0,Inputs!$G$13*AG$4)</f>
        <v>0</v>
      </c>
      <c r="AH5" s="25">
        <f>IF(AH$2&gt;Inputs!$G$15,0,Inputs!$G$13*AH$4)</f>
        <v>0</v>
      </c>
      <c r="AI5" s="25">
        <f>IF(AI$2&gt;Inputs!$G$15,0,Inputs!$G$13*AI$4)</f>
        <v>0</v>
      </c>
      <c r="AJ5" s="25">
        <f>IF(AJ$2&gt;Inputs!$G$15,0,Inputs!$G$13*AJ$4)</f>
        <v>0</v>
      </c>
    </row>
    <row r="6" spans="2:36" s="1" customFormat="1" ht="15.75" x14ac:dyDescent="0.25">
      <c r="B6" s="24"/>
      <c r="C6" s="24"/>
      <c r="D6" s="24"/>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row>
    <row r="7" spans="2:36" s="1" customFormat="1" ht="15.75" x14ac:dyDescent="0.25">
      <c r="B7" s="24" t="s">
        <v>108</v>
      </c>
      <c r="C7" s="24"/>
      <c r="D7" s="24"/>
      <c r="E7" s="54"/>
    </row>
    <row r="8" spans="2:36" s="1" customFormat="1" x14ac:dyDescent="0.2">
      <c r="B8" s="1" t="s">
        <v>110</v>
      </c>
      <c r="E8" s="54"/>
      <c r="G8" s="276">
        <v>1</v>
      </c>
      <c r="H8" s="23">
        <f>G8*(1+(Inputs!$Q$10*Inputs!$Q$9))</f>
        <v>1.02</v>
      </c>
      <c r="I8" s="23">
        <f>H8*(1+(Inputs!$Q$10*Inputs!$Q$9))</f>
        <v>1.0404</v>
      </c>
      <c r="J8" s="23">
        <f>I8*(1+(Inputs!$Q$10*Inputs!$Q$9))</f>
        <v>1.0612079999999999</v>
      </c>
      <c r="K8" s="23">
        <f>J8*(1+(Inputs!$Q$10*Inputs!$Q$9))</f>
        <v>1.08243216</v>
      </c>
      <c r="L8" s="23">
        <f>K8*(1+(Inputs!$Q$10*Inputs!$Q$9))</f>
        <v>1.1040808032</v>
      </c>
      <c r="M8" s="23">
        <f>L8*(1+(Inputs!$Q$10*Inputs!$Q$9))</f>
        <v>1.1261624192640001</v>
      </c>
      <c r="N8" s="23">
        <f>M8*(1+(Inputs!$Q$10*Inputs!$Q$9))</f>
        <v>1.14868566764928</v>
      </c>
      <c r="O8" s="23">
        <f>N8*(1+(Inputs!$Q$10*Inputs!$Q$9))</f>
        <v>1.1716593810022657</v>
      </c>
      <c r="P8" s="23">
        <f>O8*(1+(Inputs!$Q$10*Inputs!$Q$9))</f>
        <v>1.1950925686223111</v>
      </c>
      <c r="Q8" s="23">
        <f>P8*(1+(Inputs!$Q$10*Inputs!$Q$9))</f>
        <v>1.2189944199947573</v>
      </c>
      <c r="R8" s="23">
        <f>Q8*(1+(Inputs!$Q$10*Inputs!$Q$9))</f>
        <v>1.2433743083946525</v>
      </c>
      <c r="S8" s="23">
        <f>R8*(1+(Inputs!$Q$10*Inputs!$Q$9))</f>
        <v>1.2682417945625455</v>
      </c>
      <c r="T8" s="23">
        <f>S8*(1+(Inputs!$Q$10*Inputs!$Q$9))</f>
        <v>1.2936066304537963</v>
      </c>
      <c r="U8" s="23">
        <f>T8*(1+(Inputs!$Q$10*Inputs!$Q$9))</f>
        <v>1.3194787630628724</v>
      </c>
      <c r="V8" s="23">
        <f>U8*(1+(Inputs!$Q$10*Inputs!$Q$9))</f>
        <v>1.3458683383241299</v>
      </c>
      <c r="W8" s="23">
        <f>V8*(1+(Inputs!$Q$10*Inputs!$Q$9))</f>
        <v>1.3727857050906125</v>
      </c>
      <c r="X8" s="23">
        <f>W8*(1+(Inputs!$Q$10*Inputs!$Q$9))</f>
        <v>1.4002414191924248</v>
      </c>
      <c r="Y8" s="23">
        <f>X8*(1+(Inputs!$Q$10*Inputs!$Q$9))</f>
        <v>1.4282462475762734</v>
      </c>
      <c r="Z8" s="23">
        <f>Y8*(1+(Inputs!$Q$10*Inputs!$Q$9))</f>
        <v>1.4568111725277988</v>
      </c>
      <c r="AA8" s="23">
        <f>Z8*(1+(Inputs!$Q$10*Inputs!$Q$9))</f>
        <v>1.4859473959783549</v>
      </c>
      <c r="AB8" s="23">
        <f>AA8*(1+(Inputs!$Q$10*Inputs!$Q$9))</f>
        <v>1.5156663438979221</v>
      </c>
      <c r="AC8" s="23">
        <f>AB8*(1+(Inputs!$Q$10*Inputs!$Q$9))</f>
        <v>1.5459796707758806</v>
      </c>
      <c r="AD8" s="23">
        <f>AC8*(1+(Inputs!$Q$10*Inputs!$Q$9))</f>
        <v>1.5768992641913981</v>
      </c>
      <c r="AE8" s="23">
        <f>AD8*(1+(Inputs!$Q$10*Inputs!$Q$9))</f>
        <v>1.6084372494752261</v>
      </c>
      <c r="AF8" s="23">
        <f>AE8*(1+(Inputs!$Q$10*Inputs!$Q$9))</f>
        <v>1.6406059944647307</v>
      </c>
      <c r="AG8" s="23">
        <f>AF8*(1+(Inputs!$Q$10*Inputs!$Q$9))</f>
        <v>1.6734181143540252</v>
      </c>
      <c r="AH8" s="23">
        <f>AG8*(1+(Inputs!$Q$10*Inputs!$Q$9))</f>
        <v>1.7068864766411058</v>
      </c>
      <c r="AI8" s="23">
        <f>AH8*(1+(Inputs!$Q$10*Inputs!$Q$9))</f>
        <v>1.7410242061739281</v>
      </c>
      <c r="AJ8" s="23">
        <f>AI8*(1+(Inputs!$Q$10*Inputs!$Q$9))</f>
        <v>1.7758446902974065</v>
      </c>
    </row>
    <row r="9" spans="2:36" s="1" customFormat="1" x14ac:dyDescent="0.2">
      <c r="B9" s="1" t="s">
        <v>150</v>
      </c>
      <c r="E9" s="54"/>
      <c r="G9" s="276">
        <v>1</v>
      </c>
      <c r="H9" s="23">
        <f>G9*(1+Inputs!$Q$28)</f>
        <v>1.02</v>
      </c>
      <c r="I9" s="23">
        <f>H9*(1+Inputs!$Q$28)</f>
        <v>1.0404</v>
      </c>
      <c r="J9" s="23">
        <f>I9*(1+Inputs!$Q$28)</f>
        <v>1.0612079999999999</v>
      </c>
      <c r="K9" s="23">
        <f>J9*(1+Inputs!$Q$28)</f>
        <v>1.08243216</v>
      </c>
      <c r="L9" s="23">
        <f>K9*(1+Inputs!$Q$28)</f>
        <v>1.1040808032</v>
      </c>
      <c r="M9" s="23">
        <f>L9*(1+Inputs!$Q$28)</f>
        <v>1.1261624192640001</v>
      </c>
      <c r="N9" s="23">
        <f>M9*(1+Inputs!$Q$28)</f>
        <v>1.14868566764928</v>
      </c>
      <c r="O9" s="23">
        <f>N9*(1+Inputs!$Q$28)</f>
        <v>1.1716593810022657</v>
      </c>
      <c r="P9" s="23">
        <f>O9*(1+Inputs!$Q$28)</f>
        <v>1.1950925686223111</v>
      </c>
      <c r="Q9" s="23">
        <f>P9*(1+Inputs!$Q$28)</f>
        <v>1.2189944199947573</v>
      </c>
      <c r="R9" s="23">
        <f>Q9*(1+Inputs!$Q$28)</f>
        <v>1.2433743083946525</v>
      </c>
      <c r="S9" s="23">
        <f>R9*(1+Inputs!$Q$28)</f>
        <v>1.2682417945625455</v>
      </c>
      <c r="T9" s="23">
        <f>S9*(1+Inputs!$Q$28)</f>
        <v>1.2936066304537963</v>
      </c>
      <c r="U9" s="23">
        <f>T9*(1+Inputs!$Q$28)</f>
        <v>1.3194787630628724</v>
      </c>
      <c r="V9" s="23">
        <f>U9*(1+Inputs!$Q$28)</f>
        <v>1.3458683383241299</v>
      </c>
      <c r="W9" s="23">
        <f>V9*(1+Inputs!$Q$28)</f>
        <v>1.3727857050906125</v>
      </c>
      <c r="X9" s="23">
        <f>W9*(1+Inputs!$Q$28)</f>
        <v>1.4002414191924248</v>
      </c>
      <c r="Y9" s="23">
        <f>X9*(1+Inputs!$Q$28)</f>
        <v>1.4282462475762734</v>
      </c>
      <c r="Z9" s="23">
        <f>Y9*(1+Inputs!$Q$28)</f>
        <v>1.4568111725277988</v>
      </c>
      <c r="AA9" s="23">
        <f>Z9*(1+Inputs!$Q$28)</f>
        <v>1.4859473959783549</v>
      </c>
      <c r="AB9" s="23">
        <f>AA9*(1+Inputs!$Q$28)</f>
        <v>1.5156663438979221</v>
      </c>
      <c r="AC9" s="23">
        <f>AB9*(1+Inputs!$Q$28)</f>
        <v>1.5459796707758806</v>
      </c>
      <c r="AD9" s="23">
        <f>AC9*(1+Inputs!$Q$28)</f>
        <v>1.5768992641913981</v>
      </c>
      <c r="AE9" s="23">
        <f>AD9*(1+Inputs!$Q$28)</f>
        <v>1.6084372494752261</v>
      </c>
      <c r="AF9" s="23">
        <f>AE9*(1+Inputs!$Q$28)</f>
        <v>1.6406059944647307</v>
      </c>
      <c r="AG9" s="23">
        <f>AF9*(1+Inputs!$Q$28)</f>
        <v>1.6734181143540252</v>
      </c>
      <c r="AH9" s="23">
        <f>AG9*(1+Inputs!$Q$28)</f>
        <v>1.7068864766411058</v>
      </c>
      <c r="AI9" s="23">
        <f>AH9*(1+Inputs!$Q$28)</f>
        <v>1.7410242061739281</v>
      </c>
      <c r="AJ9" s="23">
        <f>AI9*(1+Inputs!$Q$28)</f>
        <v>1.7758446902974065</v>
      </c>
    </row>
    <row r="10" spans="2:36" s="1" customFormat="1" x14ac:dyDescent="0.2">
      <c r="B10" s="1" t="s">
        <v>151</v>
      </c>
      <c r="E10" s="54"/>
      <c r="G10" s="276">
        <v>1</v>
      </c>
      <c r="H10" s="23">
        <f>G10*(1+Inputs!$Q$44)</f>
        <v>1.02</v>
      </c>
      <c r="I10" s="23">
        <f>H10*(1+Inputs!$Q$44)</f>
        <v>1.0404</v>
      </c>
      <c r="J10" s="23">
        <f>I10*(1+Inputs!$Q$44)</f>
        <v>1.0612079999999999</v>
      </c>
      <c r="K10" s="23">
        <f>J10*(1+Inputs!$Q$44)</f>
        <v>1.08243216</v>
      </c>
      <c r="L10" s="23">
        <f>K10*(1+Inputs!$Q$44)</f>
        <v>1.1040808032</v>
      </c>
      <c r="M10" s="23">
        <f>L10*(1+Inputs!$Q$44)</f>
        <v>1.1261624192640001</v>
      </c>
      <c r="N10" s="23">
        <f>M10*(1+Inputs!$Q$44)</f>
        <v>1.14868566764928</v>
      </c>
      <c r="O10" s="23">
        <f>N10*(1+Inputs!$Q$44)</f>
        <v>1.1716593810022657</v>
      </c>
      <c r="P10" s="23">
        <f>O10*(1+Inputs!$Q$44)</f>
        <v>1.1950925686223111</v>
      </c>
      <c r="Q10" s="23">
        <f>P10*(1+Inputs!$Q$44)</f>
        <v>1.2189944199947573</v>
      </c>
      <c r="R10" s="23">
        <f>Q10*(1+Inputs!$Q$44)</f>
        <v>1.2433743083946525</v>
      </c>
      <c r="S10" s="23">
        <f>R10*(1+Inputs!$Q$44)</f>
        <v>1.2682417945625455</v>
      </c>
      <c r="T10" s="23">
        <f>S10*(1+Inputs!$Q$44)</f>
        <v>1.2936066304537963</v>
      </c>
      <c r="U10" s="23">
        <f>T10*(1+Inputs!$Q$44)</f>
        <v>1.3194787630628724</v>
      </c>
      <c r="V10" s="23">
        <f>U10*(1+Inputs!$Q$44)</f>
        <v>1.3458683383241299</v>
      </c>
      <c r="W10" s="23">
        <f>V10*(1+Inputs!$Q$44)</f>
        <v>1.3727857050906125</v>
      </c>
      <c r="X10" s="23">
        <f>W10*(1+Inputs!$Q$44)</f>
        <v>1.4002414191924248</v>
      </c>
      <c r="Y10" s="23">
        <f>X10*(1+Inputs!$Q$44)</f>
        <v>1.4282462475762734</v>
      </c>
      <c r="Z10" s="23">
        <f>Y10*(1+Inputs!$Q$44)</f>
        <v>1.4568111725277988</v>
      </c>
      <c r="AA10" s="23">
        <f>Z10*(1+Inputs!$Q$44)</f>
        <v>1.4859473959783549</v>
      </c>
      <c r="AB10" s="23">
        <f>AA10*(1+Inputs!$Q$44)</f>
        <v>1.5156663438979221</v>
      </c>
      <c r="AC10" s="23">
        <f>AB10*(1+Inputs!$Q$44)</f>
        <v>1.5459796707758806</v>
      </c>
      <c r="AD10" s="23">
        <f>AC10*(1+Inputs!$Q$44)</f>
        <v>1.5768992641913981</v>
      </c>
      <c r="AE10" s="23">
        <f>AD10*(1+Inputs!$Q$44)</f>
        <v>1.6084372494752261</v>
      </c>
      <c r="AF10" s="23">
        <f>AE10*(1+Inputs!$Q$44)</f>
        <v>1.6406059944647307</v>
      </c>
      <c r="AG10" s="23">
        <f>AF10*(1+Inputs!$Q$44)</f>
        <v>1.6734181143540252</v>
      </c>
      <c r="AH10" s="23">
        <f>AG10*(1+Inputs!$Q$44)</f>
        <v>1.7068864766411058</v>
      </c>
      <c r="AI10" s="23">
        <f>AH10*(1+Inputs!$Q$44)</f>
        <v>1.7410242061739281</v>
      </c>
      <c r="AJ10" s="23">
        <f>AI10*(1+Inputs!$Q$44)</f>
        <v>1.7758446902974065</v>
      </c>
    </row>
    <row r="11" spans="2:36" s="1" customFormat="1" ht="15.75" x14ac:dyDescent="0.25">
      <c r="E11" s="54"/>
      <c r="F11" s="54"/>
      <c r="G11" s="6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row>
    <row r="12" spans="2:36" s="1" customFormat="1" x14ac:dyDescent="0.2">
      <c r="B12" s="1" t="s">
        <v>283</v>
      </c>
      <c r="E12" s="54" t="s">
        <v>56</v>
      </c>
      <c r="F12" s="335">
        <f>1-F13</f>
        <v>0</v>
      </c>
      <c r="G12" s="65">
        <f>$G$72*$F12</f>
        <v>0</v>
      </c>
      <c r="H12" s="65">
        <f>IF(H2&gt;Inputs!$Q$8,0,G12)</f>
        <v>0</v>
      </c>
      <c r="I12" s="65">
        <f>IF(I2&gt;Inputs!$Q$8,0,H12)</f>
        <v>0</v>
      </c>
      <c r="J12" s="65">
        <f>IF(J2&gt;Inputs!$Q$8,0,I12)</f>
        <v>0</v>
      </c>
      <c r="K12" s="65">
        <f>IF(K2&gt;Inputs!$Q$8,0,J12)</f>
        <v>0</v>
      </c>
      <c r="L12" s="65">
        <f>IF(L2&gt;Inputs!$Q$8,0,K12)</f>
        <v>0</v>
      </c>
      <c r="M12" s="65">
        <f>IF(M2&gt;Inputs!$Q$8,0,L12)</f>
        <v>0</v>
      </c>
      <c r="N12" s="65">
        <f>IF(N2&gt;Inputs!$Q$8,0,M12)</f>
        <v>0</v>
      </c>
      <c r="O12" s="65">
        <f>IF(O2&gt;Inputs!$Q$8,0,N12)</f>
        <v>0</v>
      </c>
      <c r="P12" s="65">
        <f>IF(P2&gt;Inputs!$Q$8,0,O12)</f>
        <v>0</v>
      </c>
      <c r="Q12" s="65">
        <f>IF(Q2&gt;Inputs!$Q$8,0,P12)</f>
        <v>0</v>
      </c>
      <c r="R12" s="65">
        <f>IF(R2&gt;Inputs!$Q$8,0,Q12)</f>
        <v>0</v>
      </c>
      <c r="S12" s="65">
        <f>IF(S2&gt;Inputs!$Q$8,0,R12)</f>
        <v>0</v>
      </c>
      <c r="T12" s="65">
        <f>IF(T2&gt;Inputs!$Q$8,0,S12)</f>
        <v>0</v>
      </c>
      <c r="U12" s="65">
        <f>IF(U2&gt;Inputs!$Q$8,0,T12)</f>
        <v>0</v>
      </c>
      <c r="V12" s="65">
        <f>IF(V2&gt;Inputs!$Q$8,0,U12)</f>
        <v>0</v>
      </c>
      <c r="W12" s="65">
        <f>IF(W2&gt;Inputs!$Q$8,0,V12)</f>
        <v>0</v>
      </c>
      <c r="X12" s="65">
        <f>IF(X2&gt;Inputs!$Q$8,0,W12)</f>
        <v>0</v>
      </c>
      <c r="Y12" s="65">
        <f>IF(Y2&gt;Inputs!$Q$8,0,X12)</f>
        <v>0</v>
      </c>
      <c r="Z12" s="65">
        <f>IF(Z2&gt;Inputs!$Q$8,0,Y12)</f>
        <v>0</v>
      </c>
      <c r="AA12" s="65">
        <f>IF(AA2&gt;Inputs!$Q$8,0,Z12)</f>
        <v>0</v>
      </c>
      <c r="AB12" s="65">
        <f>IF(AB2&gt;Inputs!$Q$8,0,AA12)</f>
        <v>0</v>
      </c>
      <c r="AC12" s="65">
        <f>IF(AC2&gt;Inputs!$Q$8,0,AB12)</f>
        <v>0</v>
      </c>
      <c r="AD12" s="65">
        <f>IF(AD2&gt;Inputs!$Q$8,0,AC12)</f>
        <v>0</v>
      </c>
      <c r="AE12" s="65">
        <f>IF(AE2&gt;Inputs!$Q$8,0,AD12)</f>
        <v>0</v>
      </c>
      <c r="AF12" s="65">
        <f>IF(AF2&gt;Inputs!$Q$8,0,AE12)</f>
        <v>0</v>
      </c>
      <c r="AG12" s="65">
        <f>IF(AG2&gt;Inputs!$Q$8,0,AF12)</f>
        <v>0</v>
      </c>
      <c r="AH12" s="65">
        <f>IF(AH2&gt;Inputs!$Q$8,0,AG12)</f>
        <v>0</v>
      </c>
      <c r="AI12" s="65">
        <f>IF(AI2&gt;Inputs!$Q$8,0,AH12)</f>
        <v>0</v>
      </c>
      <c r="AJ12" s="65">
        <f>IF(AJ2&gt;Inputs!$Q$8,0,AI12)</f>
        <v>0</v>
      </c>
    </row>
    <row r="13" spans="2:36" s="1" customFormat="1" x14ac:dyDescent="0.2">
      <c r="B13" s="336" t="s">
        <v>285</v>
      </c>
      <c r="C13" s="336"/>
      <c r="D13" s="336"/>
      <c r="E13" s="54" t="s">
        <v>56</v>
      </c>
      <c r="F13" s="334">
        <f>Inputs!Q9</f>
        <v>1</v>
      </c>
      <c r="G13" s="337">
        <f>$G$72*$F13</f>
        <v>28.05</v>
      </c>
      <c r="H13" s="337">
        <f>IF(H2&gt;Inputs!$Q$8,0,G13*(1+Inputs!$Q$10))</f>
        <v>28.611000000000001</v>
      </c>
      <c r="I13" s="337">
        <f>IF(I2&gt;Inputs!$Q$8,0,H13*(1+Inputs!$Q$10))</f>
        <v>29.183220000000002</v>
      </c>
      <c r="J13" s="337">
        <f>IF(J2&gt;Inputs!$Q$8,0,I13*(1+Inputs!$Q$10))</f>
        <v>29.766884400000002</v>
      </c>
      <c r="K13" s="337">
        <f>IF(K2&gt;Inputs!$Q$8,0,J13*(1+Inputs!$Q$10))</f>
        <v>30.362222088000003</v>
      </c>
      <c r="L13" s="337">
        <f>IF(L2&gt;Inputs!$Q$8,0,K13*(1+Inputs!$Q$10))</f>
        <v>30.969466529760002</v>
      </c>
      <c r="M13" s="337">
        <f>IF(M2&gt;Inputs!$Q$8,0,L13*(1+Inputs!$Q$10))</f>
        <v>31.588855860355203</v>
      </c>
      <c r="N13" s="337">
        <f>IF(N2&gt;Inputs!$Q$8,0,M13*(1+Inputs!$Q$10))</f>
        <v>32.22063297756231</v>
      </c>
      <c r="O13" s="337">
        <f>IF(O2&gt;Inputs!$Q$8,0,N13*(1+Inputs!$Q$10))</f>
        <v>32.86504563711356</v>
      </c>
      <c r="P13" s="337">
        <f>IF(P2&gt;Inputs!$Q$8,0,O13*(1+Inputs!$Q$10))</f>
        <v>33.522346549855833</v>
      </c>
      <c r="Q13" s="337">
        <f>IF(Q2&gt;Inputs!$Q$8,0,P13*(1+Inputs!$Q$10))</f>
        <v>34.192793480852949</v>
      </c>
      <c r="R13" s="337">
        <f>IF(R2&gt;Inputs!$Q$8,0,Q13*(1+Inputs!$Q$10))</f>
        <v>34.876649350470011</v>
      </c>
      <c r="S13" s="337">
        <f>IF(S2&gt;Inputs!$Q$8,0,R13*(1+Inputs!$Q$10))</f>
        <v>35.574182337479414</v>
      </c>
      <c r="T13" s="337">
        <f>IF(T2&gt;Inputs!$Q$8,0,S13*(1+Inputs!$Q$10))</f>
        <v>36.285665984229006</v>
      </c>
      <c r="U13" s="337">
        <f>IF(U2&gt;Inputs!$Q$8,0,T13*(1+Inputs!$Q$10))</f>
        <v>37.011379303913586</v>
      </c>
      <c r="V13" s="337">
        <f>IF(V2&gt;Inputs!$Q$8,0,U13*(1+Inputs!$Q$10))</f>
        <v>37.751606889991855</v>
      </c>
      <c r="W13" s="337">
        <f>IF(W2&gt;Inputs!$Q$8,0,V13*(1+Inputs!$Q$10))</f>
        <v>38.506639027791692</v>
      </c>
      <c r="X13" s="337">
        <f>IF(X2&gt;Inputs!$Q$8,0,W13*(1+Inputs!$Q$10))</f>
        <v>39.276771808347526</v>
      </c>
      <c r="Y13" s="337">
        <f>IF(Y2&gt;Inputs!$Q$8,0,X13*(1+Inputs!$Q$10))</f>
        <v>40.062307244514479</v>
      </c>
      <c r="Z13" s="337">
        <f>IF(Z2&gt;Inputs!$Q$8,0,Y13*(1+Inputs!$Q$10))</f>
        <v>40.863553389404771</v>
      </c>
      <c r="AA13" s="337">
        <f>IF(AA2&gt;Inputs!$Q$8,0,Z13*(1+Inputs!$Q$10))</f>
        <v>0</v>
      </c>
      <c r="AB13" s="337">
        <f>IF(AB2&gt;Inputs!$Q$8,0,AA13*(1+Inputs!$Q$10))</f>
        <v>0</v>
      </c>
      <c r="AC13" s="337">
        <f>IF(AC2&gt;Inputs!$Q$8,0,AB13*(1+Inputs!$Q$10))</f>
        <v>0</v>
      </c>
      <c r="AD13" s="337">
        <f>IF(AD2&gt;Inputs!$Q$8,0,AC13*(1+Inputs!$Q$10))</f>
        <v>0</v>
      </c>
      <c r="AE13" s="337">
        <f>IF(AE2&gt;Inputs!$Q$8,0,AD13*(1+Inputs!$Q$10))</f>
        <v>0</v>
      </c>
      <c r="AF13" s="337">
        <f>IF(AF2&gt;Inputs!$Q$8,0,AE13*(1+Inputs!$Q$10))</f>
        <v>0</v>
      </c>
      <c r="AG13" s="337">
        <f>IF(AG2&gt;Inputs!$Q$8,0,AF13*(1+Inputs!$Q$10))</f>
        <v>0</v>
      </c>
      <c r="AH13" s="337">
        <f>IF(AH2&gt;Inputs!$Q$8,0,AG13*(1+Inputs!$Q$10))</f>
        <v>0</v>
      </c>
      <c r="AI13" s="337">
        <f>IF(AI2&gt;Inputs!$Q$8,0,AH13*(1+Inputs!$Q$10))</f>
        <v>0</v>
      </c>
      <c r="AJ13" s="337">
        <f>IF(AJ2&gt;Inputs!$Q$8,0,AI13*(1+Inputs!$Q$10))</f>
        <v>0</v>
      </c>
    </row>
    <row r="14" spans="2:36" s="1" customFormat="1" x14ac:dyDescent="0.2">
      <c r="B14" s="1" t="s">
        <v>284</v>
      </c>
      <c r="E14" s="54" t="s">
        <v>56</v>
      </c>
      <c r="F14" s="67"/>
      <c r="G14" s="65">
        <f>SUM(G12:G13)</f>
        <v>28.05</v>
      </c>
      <c r="H14" s="65">
        <f t="shared" ref="H14:AJ14" si="0">SUM(H12:H13)</f>
        <v>28.611000000000001</v>
      </c>
      <c r="I14" s="65">
        <f t="shared" si="0"/>
        <v>29.183220000000002</v>
      </c>
      <c r="J14" s="65">
        <f t="shared" si="0"/>
        <v>29.766884400000002</v>
      </c>
      <c r="K14" s="65">
        <f t="shared" si="0"/>
        <v>30.362222088000003</v>
      </c>
      <c r="L14" s="65">
        <f t="shared" si="0"/>
        <v>30.969466529760002</v>
      </c>
      <c r="M14" s="65">
        <f t="shared" si="0"/>
        <v>31.588855860355203</v>
      </c>
      <c r="N14" s="65">
        <f t="shared" si="0"/>
        <v>32.22063297756231</v>
      </c>
      <c r="O14" s="65">
        <f t="shared" si="0"/>
        <v>32.86504563711356</v>
      </c>
      <c r="P14" s="65">
        <f t="shared" si="0"/>
        <v>33.522346549855833</v>
      </c>
      <c r="Q14" s="65">
        <f t="shared" si="0"/>
        <v>34.192793480852949</v>
      </c>
      <c r="R14" s="65">
        <f t="shared" si="0"/>
        <v>34.876649350470011</v>
      </c>
      <c r="S14" s="65">
        <f t="shared" si="0"/>
        <v>35.574182337479414</v>
      </c>
      <c r="T14" s="65">
        <f t="shared" si="0"/>
        <v>36.285665984229006</v>
      </c>
      <c r="U14" s="65">
        <f t="shared" si="0"/>
        <v>37.011379303913586</v>
      </c>
      <c r="V14" s="65">
        <f t="shared" si="0"/>
        <v>37.751606889991855</v>
      </c>
      <c r="W14" s="65">
        <f t="shared" si="0"/>
        <v>38.506639027791692</v>
      </c>
      <c r="X14" s="65">
        <f t="shared" si="0"/>
        <v>39.276771808347526</v>
      </c>
      <c r="Y14" s="65">
        <f t="shared" si="0"/>
        <v>40.062307244514479</v>
      </c>
      <c r="Z14" s="65">
        <f t="shared" si="0"/>
        <v>40.863553389404771</v>
      </c>
      <c r="AA14" s="65">
        <f t="shared" si="0"/>
        <v>0</v>
      </c>
      <c r="AB14" s="65">
        <f t="shared" si="0"/>
        <v>0</v>
      </c>
      <c r="AC14" s="65">
        <f t="shared" si="0"/>
        <v>0</v>
      </c>
      <c r="AD14" s="65">
        <f t="shared" si="0"/>
        <v>0</v>
      </c>
      <c r="AE14" s="65">
        <f t="shared" si="0"/>
        <v>0</v>
      </c>
      <c r="AF14" s="65">
        <f t="shared" si="0"/>
        <v>0</v>
      </c>
      <c r="AG14" s="65">
        <f t="shared" si="0"/>
        <v>0</v>
      </c>
      <c r="AH14" s="65">
        <f t="shared" si="0"/>
        <v>0</v>
      </c>
      <c r="AI14" s="65">
        <f t="shared" si="0"/>
        <v>0</v>
      </c>
      <c r="AJ14" s="65">
        <f t="shared" si="0"/>
        <v>0</v>
      </c>
    </row>
    <row r="15" spans="2:36" s="1" customFormat="1" x14ac:dyDescent="0.2">
      <c r="B15" s="1" t="s">
        <v>111</v>
      </c>
      <c r="E15" s="54" t="s">
        <v>0</v>
      </c>
      <c r="G15" s="26">
        <f>(G$14*G$5)/100</f>
        <v>975510.80063250009</v>
      </c>
      <c r="H15" s="26">
        <f t="shared" ref="H15:AJ15" si="1">(H$14*H$5)/100</f>
        <v>990045.91156192438</v>
      </c>
      <c r="I15" s="26">
        <f t="shared" si="1"/>
        <v>1004797.5956441972</v>
      </c>
      <c r="J15" s="26">
        <f t="shared" si="1"/>
        <v>1019769.0798192957</v>
      </c>
      <c r="K15" s="26">
        <f t="shared" si="1"/>
        <v>1034963.6391086031</v>
      </c>
      <c r="L15" s="26">
        <f t="shared" si="1"/>
        <v>1050384.5973313213</v>
      </c>
      <c r="M15" s="26">
        <f t="shared" si="1"/>
        <v>1066035.3278315582</v>
      </c>
      <c r="N15" s="26">
        <f t="shared" si="1"/>
        <v>1081919.2542162484</v>
      </c>
      <c r="O15" s="26">
        <f t="shared" si="1"/>
        <v>1098039.8511040704</v>
      </c>
      <c r="P15" s="26">
        <f t="shared" si="1"/>
        <v>1114400.6448855211</v>
      </c>
      <c r="Q15" s="26">
        <f t="shared" si="1"/>
        <v>1131005.2144943154</v>
      </c>
      <c r="R15" s="26">
        <f t="shared" si="1"/>
        <v>1147857.1921902809</v>
      </c>
      <c r="S15" s="26">
        <f t="shared" si="1"/>
        <v>1164960.264353916</v>
      </c>
      <c r="T15" s="26">
        <f t="shared" si="1"/>
        <v>1182318.1722927894</v>
      </c>
      <c r="U15" s="26">
        <f t="shared" si="1"/>
        <v>1199934.7130599522</v>
      </c>
      <c r="V15" s="26">
        <f t="shared" si="1"/>
        <v>1217813.7402845453</v>
      </c>
      <c r="W15" s="26">
        <f t="shared" si="1"/>
        <v>1235959.165014785</v>
      </c>
      <c r="X15" s="26">
        <f t="shared" si="1"/>
        <v>1254374.9565735052</v>
      </c>
      <c r="Y15" s="26">
        <f t="shared" si="1"/>
        <v>1273065.1434264507</v>
      </c>
      <c r="Z15" s="26">
        <f t="shared" si="1"/>
        <v>1292033.8140635048</v>
      </c>
      <c r="AA15" s="26">
        <f t="shared" si="1"/>
        <v>0</v>
      </c>
      <c r="AB15" s="26">
        <f t="shared" si="1"/>
        <v>0</v>
      </c>
      <c r="AC15" s="26">
        <f t="shared" si="1"/>
        <v>0</v>
      </c>
      <c r="AD15" s="26">
        <f t="shared" si="1"/>
        <v>0</v>
      </c>
      <c r="AE15" s="26">
        <f t="shared" si="1"/>
        <v>0</v>
      </c>
      <c r="AF15" s="26">
        <f t="shared" si="1"/>
        <v>0</v>
      </c>
      <c r="AG15" s="26">
        <f t="shared" si="1"/>
        <v>0</v>
      </c>
      <c r="AH15" s="26">
        <f t="shared" si="1"/>
        <v>0</v>
      </c>
      <c r="AI15" s="26">
        <f t="shared" si="1"/>
        <v>0</v>
      </c>
      <c r="AJ15" s="26">
        <f t="shared" si="1"/>
        <v>0</v>
      </c>
    </row>
    <row r="16" spans="2:36" s="1" customFormat="1" x14ac:dyDescent="0.2">
      <c r="B16" s="1" t="s">
        <v>246</v>
      </c>
      <c r="E16" s="54" t="s">
        <v>56</v>
      </c>
      <c r="G16" s="65">
        <f>IF(Inputs!$Q$8=Inputs!$G$15,0,IF(Inputs!$Q$13="Year One",Inputs!$Q$14,'Complex Inputs'!$D129))</f>
        <v>5</v>
      </c>
      <c r="H16" s="65">
        <f>IF(H$2&gt;Inputs!$G$15,0,IF(Inputs!$Q$13="Year One",G$16*(1+Inputs!$Q$15),'Complex Inputs'!$D130))</f>
        <v>5.15</v>
      </c>
      <c r="I16" s="65">
        <f>IF(I$2&gt;Inputs!$G$15,0,IF(Inputs!$Q$13="Year One",H$16*(1+Inputs!$Q$15),'Complex Inputs'!$D131))</f>
        <v>5.3045000000000009</v>
      </c>
      <c r="J16" s="65">
        <f>IF(J$2&gt;Inputs!$G$15,0,IF(Inputs!$Q$13="Year One",I$16*(1+Inputs!$Q$15),'Complex Inputs'!$D132))</f>
        <v>5.4636350000000009</v>
      </c>
      <c r="K16" s="65">
        <f>IF(K$2&gt;Inputs!$G$15,0,IF(Inputs!$Q$13="Year One",J$16*(1+Inputs!$Q$15),'Complex Inputs'!$D133))</f>
        <v>5.6275440500000009</v>
      </c>
      <c r="L16" s="65">
        <f>IF(L$2&gt;Inputs!$G$15,0,IF(Inputs!$Q$13="Year One",K$16*(1+Inputs!$Q$15),'Complex Inputs'!$D134))</f>
        <v>5.796370371500001</v>
      </c>
      <c r="M16" s="65">
        <f>IF(M$2&gt;Inputs!$G$15,0,IF(Inputs!$Q$13="Year One",L$16*(1+Inputs!$Q$15),'Complex Inputs'!$D135))</f>
        <v>5.9702614826450011</v>
      </c>
      <c r="N16" s="65">
        <f>IF(N$2&gt;Inputs!$G$15,0,IF(Inputs!$Q$13="Year One",M$16*(1+Inputs!$Q$15),'Complex Inputs'!$D136))</f>
        <v>6.1493693271243517</v>
      </c>
      <c r="O16" s="65">
        <f>IF(O$2&gt;Inputs!$G$15,0,IF(Inputs!$Q$13="Year One",N$16*(1+Inputs!$Q$15),'Complex Inputs'!$D137))</f>
        <v>6.3338504069380823</v>
      </c>
      <c r="P16" s="65">
        <f>IF(P$2&gt;Inputs!$G$15,0,IF(Inputs!$Q$13="Year One",O$16*(1+Inputs!$Q$15),'Complex Inputs'!$D138))</f>
        <v>6.5238659191462247</v>
      </c>
      <c r="Q16" s="65">
        <f>IF(Q$2&gt;Inputs!$G$15,0,IF(Inputs!$Q$13="Year One",P$16*(1+Inputs!$Q$15),'Complex Inputs'!$D139))</f>
        <v>6.7195818967206113</v>
      </c>
      <c r="R16" s="65">
        <f>IF(R$2&gt;Inputs!$G$15,0,IF(Inputs!$Q$13="Year One",Q$16*(1+Inputs!$Q$15),'Complex Inputs'!$D140))</f>
        <v>6.9211693536222301</v>
      </c>
      <c r="S16" s="65">
        <f>IF(S$2&gt;Inputs!$G$15,0,IF(Inputs!$Q$13="Year One",R$16*(1+Inputs!$Q$15),'Complex Inputs'!$D141))</f>
        <v>7.1288044342308972</v>
      </c>
      <c r="T16" s="65">
        <f>IF(T$2&gt;Inputs!$G$15,0,IF(Inputs!$Q$13="Year One",S$16*(1+Inputs!$Q$15),'Complex Inputs'!$D142))</f>
        <v>7.3426685672578245</v>
      </c>
      <c r="U16" s="65">
        <f>IF(U$2&gt;Inputs!$G$15,0,IF(Inputs!$Q$13="Year One",T$16*(1+Inputs!$Q$15),'Complex Inputs'!$D143))</f>
        <v>7.5629486242755597</v>
      </c>
      <c r="V16" s="65">
        <f>IF(V$2&gt;Inputs!$G$15,0,IF(Inputs!$Q$13="Year One",U$16*(1+Inputs!$Q$15),'Complex Inputs'!$D144))</f>
        <v>7.7898370830038264</v>
      </c>
      <c r="W16" s="65">
        <f>IF(W$2&gt;Inputs!$G$15,0,IF(Inputs!$Q$13="Year One",V$16*(1+Inputs!$Q$15),'Complex Inputs'!$D145))</f>
        <v>8.0235321954939423</v>
      </c>
      <c r="X16" s="65">
        <f>IF(X$2&gt;Inputs!$G$15,0,IF(Inputs!$Q$13="Year One",W$16*(1+Inputs!$Q$15),'Complex Inputs'!$D146))</f>
        <v>8.2642381613587599</v>
      </c>
      <c r="Y16" s="65">
        <f>IF(Y$2&gt;Inputs!$G$15,0,IF(Inputs!$Q$13="Year One",X$16*(1+Inputs!$Q$15),'Complex Inputs'!$D147))</f>
        <v>8.5121653061995222</v>
      </c>
      <c r="Z16" s="65">
        <f>IF(Z$2&gt;Inputs!$G$15,0,IF(Inputs!$Q$13="Year One",Y$16*(1+Inputs!$Q$15),'Complex Inputs'!$D148))</f>
        <v>8.7675302653855081</v>
      </c>
      <c r="AA16" s="65">
        <f>IF(AA$2&gt;Inputs!$G$15,0,IF(Inputs!$Q$13="Year One",Z$16*(1+Inputs!$Q$15),'Complex Inputs'!$D149))</f>
        <v>9.0305561733470743</v>
      </c>
      <c r="AB16" s="65">
        <f>IF(AB$2&gt;Inputs!$G$15,0,IF(Inputs!$Q$13="Year One",AA$16*(1+Inputs!$Q$15),'Complex Inputs'!$D150))</f>
        <v>9.301472858547486</v>
      </c>
      <c r="AC16" s="65">
        <f>IF(AC$2&gt;Inputs!$G$15,0,IF(Inputs!$Q$13="Year One",AB$16*(1+Inputs!$Q$15),'Complex Inputs'!$D151))</f>
        <v>9.5805170443039103</v>
      </c>
      <c r="AD16" s="65">
        <f>IF(AD$2&gt;Inputs!$G$15,0,IF(Inputs!$Q$13="Year One",AC$16*(1+Inputs!$Q$15),'Complex Inputs'!$D152))</f>
        <v>9.8679325556330273</v>
      </c>
      <c r="AE16" s="65">
        <f>IF(AE$2&gt;Inputs!$G$15,0,IF(Inputs!$Q$13="Year One",AD$16*(1+Inputs!$Q$15),'Complex Inputs'!$D153))</f>
        <v>10.163970532302018</v>
      </c>
      <c r="AF16" s="65">
        <f>IF(AF$2&gt;Inputs!$G$15,0,IF(Inputs!$Q$13="Year One",AE$16*(1+Inputs!$Q$15),'Complex Inputs'!$D154))</f>
        <v>0</v>
      </c>
      <c r="AG16" s="65">
        <f>IF(AG$2&gt;Inputs!$G$15,0,IF(Inputs!$Q$13="Year One",AF$16*(1+Inputs!$Q$15),'Complex Inputs'!$D155))</f>
        <v>0</v>
      </c>
      <c r="AH16" s="65">
        <f>IF(AH$2&gt;Inputs!$G$15,0,IF(Inputs!$Q$13="Year One",AG$16*(1+Inputs!$Q$15),'Complex Inputs'!$D156))</f>
        <v>0</v>
      </c>
      <c r="AI16" s="65">
        <f>IF(AI$2&gt;Inputs!$G$15,0,IF(Inputs!$Q$13="Year One",AH$16*(1+Inputs!$Q$15),'Complex Inputs'!$D157))</f>
        <v>0</v>
      </c>
      <c r="AJ16" s="65">
        <f>IF(AJ$2&gt;Inputs!$G$15,0,IF(Inputs!$Q$13="Year One",AI$16*(1+Inputs!$Q$15),'Complex Inputs'!$D158))</f>
        <v>0</v>
      </c>
    </row>
    <row r="17" spans="2:36" s="1" customFormat="1" x14ac:dyDescent="0.2">
      <c r="B17" s="1" t="s">
        <v>245</v>
      </c>
      <c r="E17" s="54" t="s">
        <v>0</v>
      </c>
      <c r="G17" s="26">
        <f>IF(G$2&lt;=Inputs!$Q$8,0,IF(G$2&gt;Inputs!$G$15,0,(G$16*G$5)/100))</f>
        <v>0</v>
      </c>
      <c r="H17" s="26">
        <f>IF(H$2&lt;=Inputs!$Q$8,0,IF(H$2&gt;Inputs!$G$15,0,(H$16*H$5)/100))</f>
        <v>0</v>
      </c>
      <c r="I17" s="26">
        <f>IF(I$2&lt;=Inputs!$Q$8,0,IF(I$2&gt;Inputs!$G$15,0,(I$16*I$5)/100))</f>
        <v>0</v>
      </c>
      <c r="J17" s="26">
        <f>IF(J$2&lt;=Inputs!$Q$8,0,IF(J$2&gt;Inputs!$G$15,0,(J$16*J$5)/100))</f>
        <v>0</v>
      </c>
      <c r="K17" s="26">
        <f>IF(K$2&lt;=Inputs!$Q$8,0,IF(K$2&gt;Inputs!$G$15,0,(K$16*K$5)/100))</f>
        <v>0</v>
      </c>
      <c r="L17" s="26">
        <f>IF(L$2&lt;=Inputs!$Q$8,0,IF(L$2&gt;Inputs!$G$15,0,(L$16*L$5)/100))</f>
        <v>0</v>
      </c>
      <c r="M17" s="26">
        <f>IF(M$2&lt;=Inputs!$Q$8,0,IF(M$2&gt;Inputs!$G$15,0,(M$16*M$5)/100))</f>
        <v>0</v>
      </c>
      <c r="N17" s="26">
        <f>IF(N$2&lt;=Inputs!$Q$8,0,IF(N$2&gt;Inputs!$G$15,0,(N$16*N$5)/100))</f>
        <v>0</v>
      </c>
      <c r="O17" s="26">
        <f>IF(O$2&lt;=Inputs!$Q$8,0,IF(O$2&gt;Inputs!$G$15,0,(O$16*O$5)/100))</f>
        <v>0</v>
      </c>
      <c r="P17" s="26">
        <f>IF(P$2&lt;=Inputs!$Q$8,0,IF(P$2&gt;Inputs!$G$15,0,(P$16*P$5)/100))</f>
        <v>0</v>
      </c>
      <c r="Q17" s="26">
        <f>IF(Q$2&lt;=Inputs!$Q$8,0,IF(Q$2&gt;Inputs!$G$15,0,(Q$16*Q$5)/100))</f>
        <v>0</v>
      </c>
      <c r="R17" s="26">
        <f>IF(R$2&lt;=Inputs!$Q$8,0,IF(R$2&gt;Inputs!$G$15,0,(R$16*R$5)/100))</f>
        <v>0</v>
      </c>
      <c r="S17" s="26">
        <f>IF(S$2&lt;=Inputs!$Q$8,0,IF(S$2&gt;Inputs!$G$15,0,(S$16*S$5)/100))</f>
        <v>0</v>
      </c>
      <c r="T17" s="26">
        <f>IF(T$2&lt;=Inputs!$Q$8,0,IF(T$2&gt;Inputs!$G$15,0,(T$16*T$5)/100))</f>
        <v>0</v>
      </c>
      <c r="U17" s="26">
        <f>IF(U$2&lt;=Inputs!$Q$8,0,IF(U$2&gt;Inputs!$G$15,0,(U$16*U$5)/100))</f>
        <v>0</v>
      </c>
      <c r="V17" s="26">
        <f>IF(V$2&lt;=Inputs!$Q$8,0,IF(V$2&gt;Inputs!$G$15,0,(V$16*V$5)/100))</f>
        <v>0</v>
      </c>
      <c r="W17" s="26">
        <f>IF(W$2&lt;=Inputs!$Q$8,0,IF(W$2&gt;Inputs!$G$15,0,(W$16*W$5)/100))</f>
        <v>0</v>
      </c>
      <c r="X17" s="26">
        <f>IF(X$2&lt;=Inputs!$Q$8,0,IF(X$2&gt;Inputs!$G$15,0,(X$16*X$5)/100))</f>
        <v>0</v>
      </c>
      <c r="Y17" s="26">
        <f>IF(Y$2&lt;=Inputs!$Q$8,0,IF(Y$2&gt;Inputs!$G$15,0,(Y$16*Y$5)/100))</f>
        <v>0</v>
      </c>
      <c r="Z17" s="26">
        <f>IF(Z$2&lt;=Inputs!$Q$8,0,IF(Z$2&gt;Inputs!$G$15,0,(Z$16*Z$5)/100))</f>
        <v>0</v>
      </c>
      <c r="AA17" s="26">
        <f>IF(AA$2&lt;=Inputs!$Q$8,0,IF(AA$2&gt;Inputs!$G$15,0,(AA$16*AA$5)/100))</f>
        <v>284102.67960435519</v>
      </c>
      <c r="AB17" s="26">
        <f>IF(AB$2&lt;=Inputs!$Q$8,0,IF(AB$2&gt;Inputs!$G$15,0,(AB$16*AB$5)/100))</f>
        <v>291162.63119252346</v>
      </c>
      <c r="AC17" s="26">
        <f>IF(AC$2&lt;=Inputs!$Q$8,0,IF(AC$2&gt;Inputs!$G$15,0,(AC$16*AC$5)/100))</f>
        <v>298398.0225776576</v>
      </c>
      <c r="AD17" s="26">
        <f>IF(AD$2&lt;=Inputs!$Q$8,0,IF(AD$2&gt;Inputs!$G$15,0,(AD$16*AD$5)/100))</f>
        <v>305813.21343871241</v>
      </c>
      <c r="AE17" s="26">
        <f>IF(AE$2&lt;=Inputs!$Q$8,0,IF(AE$2&gt;Inputs!$G$15,0,(AE$16*AE$5)/100))</f>
        <v>313412.67179266445</v>
      </c>
      <c r="AF17" s="26">
        <f>IF(AF$2&lt;=Inputs!$Q$8,0,IF(AF$2&gt;Inputs!$G$15,0,(AF$16*AF$5)/100))</f>
        <v>0</v>
      </c>
      <c r="AG17" s="26">
        <f>IF(AG$2&lt;=Inputs!$Q$8,0,IF(AG$2&gt;Inputs!$G$15,0,(AG$16*AG$5)/100))</f>
        <v>0</v>
      </c>
      <c r="AH17" s="26">
        <f>IF(AH$2&lt;=Inputs!$Q$8,0,IF(AH$2&gt;Inputs!$G$15,0,(AH$16*AH$5)/100))</f>
        <v>0</v>
      </c>
      <c r="AI17" s="26">
        <f>IF(AI$2&lt;=Inputs!$Q$8,0,IF(AI$2&gt;Inputs!$G$15,0,(AI$16*AI$5)/100))</f>
        <v>0</v>
      </c>
      <c r="AJ17" s="26">
        <f>IF(AJ$2&lt;=Inputs!$Q$8,0,IF(AJ$2&gt;Inputs!$G$15,0,(AJ$16*AJ$5)/100))</f>
        <v>0</v>
      </c>
    </row>
    <row r="18" spans="2:36" s="1" customFormat="1" x14ac:dyDescent="0.2">
      <c r="B18" s="1" t="s">
        <v>112</v>
      </c>
      <c r="E18" s="54" t="s">
        <v>56</v>
      </c>
      <c r="G18" s="65">
        <f>IF(OR(Inputs!$Q$19="Cost-Based",Inputs!$Q$19="Neither"),0,IF(AND(Inputs!$Q$24="Cash",G$2&lt;=Inputs!$Q$27),Inputs!$Q$25*G$9,0))</f>
        <v>0</v>
      </c>
      <c r="H18" s="65">
        <f>IF(OR(Inputs!$Q$19="Cost-Based",Inputs!$Q$19="Neither"),0,IF(AND(Inputs!$Q$24="Cash",H$2&lt;=Inputs!$Q$27),Inputs!$Q$25*H$9,0))</f>
        <v>0</v>
      </c>
      <c r="I18" s="65">
        <f>IF(OR(Inputs!$Q$19="Cost-Based",Inputs!$Q$19="Neither"),0,IF(AND(Inputs!$Q$24="Cash",I$2&lt;=Inputs!$Q$27),Inputs!$Q$25*I$9,0))</f>
        <v>0</v>
      </c>
      <c r="J18" s="65">
        <f>IF(OR(Inputs!$Q$19="Cost-Based",Inputs!$Q$19="Neither"),0,IF(AND(Inputs!$Q$24="Cash",J$2&lt;=Inputs!$Q$27),Inputs!$Q$25*J$9,0))</f>
        <v>0</v>
      </c>
      <c r="K18" s="65">
        <f>IF(OR(Inputs!$Q$19="Cost-Based",Inputs!$Q$19="Neither"),0,IF(AND(Inputs!$Q$24="Cash",K$2&lt;=Inputs!$Q$27),Inputs!$Q$25*K$9,0))</f>
        <v>0</v>
      </c>
      <c r="L18" s="65">
        <f>IF(OR(Inputs!$Q$19="Cost-Based",Inputs!$Q$19="Neither"),0,IF(AND(Inputs!$Q$24="Cash",L$2&lt;=Inputs!$Q$27),Inputs!$Q$25*L$9,0))</f>
        <v>0</v>
      </c>
      <c r="M18" s="65">
        <f>IF(OR(Inputs!$Q$19="Cost-Based",Inputs!$Q$19="Neither"),0,IF(AND(Inputs!$Q$24="Cash",M$2&lt;=Inputs!$Q$27),Inputs!$Q$25*M$9,0))</f>
        <v>0</v>
      </c>
      <c r="N18" s="65">
        <f>IF(OR(Inputs!$Q$19="Cost-Based",Inputs!$Q$19="Neither"),0,IF(AND(Inputs!$Q$24="Cash",N$2&lt;=Inputs!$Q$27),Inputs!$Q$25*N$9,0))</f>
        <v>0</v>
      </c>
      <c r="O18" s="65">
        <f>IF(OR(Inputs!$Q$19="Cost-Based",Inputs!$Q$19="Neither"),0,IF(AND(Inputs!$Q$24="Cash",O$2&lt;=Inputs!$Q$27),Inputs!$Q$25*O$9,0))</f>
        <v>0</v>
      </c>
      <c r="P18" s="65">
        <f>IF(OR(Inputs!$Q$19="Cost-Based",Inputs!$Q$19="Neither"),0,IF(AND(Inputs!$Q$24="Cash",P$2&lt;=Inputs!$Q$27),Inputs!$Q$25*P$9,0))</f>
        <v>0</v>
      </c>
      <c r="Q18" s="65">
        <f>IF(OR(Inputs!$Q$19="Cost-Based",Inputs!$Q$19="Neither"),0,IF(AND(Inputs!$Q$24="Cash",Q$2&lt;=Inputs!$Q$27),Inputs!$Q$25*Q$9,0))</f>
        <v>0</v>
      </c>
      <c r="R18" s="65">
        <f>IF(OR(Inputs!$Q$19="Cost-Based",Inputs!$Q$19="Neither"),0,IF(AND(Inputs!$Q$24="Cash",R$2&lt;=Inputs!$Q$27),Inputs!$Q$25*R$9,0))</f>
        <v>0</v>
      </c>
      <c r="S18" s="65">
        <f>IF(OR(Inputs!$Q$19="Cost-Based",Inputs!$Q$19="Neither"),0,IF(AND(Inputs!$Q$24="Cash",S$2&lt;=Inputs!$Q$27),Inputs!$Q$25*S$9,0))</f>
        <v>0</v>
      </c>
      <c r="T18" s="65">
        <f>IF(OR(Inputs!$Q$19="Cost-Based",Inputs!$Q$19="Neither"),0,IF(AND(Inputs!$Q$24="Cash",T$2&lt;=Inputs!$Q$27),Inputs!$Q$25*T$9,0))</f>
        <v>0</v>
      </c>
      <c r="U18" s="65">
        <f>IF(OR(Inputs!$Q$19="Cost-Based",Inputs!$Q$19="Neither"),0,IF(AND(Inputs!$Q$24="Cash",U$2&lt;=Inputs!$Q$27),Inputs!$Q$25*U$9,0))</f>
        <v>0</v>
      </c>
      <c r="V18" s="65">
        <f>IF(OR(Inputs!$Q$19="Cost-Based",Inputs!$Q$19="Neither"),0,IF(AND(Inputs!$Q$24="Cash",V$2&lt;=Inputs!$Q$27),Inputs!$Q$25*V$9,0))</f>
        <v>0</v>
      </c>
      <c r="W18" s="65">
        <f>IF(OR(Inputs!$Q$19="Cost-Based",Inputs!$Q$19="Neither"),0,IF(AND(Inputs!$Q$24="Cash",W$2&lt;=Inputs!$Q$27),Inputs!$Q$25*W$9,0))</f>
        <v>0</v>
      </c>
      <c r="X18" s="65">
        <f>IF(OR(Inputs!$Q$19="Cost-Based",Inputs!$Q$19="Neither"),0,IF(AND(Inputs!$Q$24="Cash",X$2&lt;=Inputs!$Q$27),Inputs!$Q$25*X$9,0))</f>
        <v>0</v>
      </c>
      <c r="Y18" s="65">
        <f>IF(OR(Inputs!$Q$19="Cost-Based",Inputs!$Q$19="Neither"),0,IF(AND(Inputs!$Q$24="Cash",Y$2&lt;=Inputs!$Q$27),Inputs!$Q$25*Y$9,0))</f>
        <v>0</v>
      </c>
      <c r="Z18" s="65">
        <f>IF(OR(Inputs!$Q$19="Cost-Based",Inputs!$Q$19="Neither"),0,IF(AND(Inputs!$Q$24="Cash",Z$2&lt;=Inputs!$Q$27),Inputs!$Q$25*Z$9,0))</f>
        <v>0</v>
      </c>
      <c r="AA18" s="65">
        <f>IF(OR(Inputs!$Q$19="Cost-Based",Inputs!$Q$19="Neither"),0,IF(AND(Inputs!$Q$24="Cash",AA$2&lt;=Inputs!$Q$27),Inputs!$Q$25*AA$9,0))</f>
        <v>0</v>
      </c>
      <c r="AB18" s="65">
        <f>IF(OR(Inputs!$Q$19="Cost-Based",Inputs!$Q$19="Neither"),0,IF(AND(Inputs!$Q$24="Cash",AB$2&lt;=Inputs!$Q$27),Inputs!$Q$25*AB$9,0))</f>
        <v>0</v>
      </c>
      <c r="AC18" s="65">
        <f>IF(OR(Inputs!$Q$19="Cost-Based",Inputs!$Q$19="Neither"),0,IF(AND(Inputs!$Q$24="Cash",AC$2&lt;=Inputs!$Q$27),Inputs!$Q$25*AC$9,0))</f>
        <v>0</v>
      </c>
      <c r="AD18" s="65">
        <f>IF(OR(Inputs!$Q$19="Cost-Based",Inputs!$Q$19="Neither"),0,IF(AND(Inputs!$Q$24="Cash",AD$2&lt;=Inputs!$Q$27),Inputs!$Q$25*AD$9,0))</f>
        <v>0</v>
      </c>
      <c r="AE18" s="65">
        <f>IF(OR(Inputs!$Q$19="Cost-Based",Inputs!$Q$19="Neither"),0,IF(AND(Inputs!$Q$24="Cash",AE$2&lt;=Inputs!$Q$27),Inputs!$Q$25*AE$9,0))</f>
        <v>0</v>
      </c>
      <c r="AF18" s="65">
        <f>IF(OR(Inputs!$Q$19="Cost-Based",Inputs!$Q$19="Neither"),0,IF(AND(Inputs!$Q$24="Cash",AF$2&lt;=Inputs!$Q$27),Inputs!$Q$25*AF$9,0))</f>
        <v>0</v>
      </c>
      <c r="AG18" s="65">
        <f>IF(OR(Inputs!$Q$19="Cost-Based",Inputs!$Q$19="Neither"),0,IF(AND(Inputs!$Q$24="Cash",AG$2&lt;=Inputs!$Q$27),Inputs!$Q$25*AG$9,0))</f>
        <v>0</v>
      </c>
      <c r="AH18" s="65">
        <f>IF(OR(Inputs!$Q$19="Cost-Based",Inputs!$Q$19="Neither"),0,IF(AND(Inputs!$Q$24="Cash",AH$2&lt;=Inputs!$Q$27),Inputs!$Q$25*AH$9,0))</f>
        <v>0</v>
      </c>
      <c r="AI18" s="65">
        <f>IF(OR(Inputs!$Q$19="Cost-Based",Inputs!$Q$19="Neither"),0,IF(AND(Inputs!$Q$24="Cash",AI$2&lt;=Inputs!$Q$27),Inputs!$Q$25*AI$9,0))</f>
        <v>0</v>
      </c>
      <c r="AJ18" s="65">
        <f>IF(OR(Inputs!$Q$19="Cost-Based",Inputs!$Q$19="Neither"),0,IF(AND(Inputs!$Q$24="Cash",AJ$2&lt;=Inputs!$Q$27),Inputs!$Q$25*AJ$9,0))</f>
        <v>0</v>
      </c>
    </row>
    <row r="19" spans="2:36" s="1" customFormat="1" x14ac:dyDescent="0.2">
      <c r="B19" s="1" t="s">
        <v>113</v>
      </c>
      <c r="E19" s="54" t="s">
        <v>0</v>
      </c>
      <c r="G19" s="26">
        <f>(G$18*G$5)/100</f>
        <v>0</v>
      </c>
      <c r="H19" s="26">
        <f t="shared" ref="H19:AJ19" si="2">(H$18*H$5)/100</f>
        <v>0</v>
      </c>
      <c r="I19" s="26">
        <f t="shared" si="2"/>
        <v>0</v>
      </c>
      <c r="J19" s="26">
        <f t="shared" si="2"/>
        <v>0</v>
      </c>
      <c r="K19" s="26">
        <f t="shared" si="2"/>
        <v>0</v>
      </c>
      <c r="L19" s="26">
        <f t="shared" si="2"/>
        <v>0</v>
      </c>
      <c r="M19" s="26">
        <f t="shared" si="2"/>
        <v>0</v>
      </c>
      <c r="N19" s="26">
        <f t="shared" si="2"/>
        <v>0</v>
      </c>
      <c r="O19" s="26">
        <f t="shared" si="2"/>
        <v>0</v>
      </c>
      <c r="P19" s="26">
        <f t="shared" si="2"/>
        <v>0</v>
      </c>
      <c r="Q19" s="26">
        <f t="shared" si="2"/>
        <v>0</v>
      </c>
      <c r="R19" s="26">
        <f t="shared" si="2"/>
        <v>0</v>
      </c>
      <c r="S19" s="26">
        <f t="shared" si="2"/>
        <v>0</v>
      </c>
      <c r="T19" s="26">
        <f t="shared" si="2"/>
        <v>0</v>
      </c>
      <c r="U19" s="26">
        <f t="shared" si="2"/>
        <v>0</v>
      </c>
      <c r="V19" s="26">
        <f t="shared" si="2"/>
        <v>0</v>
      </c>
      <c r="W19" s="26">
        <f t="shared" si="2"/>
        <v>0</v>
      </c>
      <c r="X19" s="26">
        <f t="shared" si="2"/>
        <v>0</v>
      </c>
      <c r="Y19" s="26">
        <f t="shared" si="2"/>
        <v>0</v>
      </c>
      <c r="Z19" s="26">
        <f t="shared" si="2"/>
        <v>0</v>
      </c>
      <c r="AA19" s="26">
        <f t="shared" si="2"/>
        <v>0</v>
      </c>
      <c r="AB19" s="26">
        <f t="shared" si="2"/>
        <v>0</v>
      </c>
      <c r="AC19" s="26">
        <f t="shared" si="2"/>
        <v>0</v>
      </c>
      <c r="AD19" s="26">
        <f t="shared" si="2"/>
        <v>0</v>
      </c>
      <c r="AE19" s="26">
        <f t="shared" si="2"/>
        <v>0</v>
      </c>
      <c r="AF19" s="26">
        <f t="shared" si="2"/>
        <v>0</v>
      </c>
      <c r="AG19" s="26">
        <f t="shared" si="2"/>
        <v>0</v>
      </c>
      <c r="AH19" s="26">
        <f t="shared" si="2"/>
        <v>0</v>
      </c>
      <c r="AI19" s="26">
        <f t="shared" si="2"/>
        <v>0</v>
      </c>
      <c r="AJ19" s="26">
        <f t="shared" si="2"/>
        <v>0</v>
      </c>
    </row>
    <row r="20" spans="2:36" s="1" customFormat="1" x14ac:dyDescent="0.2">
      <c r="B20" s="1" t="s">
        <v>114</v>
      </c>
      <c r="E20" s="54" t="s">
        <v>56</v>
      </c>
      <c r="G20" s="65">
        <f>IF(OR(Inputs!$Q$33="Cost-Based",Inputs!$Q$33="Neither"),0,IF(AND(Inputs!$Q$38="Cash",G$2&lt;=Inputs!$Q$43),Inputs!$Q$41*G$10*Inputs!$Q$42,0))</f>
        <v>0</v>
      </c>
      <c r="H20" s="65">
        <f>IF(OR(Inputs!$Q$33="Cost-Based",Inputs!$Q$33="Neither"),0,IF(AND(Inputs!$Q$38="Cash",H$2&lt;=Inputs!$Q$43),Inputs!$Q$41*H$10*Inputs!$Q$42,0))</f>
        <v>0</v>
      </c>
      <c r="I20" s="65">
        <f>IF(OR(Inputs!$Q$33="Cost-Based",Inputs!$Q$33="Neither"),0,IF(AND(Inputs!$Q$38="Cash",I$2&lt;=Inputs!$Q$43),Inputs!$Q$41*I$10*Inputs!$Q$42,0))</f>
        <v>0</v>
      </c>
      <c r="J20" s="65">
        <f>IF(OR(Inputs!$Q$33="Cost-Based",Inputs!$Q$33="Neither"),0,IF(AND(Inputs!$Q$38="Cash",J$2&lt;=Inputs!$Q$43),Inputs!$Q$41*J$10*Inputs!$Q$42,0))</f>
        <v>0</v>
      </c>
      <c r="K20" s="65">
        <f>IF(OR(Inputs!$Q$33="Cost-Based",Inputs!$Q$33="Neither"),0,IF(AND(Inputs!$Q$38="Cash",K$2&lt;=Inputs!$Q$43),Inputs!$Q$41*K$10*Inputs!$Q$42,0))</f>
        <v>0</v>
      </c>
      <c r="L20" s="65">
        <f>IF(OR(Inputs!$Q$33="Cost-Based",Inputs!$Q$33="Neither"),0,IF(AND(Inputs!$Q$38="Cash",L$2&lt;=Inputs!$Q$43),Inputs!$Q$41*L$10*Inputs!$Q$42,0))</f>
        <v>0</v>
      </c>
      <c r="M20" s="65">
        <f>IF(OR(Inputs!$Q$33="Cost-Based",Inputs!$Q$33="Neither"),0,IF(AND(Inputs!$Q$38="Cash",M$2&lt;=Inputs!$Q$43),Inputs!$Q$41*M$10*Inputs!$Q$42,0))</f>
        <v>0</v>
      </c>
      <c r="N20" s="65">
        <f>IF(OR(Inputs!$Q$33="Cost-Based",Inputs!$Q$33="Neither"),0,IF(AND(Inputs!$Q$38="Cash",N$2&lt;=Inputs!$Q$43),Inputs!$Q$41*N$10*Inputs!$Q$42,0))</f>
        <v>0</v>
      </c>
      <c r="O20" s="65">
        <f>IF(OR(Inputs!$Q$33="Cost-Based",Inputs!$Q$33="Neither"),0,IF(AND(Inputs!$Q$38="Cash",O$2&lt;=Inputs!$Q$43),Inputs!$Q$41*O$10*Inputs!$Q$42,0))</f>
        <v>0</v>
      </c>
      <c r="P20" s="65">
        <f>IF(OR(Inputs!$Q$33="Cost-Based",Inputs!$Q$33="Neither"),0,IF(AND(Inputs!$Q$38="Cash",P$2&lt;=Inputs!$Q$43),Inputs!$Q$41*P$10*Inputs!$Q$42,0))</f>
        <v>0</v>
      </c>
      <c r="Q20" s="65">
        <f>IF(OR(Inputs!$Q$33="Cost-Based",Inputs!$Q$33="Neither"),0,IF(AND(Inputs!$Q$38="Cash",Q$2&lt;=Inputs!$Q$43),Inputs!$Q$41*Q$10*Inputs!$Q$42,0))</f>
        <v>0</v>
      </c>
      <c r="R20" s="65">
        <f>IF(OR(Inputs!$Q$33="Cost-Based",Inputs!$Q$33="Neither"),0,IF(AND(Inputs!$Q$38="Cash",R$2&lt;=Inputs!$Q$43),Inputs!$Q$41*R$10*Inputs!$Q$42,0))</f>
        <v>0</v>
      </c>
      <c r="S20" s="65">
        <f>IF(OR(Inputs!$Q$33="Cost-Based",Inputs!$Q$33="Neither"),0,IF(AND(Inputs!$Q$38="Cash",S$2&lt;=Inputs!$Q$43),Inputs!$Q$41*S$10*Inputs!$Q$42,0))</f>
        <v>0</v>
      </c>
      <c r="T20" s="65">
        <f>IF(OR(Inputs!$Q$33="Cost-Based",Inputs!$Q$33="Neither"),0,IF(AND(Inputs!$Q$38="Cash",T$2&lt;=Inputs!$Q$43),Inputs!$Q$41*T$10*Inputs!$Q$42,0))</f>
        <v>0</v>
      </c>
      <c r="U20" s="65">
        <f>IF(OR(Inputs!$Q$33="Cost-Based",Inputs!$Q$33="Neither"),0,IF(AND(Inputs!$Q$38="Cash",U$2&lt;=Inputs!$Q$43),Inputs!$Q$41*U$10*Inputs!$Q$42,0))</f>
        <v>0</v>
      </c>
      <c r="V20" s="65">
        <f>IF(OR(Inputs!$Q$33="Cost-Based",Inputs!$Q$33="Neither"),0,IF(AND(Inputs!$Q$38="Cash",V$2&lt;=Inputs!$Q$43),Inputs!$Q$41*V$10*Inputs!$Q$42,0))</f>
        <v>0</v>
      </c>
      <c r="W20" s="65">
        <f>IF(OR(Inputs!$Q$33="Cost-Based",Inputs!$Q$33="Neither"),0,IF(AND(Inputs!$Q$38="Cash",W$2&lt;=Inputs!$Q$43),Inputs!$Q$41*W$10*Inputs!$Q$42,0))</f>
        <v>0</v>
      </c>
      <c r="X20" s="65">
        <f>IF(OR(Inputs!$Q$33="Cost-Based",Inputs!$Q$33="Neither"),0,IF(AND(Inputs!$Q$38="Cash",X$2&lt;=Inputs!$Q$43),Inputs!$Q$41*X$10*Inputs!$Q$42,0))</f>
        <v>0</v>
      </c>
      <c r="Y20" s="65">
        <f>IF(OR(Inputs!$Q$33="Cost-Based",Inputs!$Q$33="Neither"),0,IF(AND(Inputs!$Q$38="Cash",Y$2&lt;=Inputs!$Q$43),Inputs!$Q$41*Y$10*Inputs!$Q$42,0))</f>
        <v>0</v>
      </c>
      <c r="Z20" s="65">
        <f>IF(OR(Inputs!$Q$33="Cost-Based",Inputs!$Q$33="Neither"),0,IF(AND(Inputs!$Q$38="Cash",Z$2&lt;=Inputs!$Q$43),Inputs!$Q$41*Z$10*Inputs!$Q$42,0))</f>
        <v>0</v>
      </c>
      <c r="AA20" s="65">
        <f>IF(OR(Inputs!$Q$33="Cost-Based",Inputs!$Q$33="Neither"),0,IF(AND(Inputs!$Q$38="Cash",AA$2&lt;=Inputs!$Q$43),Inputs!$Q$41*AA$10*Inputs!$Q$42,0))</f>
        <v>0</v>
      </c>
      <c r="AB20" s="65">
        <f>IF(OR(Inputs!$Q$33="Cost-Based",Inputs!$Q$33="Neither"),0,IF(AND(Inputs!$Q$38="Cash",AB$2&lt;=Inputs!$Q$43),Inputs!$Q$41*AB$10*Inputs!$Q$42,0))</f>
        <v>0</v>
      </c>
      <c r="AC20" s="65">
        <f>IF(OR(Inputs!$Q$33="Cost-Based",Inputs!$Q$33="Neither"),0,IF(AND(Inputs!$Q$38="Cash",AC$2&lt;=Inputs!$Q$43),Inputs!$Q$41*AC$10*Inputs!$Q$42,0))</f>
        <v>0</v>
      </c>
      <c r="AD20" s="65">
        <f>IF(OR(Inputs!$Q$33="Cost-Based",Inputs!$Q$33="Neither"),0,IF(AND(Inputs!$Q$38="Cash",AD$2&lt;=Inputs!$Q$43),Inputs!$Q$41*AD$10*Inputs!$Q$42,0))</f>
        <v>0</v>
      </c>
      <c r="AE20" s="65">
        <f>IF(OR(Inputs!$Q$33="Cost-Based",Inputs!$Q$33="Neither"),0,IF(AND(Inputs!$Q$38="Cash",AE$2&lt;=Inputs!$Q$43),Inputs!$Q$41*AE$10*Inputs!$Q$42,0))</f>
        <v>0</v>
      </c>
      <c r="AF20" s="65">
        <f>IF(OR(Inputs!$Q$33="Cost-Based",Inputs!$Q$33="Neither"),0,IF(AND(Inputs!$Q$38="Cash",AF$2&lt;=Inputs!$Q$43),Inputs!$Q$41*AF$10*Inputs!$Q$42,0))</f>
        <v>0</v>
      </c>
      <c r="AG20" s="65">
        <f>IF(OR(Inputs!$Q$33="Cost-Based",Inputs!$Q$33="Neither"),0,IF(AND(Inputs!$Q$38="Cash",AG$2&lt;=Inputs!$Q$43),Inputs!$Q$41*AG$10*Inputs!$Q$42,0))</f>
        <v>0</v>
      </c>
      <c r="AH20" s="65">
        <f>IF(OR(Inputs!$Q$33="Cost-Based",Inputs!$Q$33="Neither"),0,IF(AND(Inputs!$Q$38="Cash",AH$2&lt;=Inputs!$Q$43),Inputs!$Q$41*AH$10*Inputs!$Q$42,0))</f>
        <v>0</v>
      </c>
      <c r="AI20" s="65">
        <f>IF(OR(Inputs!$Q$33="Cost-Based",Inputs!$Q$33="Neither"),0,IF(AND(Inputs!$Q$38="Cash",AI$2&lt;=Inputs!$Q$43),Inputs!$Q$41*AI$10*Inputs!$Q$42,0))</f>
        <v>0</v>
      </c>
      <c r="AJ20" s="65">
        <f>IF(OR(Inputs!$Q$33="Cost-Based",Inputs!$Q$33="Neither"),0,IF(AND(Inputs!$Q$38="Cash",AJ$2&lt;=Inputs!$Q$43),Inputs!$Q$41*AJ$10*Inputs!$Q$42,0))</f>
        <v>0</v>
      </c>
    </row>
    <row r="21" spans="2:36" s="1" customFormat="1" x14ac:dyDescent="0.2">
      <c r="B21" s="1" t="s">
        <v>115</v>
      </c>
      <c r="E21" s="54" t="s">
        <v>0</v>
      </c>
      <c r="G21" s="26">
        <f>IF(Inputs!$Q$39=0,(G$20*G$5)/100,MIN(Inputs!$Q$39,(G$20*G$5)/100))</f>
        <v>0</v>
      </c>
      <c r="H21" s="26">
        <f>IF(Inputs!$Q$39=0,(H$20*H$5)/100,MIN(Inputs!$Q$39,(H$20*H$5)/100))</f>
        <v>0</v>
      </c>
      <c r="I21" s="26">
        <f>IF(Inputs!$Q$39=0,(I$20*I$5)/100,MIN(Inputs!$Q$39,(I$20*I$5)/100))</f>
        <v>0</v>
      </c>
      <c r="J21" s="26">
        <f>IF(Inputs!$Q$39=0,(J$20*J$5)/100,MIN(Inputs!$Q$39,(J$20*J$5)/100))</f>
        <v>0</v>
      </c>
      <c r="K21" s="26">
        <f>IF(Inputs!$Q$39=0,(K$20*K$5)/100,MIN(Inputs!$Q$39,(K$20*K$5)/100))</f>
        <v>0</v>
      </c>
      <c r="L21" s="26">
        <f>IF(Inputs!$Q$39=0,(L$20*L$5)/100,MIN(Inputs!$Q$39,(L$20*L$5)/100))</f>
        <v>0</v>
      </c>
      <c r="M21" s="26">
        <f>IF(Inputs!$Q$39=0,(M$20*M$5)/100,MIN(Inputs!$Q$39,(M$20*M$5)/100))</f>
        <v>0</v>
      </c>
      <c r="N21" s="26">
        <f>IF(Inputs!$Q$39=0,(N$20*N$5)/100,MIN(Inputs!$Q$39,(N$20*N$5)/100))</f>
        <v>0</v>
      </c>
      <c r="O21" s="26">
        <f>IF(Inputs!$Q$39=0,(O$20*O$5)/100,MIN(Inputs!$Q$39,(O$20*O$5)/100))</f>
        <v>0</v>
      </c>
      <c r="P21" s="26">
        <f>IF(Inputs!$Q$39=0,(P$20*P$5)/100,MIN(Inputs!$Q$39,(P$20*P$5)/100))</f>
        <v>0</v>
      </c>
      <c r="Q21" s="26">
        <f>IF(Inputs!$Q$39=0,(Q$20*Q$5)/100,MIN(Inputs!$Q$39,(Q$20*Q$5)/100))</f>
        <v>0</v>
      </c>
      <c r="R21" s="26">
        <f>IF(Inputs!$Q$39=0,(R$20*R$5)/100,MIN(Inputs!$Q$39,(R$20*R$5)/100))</f>
        <v>0</v>
      </c>
      <c r="S21" s="26">
        <f>IF(Inputs!$Q$39=0,(S$20*S$5)/100,MIN(Inputs!$Q$39,(S$20*S$5)/100))</f>
        <v>0</v>
      </c>
      <c r="T21" s="26">
        <f>IF(Inputs!$Q$39=0,(T$20*T$5)/100,MIN(Inputs!$Q$39,(T$20*T$5)/100))</f>
        <v>0</v>
      </c>
      <c r="U21" s="26">
        <f>IF(Inputs!$Q$39=0,(U$20*U$5)/100,MIN(Inputs!$Q$39,(U$20*U$5)/100))</f>
        <v>0</v>
      </c>
      <c r="V21" s="26">
        <f>IF(Inputs!$Q$39=0,(V$20*V$5)/100,MIN(Inputs!$Q$39,(V$20*V$5)/100))</f>
        <v>0</v>
      </c>
      <c r="W21" s="26">
        <f>IF(Inputs!$Q$39=0,(W$20*W$5)/100,MIN(Inputs!$Q$39,(W$20*W$5)/100))</f>
        <v>0</v>
      </c>
      <c r="X21" s="26">
        <f>IF(Inputs!$Q$39=0,(X$20*X$5)/100,MIN(Inputs!$Q$39,(X$20*X$5)/100))</f>
        <v>0</v>
      </c>
      <c r="Y21" s="26">
        <f>IF(Inputs!$Q$39=0,(Y$20*Y$5)/100,MIN(Inputs!$Q$39,(Y$20*Y$5)/100))</f>
        <v>0</v>
      </c>
      <c r="Z21" s="26">
        <f>IF(Inputs!$Q$39=0,(Z$20*Z$5)/100,MIN(Inputs!$Q$39,(Z$20*Z$5)/100))</f>
        <v>0</v>
      </c>
      <c r="AA21" s="26">
        <f>IF(Inputs!$Q$39=0,(AA$20*AA$5)/100,MIN(Inputs!$Q$39,(AA$20*AA$5)/100))</f>
        <v>0</v>
      </c>
      <c r="AB21" s="26">
        <f>IF(Inputs!$Q$39=0,(AB$20*AB$5)/100,MIN(Inputs!$Q$39,(AB$20*AB$5)/100))</f>
        <v>0</v>
      </c>
      <c r="AC21" s="26">
        <f>IF(Inputs!$Q$39=0,(AC$20*AC$5)/100,MIN(Inputs!$Q$39,(AC$20*AC$5)/100))</f>
        <v>0</v>
      </c>
      <c r="AD21" s="26">
        <f>IF(Inputs!$Q$39=0,(AD$20*AD$5)/100,MIN(Inputs!$Q$39,(AD$20*AD$5)/100))</f>
        <v>0</v>
      </c>
      <c r="AE21" s="26">
        <f>IF(Inputs!$Q$39=0,(AE$20*AE$5)/100,MIN(Inputs!$Q$39,(AE$20*AE$5)/100))</f>
        <v>0</v>
      </c>
      <c r="AF21" s="26">
        <f>IF(Inputs!$Q$39=0,(AF$20*AF$5)/100,MIN(Inputs!$Q$39,(AF$20*AF$5)/100))</f>
        <v>0</v>
      </c>
      <c r="AG21" s="26">
        <f>IF(Inputs!$Q$39=0,(AG$20*AG$5)/100,MIN(Inputs!$Q$39,(AG$20*AG$5)/100))</f>
        <v>0</v>
      </c>
      <c r="AH21" s="26">
        <f>IF(Inputs!$Q$39=0,(AH$20*AH$5)/100,MIN(Inputs!$Q$39,(AH$20*AH$5)/100))</f>
        <v>0</v>
      </c>
      <c r="AI21" s="26">
        <f>IF(Inputs!$Q$39=0,(AI$20*AI$5)/100,MIN(Inputs!$Q$39,(AI$20*AI$5)/100))</f>
        <v>0</v>
      </c>
      <c r="AJ21" s="26">
        <f>IF(Inputs!$Q$39=0,(AJ$20*AJ$5)/100,MIN(Inputs!$Q$39,(AJ$20*AJ$5)/100))</f>
        <v>0</v>
      </c>
    </row>
    <row r="22" spans="2:36" s="1" customFormat="1" x14ac:dyDescent="0.2">
      <c r="B22" s="27" t="s">
        <v>206</v>
      </c>
      <c r="C22" s="27"/>
      <c r="D22" s="27"/>
      <c r="E22" s="57" t="s">
        <v>0</v>
      </c>
      <c r="F22" s="27"/>
      <c r="G22" s="127">
        <f>G199</f>
        <v>4651.4758120225652</v>
      </c>
      <c r="H22" s="127">
        <f t="shared" ref="H22:AJ22" si="3">H199</f>
        <v>5800.3647009114538</v>
      </c>
      <c r="I22" s="127">
        <f t="shared" si="3"/>
        <v>6949.2535898003425</v>
      </c>
      <c r="J22" s="127">
        <f t="shared" si="3"/>
        <v>8098.1424786892321</v>
      </c>
      <c r="K22" s="127">
        <f t="shared" si="3"/>
        <v>9247.0313675781199</v>
      </c>
      <c r="L22" s="127">
        <f t="shared" si="3"/>
        <v>10395.92025646701</v>
      </c>
      <c r="M22" s="127">
        <f t="shared" si="3"/>
        <v>11544.809145355901</v>
      </c>
      <c r="N22" s="127">
        <f t="shared" si="3"/>
        <v>12693.69803424479</v>
      </c>
      <c r="O22" s="127">
        <f t="shared" si="3"/>
        <v>13842.58692313368</v>
      </c>
      <c r="P22" s="127">
        <f t="shared" si="3"/>
        <v>9247.0313675781254</v>
      </c>
      <c r="Q22" s="127">
        <f t="shared" si="3"/>
        <v>4675.9202564670131</v>
      </c>
      <c r="R22" s="127">
        <f t="shared" si="3"/>
        <v>5873.6980342447914</v>
      </c>
      <c r="S22" s="127">
        <f t="shared" si="3"/>
        <v>7071.4758120225688</v>
      </c>
      <c r="T22" s="127">
        <f t="shared" si="3"/>
        <v>8269.2535898003462</v>
      </c>
      <c r="U22" s="127">
        <f t="shared" si="3"/>
        <v>9467.0313675781235</v>
      </c>
      <c r="V22" s="127">
        <f t="shared" si="3"/>
        <v>10664.809145355901</v>
      </c>
      <c r="W22" s="127">
        <f t="shared" si="3"/>
        <v>11862.58692313368</v>
      </c>
      <c r="X22" s="127">
        <f t="shared" si="3"/>
        <v>13060.364700911456</v>
      </c>
      <c r="Y22" s="127">
        <f t="shared" si="3"/>
        <v>13027.911533167004</v>
      </c>
      <c r="Z22" s="127">
        <f t="shared" si="3"/>
        <v>7006.569476533663</v>
      </c>
      <c r="AA22" s="127">
        <f t="shared" si="3"/>
        <v>1616.5694765336625</v>
      </c>
      <c r="AB22" s="127">
        <f t="shared" si="3"/>
        <v>1616.5694765336625</v>
      </c>
      <c r="AC22" s="127">
        <f t="shared" si="3"/>
        <v>1616.5694765336625</v>
      </c>
      <c r="AD22" s="127">
        <f t="shared" si="3"/>
        <v>1616.5694765336625</v>
      </c>
      <c r="AE22" s="127">
        <f t="shared" si="3"/>
        <v>808.28473826683216</v>
      </c>
      <c r="AF22" s="127">
        <f t="shared" si="3"/>
        <v>8.7311491370201108E-13</v>
      </c>
      <c r="AG22" s="127">
        <f t="shared" si="3"/>
        <v>0</v>
      </c>
      <c r="AH22" s="127">
        <f t="shared" si="3"/>
        <v>0</v>
      </c>
      <c r="AI22" s="127">
        <f t="shared" si="3"/>
        <v>0</v>
      </c>
      <c r="AJ22" s="127">
        <f t="shared" si="3"/>
        <v>0</v>
      </c>
    </row>
    <row r="23" spans="2:36" s="1" customFormat="1" ht="15.75" x14ac:dyDescent="0.25">
      <c r="B23" s="24" t="s">
        <v>122</v>
      </c>
      <c r="C23" s="24"/>
      <c r="D23" s="24"/>
      <c r="E23" s="58" t="s">
        <v>0</v>
      </c>
      <c r="F23" s="24"/>
      <c r="G23" s="28">
        <f>G15+G17+G19+G21+G22</f>
        <v>980162.27644452266</v>
      </c>
      <c r="H23" s="28">
        <f t="shared" ref="H23:AJ23" si="4">H15+H17+H19+H21+H22</f>
        <v>995846.27626283583</v>
      </c>
      <c r="I23" s="28">
        <f t="shared" si="4"/>
        <v>1011746.8492339975</v>
      </c>
      <c r="J23" s="28">
        <f t="shared" si="4"/>
        <v>1027867.2222979849</v>
      </c>
      <c r="K23" s="28">
        <f t="shared" si="4"/>
        <v>1044210.6704761812</v>
      </c>
      <c r="L23" s="28">
        <f t="shared" si="4"/>
        <v>1060780.5175877884</v>
      </c>
      <c r="M23" s="28">
        <f t="shared" si="4"/>
        <v>1077580.136976914</v>
      </c>
      <c r="N23" s="28">
        <f t="shared" si="4"/>
        <v>1094612.9522504932</v>
      </c>
      <c r="O23" s="28">
        <f t="shared" si="4"/>
        <v>1111882.438027204</v>
      </c>
      <c r="P23" s="28">
        <f t="shared" si="4"/>
        <v>1123647.6762530992</v>
      </c>
      <c r="Q23" s="28">
        <f t="shared" si="4"/>
        <v>1135681.1347507825</v>
      </c>
      <c r="R23" s="28">
        <f t="shared" si="4"/>
        <v>1153730.8902245257</v>
      </c>
      <c r="S23" s="28">
        <f t="shared" si="4"/>
        <v>1172031.7401659386</v>
      </c>
      <c r="T23" s="28">
        <f t="shared" si="4"/>
        <v>1190587.4258825898</v>
      </c>
      <c r="U23" s="28">
        <f t="shared" si="4"/>
        <v>1209401.7444275303</v>
      </c>
      <c r="V23" s="28">
        <f t="shared" si="4"/>
        <v>1228478.5494299012</v>
      </c>
      <c r="W23" s="28">
        <f t="shared" si="4"/>
        <v>1247821.7519379186</v>
      </c>
      <c r="X23" s="28">
        <f t="shared" si="4"/>
        <v>1267435.3212744168</v>
      </c>
      <c r="Y23" s="28">
        <f t="shared" si="4"/>
        <v>1286093.0549596176</v>
      </c>
      <c r="Z23" s="28">
        <f t="shared" si="4"/>
        <v>1299040.3835400385</v>
      </c>
      <c r="AA23" s="28">
        <f t="shared" si="4"/>
        <v>285719.24908088887</v>
      </c>
      <c r="AB23" s="28">
        <f t="shared" si="4"/>
        <v>292779.20066905714</v>
      </c>
      <c r="AC23" s="28">
        <f t="shared" si="4"/>
        <v>300014.59205419128</v>
      </c>
      <c r="AD23" s="28">
        <f t="shared" si="4"/>
        <v>307429.78291524609</v>
      </c>
      <c r="AE23" s="28">
        <f t="shared" si="4"/>
        <v>314220.95653093129</v>
      </c>
      <c r="AF23" s="28">
        <f t="shared" si="4"/>
        <v>8.7311491370201108E-13</v>
      </c>
      <c r="AG23" s="28">
        <f t="shared" si="4"/>
        <v>0</v>
      </c>
      <c r="AH23" s="28">
        <f t="shared" si="4"/>
        <v>0</v>
      </c>
      <c r="AI23" s="28">
        <f t="shared" si="4"/>
        <v>0</v>
      </c>
      <c r="AJ23" s="28">
        <f t="shared" si="4"/>
        <v>0</v>
      </c>
    </row>
    <row r="24" spans="2:36" s="1" customFormat="1" x14ac:dyDescent="0.2">
      <c r="E24" s="54"/>
    </row>
    <row r="25" spans="2:36" s="1" customFormat="1" ht="15.75" x14ac:dyDescent="0.25">
      <c r="B25" s="24" t="s">
        <v>72</v>
      </c>
      <c r="C25" s="24"/>
      <c r="D25" s="24"/>
      <c r="E25" s="54"/>
    </row>
    <row r="26" spans="2:36" s="1" customFormat="1" x14ac:dyDescent="0.2">
      <c r="B26" s="1" t="s">
        <v>116</v>
      </c>
      <c r="E26" s="54"/>
      <c r="F26" s="17"/>
      <c r="G26" s="276">
        <v>1</v>
      </c>
      <c r="H26" s="59">
        <f>G26*(1+IF(G$2&lt;=Inputs!$G$34,Inputs!$G$33,Inputs!$G$35))</f>
        <v>1.016</v>
      </c>
      <c r="I26" s="59">
        <f>H26*(1+IF(H$2&lt;=Inputs!$G$34,Inputs!$G$33,Inputs!$G$35))</f>
        <v>1.0322560000000001</v>
      </c>
      <c r="J26" s="59">
        <f>I26*(1+IF(I$2&lt;=Inputs!$G$34,Inputs!$G$33,Inputs!$G$35))</f>
        <v>1.048772096</v>
      </c>
      <c r="K26" s="59">
        <f>J26*(1+IF(J$2&lt;=Inputs!$G$34,Inputs!$G$33,Inputs!$G$35))</f>
        <v>1.065552449536</v>
      </c>
      <c r="L26" s="59">
        <f>K26*(1+IF(K$2&lt;=Inputs!$G$34,Inputs!$G$33,Inputs!$G$35))</f>
        <v>1.0826012887285761</v>
      </c>
      <c r="M26" s="59">
        <f>L26*(1+IF(L$2&lt;=Inputs!$G$34,Inputs!$G$33,Inputs!$G$35))</f>
        <v>1.0999229093482332</v>
      </c>
      <c r="N26" s="59">
        <f>M26*(1+IF(M$2&lt;=Inputs!$G$34,Inputs!$G$33,Inputs!$G$35))</f>
        <v>1.117521675897805</v>
      </c>
      <c r="O26" s="59">
        <f>N26*(1+IF(N$2&lt;=Inputs!$G$34,Inputs!$G$33,Inputs!$G$35))</f>
        <v>1.1354020227121699</v>
      </c>
      <c r="P26" s="59">
        <f>O26*(1+IF(O$2&lt;=Inputs!$G$34,Inputs!$G$33,Inputs!$G$35))</f>
        <v>1.1535684550755647</v>
      </c>
      <c r="Q26" s="59">
        <f>P26*(1+IF(P$2&lt;=Inputs!$G$34,Inputs!$G$33,Inputs!$G$35))</f>
        <v>1.1720255503567738</v>
      </c>
      <c r="R26" s="59">
        <f>Q26*(1+IF(Q$2&lt;=Inputs!$G$34,Inputs!$G$33,Inputs!$G$35))</f>
        <v>1.1907779591624823</v>
      </c>
      <c r="S26" s="59">
        <f>R26*(1+IF(R$2&lt;=Inputs!$G$34,Inputs!$G$33,Inputs!$G$35))</f>
        <v>1.2098304065090821</v>
      </c>
      <c r="T26" s="59">
        <f>S26*(1+IF(S$2&lt;=Inputs!$G$34,Inputs!$G$33,Inputs!$G$35))</f>
        <v>1.2291876930132275</v>
      </c>
      <c r="U26" s="59">
        <f>T26*(1+IF(T$2&lt;=Inputs!$G$34,Inputs!$G$33,Inputs!$G$35))</f>
        <v>1.2488546961014391</v>
      </c>
      <c r="V26" s="59">
        <f>U26*(1+IF(U$2&lt;=Inputs!$G$34,Inputs!$G$33,Inputs!$G$35))</f>
        <v>1.268836371239062</v>
      </c>
      <c r="W26" s="59">
        <f>V26*(1+IF(V$2&lt;=Inputs!$G$34,Inputs!$G$33,Inputs!$G$35))</f>
        <v>1.289137753178887</v>
      </c>
      <c r="X26" s="59">
        <f>W26*(1+IF(W$2&lt;=Inputs!$G$34,Inputs!$G$33,Inputs!$G$35))</f>
        <v>1.3097639572297493</v>
      </c>
      <c r="Y26" s="59">
        <f>X26*(1+IF(X$2&lt;=Inputs!$G$34,Inputs!$G$33,Inputs!$G$35))</f>
        <v>1.3307201805454252</v>
      </c>
      <c r="Z26" s="59">
        <f>Y26*(1+IF(Y$2&lt;=Inputs!$G$34,Inputs!$G$33,Inputs!$G$35))</f>
        <v>1.3520117034341521</v>
      </c>
      <c r="AA26" s="59">
        <f>Z26*(1+IF(Z$2&lt;=Inputs!$G$34,Inputs!$G$33,Inputs!$G$35))</f>
        <v>1.3736438906890986</v>
      </c>
      <c r="AB26" s="59">
        <f>AA26*(1+IF(AA$2&lt;=Inputs!$G$34,Inputs!$G$33,Inputs!$G$35))</f>
        <v>1.3956221929401242</v>
      </c>
      <c r="AC26" s="59">
        <f>AB26*(1+IF(AB$2&lt;=Inputs!$G$34,Inputs!$G$33,Inputs!$G$35))</f>
        <v>1.4179521480271662</v>
      </c>
      <c r="AD26" s="59">
        <f>AC26*(1+IF(AC$2&lt;=Inputs!$G$34,Inputs!$G$33,Inputs!$G$35))</f>
        <v>1.440639382395601</v>
      </c>
      <c r="AE26" s="59">
        <f>AD26*(1+IF(AD$2&lt;=Inputs!$G$34,Inputs!$G$33,Inputs!$G$35))</f>
        <v>1.4636896125139307</v>
      </c>
      <c r="AF26" s="59">
        <f>AE26*(1+IF(AE$2&lt;=Inputs!$G$34,Inputs!$G$33,Inputs!$G$35))</f>
        <v>1.4871086463141536</v>
      </c>
      <c r="AG26" s="59">
        <f>AF26*(1+IF(AF$2&lt;=Inputs!$G$34,Inputs!$G$33,Inputs!$G$35))</f>
        <v>1.5109023846551801</v>
      </c>
      <c r="AH26" s="59">
        <f>AG26*(1+IF(AG$2&lt;=Inputs!$G$34,Inputs!$G$33,Inputs!$G$35))</f>
        <v>1.535076822809663</v>
      </c>
      <c r="AI26" s="59">
        <f>AH26*(1+IF(AH$2&lt;=Inputs!$G$34,Inputs!$G$33,Inputs!$G$35))</f>
        <v>1.5596380519746176</v>
      </c>
      <c r="AJ26" s="59">
        <f>AI26*(1+IF(AI$2&lt;=Inputs!$G$34,Inputs!$G$33,Inputs!$G$35))</f>
        <v>1.5845922608062115</v>
      </c>
    </row>
    <row r="27" spans="2:36" s="1" customFormat="1" ht="15.75" x14ac:dyDescent="0.25">
      <c r="E27" s="54"/>
      <c r="F27" s="17"/>
      <c r="G27" s="63"/>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row>
    <row r="28" spans="2:36" s="1" customFormat="1" x14ac:dyDescent="0.2">
      <c r="B28" s="1" t="s">
        <v>117</v>
      </c>
      <c r="E28" s="54" t="s">
        <v>0</v>
      </c>
      <c r="F28" s="17"/>
      <c r="G28" s="29">
        <f>-IF(G$2&gt;Inputs!$G$15,0,Inputs!$G$31*Inputs!$G$8*G$26)</f>
        <v>-11000</v>
      </c>
      <c r="H28" s="29">
        <f>-IF(H$2&gt;Inputs!$G$15,0,Inputs!$G$31*Inputs!$G$8*H$26)</f>
        <v>-11176</v>
      </c>
      <c r="I28" s="29">
        <f>-IF(I$2&gt;Inputs!$G$15,0,Inputs!$G$31*Inputs!$G$8*I$26)</f>
        <v>-11354.816000000001</v>
      </c>
      <c r="J28" s="29">
        <f>-IF(J$2&gt;Inputs!$G$15,0,Inputs!$G$31*Inputs!$G$8*J$26)</f>
        <v>-11536.493055999999</v>
      </c>
      <c r="K28" s="29">
        <f>-IF(K$2&gt;Inputs!$G$15,0,Inputs!$G$31*Inputs!$G$8*K$26)</f>
        <v>-11721.076944896</v>
      </c>
      <c r="L28" s="29">
        <f>-IF(L$2&gt;Inputs!$G$15,0,Inputs!$G$31*Inputs!$G$8*L$26)</f>
        <v>-11908.614176014336</v>
      </c>
      <c r="M28" s="29">
        <f>-IF(M$2&gt;Inputs!$G$15,0,Inputs!$G$31*Inputs!$G$8*M$26)</f>
        <v>-12099.152002830566</v>
      </c>
      <c r="N28" s="29">
        <f>-IF(N$2&gt;Inputs!$G$15,0,Inputs!$G$31*Inputs!$G$8*N$26)</f>
        <v>-12292.738434875855</v>
      </c>
      <c r="O28" s="29">
        <f>-IF(O$2&gt;Inputs!$G$15,0,Inputs!$G$31*Inputs!$G$8*O$26)</f>
        <v>-12489.42224983387</v>
      </c>
      <c r="P28" s="29">
        <f>-IF(P$2&gt;Inputs!$G$15,0,Inputs!$G$31*Inputs!$G$8*P$26)</f>
        <v>-12689.253005831211</v>
      </c>
      <c r="Q28" s="29">
        <f>-IF(Q$2&gt;Inputs!$G$15,0,Inputs!$G$31*Inputs!$G$8*Q$26)</f>
        <v>-12892.281053924511</v>
      </c>
      <c r="R28" s="29">
        <f>-IF(R$2&gt;Inputs!$G$15,0,Inputs!$G$31*Inputs!$G$8*R$26)</f>
        <v>-13098.557550787305</v>
      </c>
      <c r="S28" s="29">
        <f>-IF(S$2&gt;Inputs!$G$15,0,Inputs!$G$31*Inputs!$G$8*S$26)</f>
        <v>-13308.134471599904</v>
      </c>
      <c r="T28" s="29">
        <f>-IF(T$2&gt;Inputs!$G$15,0,Inputs!$G$31*Inputs!$G$8*T$26)</f>
        <v>-13521.064623145503</v>
      </c>
      <c r="U28" s="29">
        <f>-IF(U$2&gt;Inputs!$G$15,0,Inputs!$G$31*Inputs!$G$8*U$26)</f>
        <v>-13737.40165711583</v>
      </c>
      <c r="V28" s="29">
        <f>-IF(V$2&gt;Inputs!$G$15,0,Inputs!$G$31*Inputs!$G$8*V$26)</f>
        <v>-13957.200083629683</v>
      </c>
      <c r="W28" s="29">
        <f>-IF(W$2&gt;Inputs!$G$15,0,Inputs!$G$31*Inputs!$G$8*W$26)</f>
        <v>-14180.515284967758</v>
      </c>
      <c r="X28" s="29">
        <f>-IF(X$2&gt;Inputs!$G$15,0,Inputs!$G$31*Inputs!$G$8*X$26)</f>
        <v>-14407.403529527242</v>
      </c>
      <c r="Y28" s="29">
        <f>-IF(Y$2&gt;Inputs!$G$15,0,Inputs!$G$31*Inputs!$G$8*Y$26)</f>
        <v>-14637.921985999677</v>
      </c>
      <c r="Z28" s="29">
        <f>-IF(Z$2&gt;Inputs!$G$15,0,Inputs!$G$31*Inputs!$G$8*Z$26)</f>
        <v>-14872.128737775673</v>
      </c>
      <c r="AA28" s="29">
        <f>-IF(AA$2&gt;Inputs!$G$15,0,Inputs!$G$31*Inputs!$G$8*AA$26)</f>
        <v>-15110.082797580086</v>
      </c>
      <c r="AB28" s="29">
        <f>-IF(AB$2&gt;Inputs!$G$15,0,Inputs!$G$31*Inputs!$G$8*AB$26)</f>
        <v>-15351.844122341367</v>
      </c>
      <c r="AC28" s="29">
        <f>-IF(AC$2&gt;Inputs!$G$15,0,Inputs!$G$31*Inputs!$G$8*AC$26)</f>
        <v>-15597.473628298829</v>
      </c>
      <c r="AD28" s="29">
        <f>-IF(AD$2&gt;Inputs!$G$15,0,Inputs!$G$31*Inputs!$G$8*AD$26)</f>
        <v>-15847.033206351611</v>
      </c>
      <c r="AE28" s="29">
        <f>-IF(AE$2&gt;Inputs!$G$15,0,Inputs!$G$31*Inputs!$G$8*AE$26)</f>
        <v>-16100.585737653239</v>
      </c>
      <c r="AF28" s="29">
        <f>-IF(AF$2&gt;Inputs!$G$15,0,Inputs!$G$31*Inputs!$G$8*AF$26)</f>
        <v>0</v>
      </c>
      <c r="AG28" s="29">
        <f>-IF(AG$2&gt;Inputs!$G$15,0,Inputs!$G$31*Inputs!$G$8*AG$26)</f>
        <v>0</v>
      </c>
      <c r="AH28" s="29">
        <f>-IF(AH$2&gt;Inputs!$G$15,0,Inputs!$G$31*Inputs!$G$8*AH$26)</f>
        <v>0</v>
      </c>
      <c r="AI28" s="29">
        <f>-IF(AI$2&gt;Inputs!$G$15,0,Inputs!$G$31*Inputs!$G$8*AI$26)</f>
        <v>0</v>
      </c>
      <c r="AJ28" s="29">
        <f>-IF(AJ$2&gt;Inputs!$G$15,0,Inputs!$G$31*Inputs!$G$8*AJ$26)</f>
        <v>0</v>
      </c>
    </row>
    <row r="29" spans="2:36" s="1" customFormat="1" x14ac:dyDescent="0.2">
      <c r="B29" s="1" t="s">
        <v>118</v>
      </c>
      <c r="E29" s="54" t="s">
        <v>0</v>
      </c>
      <c r="G29" s="29">
        <f>-IF(G$2&gt;Inputs!$G$15,0,Inputs!$G$32/100*G$5*G$26)</f>
        <v>-347.77568650000006</v>
      </c>
      <c r="H29" s="29">
        <f>-IF(H$2&gt;Inputs!$G$15,0,Inputs!$G$32/100*H$5*H$26)</f>
        <v>-351.57339699658002</v>
      </c>
      <c r="I29" s="29">
        <f>-IF(I$2&gt;Inputs!$G$15,0,Inputs!$G$32/100*I$5*I$26)</f>
        <v>-355.41257849178277</v>
      </c>
      <c r="J29" s="29">
        <f>-IF(J$2&gt;Inputs!$G$15,0,Inputs!$G$32/100*J$5*J$26)</f>
        <v>-359.29368384891302</v>
      </c>
      <c r="K29" s="29">
        <f>-IF(K$2&gt;Inputs!$G$15,0,Inputs!$G$32/100*K$5*K$26)</f>
        <v>-363.21717087654315</v>
      </c>
      <c r="L29" s="29">
        <f>-IF(L$2&gt;Inputs!$G$15,0,Inputs!$G$32/100*L$5*L$26)</f>
        <v>-367.18350238251503</v>
      </c>
      <c r="M29" s="29">
        <f>-IF(M$2&gt;Inputs!$G$15,0,Inputs!$G$32/100*M$5*M$26)</f>
        <v>-371.19314622853204</v>
      </c>
      <c r="N29" s="29">
        <f>-IF(N$2&gt;Inputs!$G$15,0,Inputs!$G$32/100*N$5*N$26)</f>
        <v>-375.24657538534763</v>
      </c>
      <c r="O29" s="29">
        <f>-IF(O$2&gt;Inputs!$G$15,0,Inputs!$G$32/100*O$5*O$26)</f>
        <v>-379.3442679885556</v>
      </c>
      <c r="P29" s="29">
        <f>-IF(P$2&gt;Inputs!$G$15,0,Inputs!$G$32/100*P$5*P$26)</f>
        <v>-383.48670739499062</v>
      </c>
      <c r="Q29" s="29">
        <f>-IF(Q$2&gt;Inputs!$G$15,0,Inputs!$G$32/100*Q$5*Q$26)</f>
        <v>-387.67438223974398</v>
      </c>
      <c r="R29" s="29">
        <f>-IF(R$2&gt;Inputs!$G$15,0,Inputs!$G$32/100*R$5*R$26)</f>
        <v>-391.90778649380201</v>
      </c>
      <c r="S29" s="29">
        <f>-IF(S$2&gt;Inputs!$G$15,0,Inputs!$G$32/100*S$5*S$26)</f>
        <v>-396.18741952231431</v>
      </c>
      <c r="T29" s="29">
        <f>-IF(T$2&gt;Inputs!$G$15,0,Inputs!$G$32/100*T$5*T$26)</f>
        <v>-400.51378614349801</v>
      </c>
      <c r="U29" s="29">
        <f>-IF(U$2&gt;Inputs!$G$15,0,Inputs!$G$32/100*U$5*U$26)</f>
        <v>-404.88739668818505</v>
      </c>
      <c r="V29" s="29">
        <f>-IF(V$2&gt;Inputs!$G$15,0,Inputs!$G$32/100*V$5*V$26)</f>
        <v>-409.30876706001999</v>
      </c>
      <c r="W29" s="29">
        <f>-IF(W$2&gt;Inputs!$G$15,0,Inputs!$G$32/100*W$5*W$26)</f>
        <v>-413.77841879631535</v>
      </c>
      <c r="X29" s="29">
        <f>-IF(X$2&gt;Inputs!$G$15,0,Inputs!$G$32/100*X$5*X$26)</f>
        <v>-418.2968791295711</v>
      </c>
      <c r="Y29" s="29">
        <f>-IF(Y$2&gt;Inputs!$G$15,0,Inputs!$G$32/100*Y$5*Y$26)</f>
        <v>-422.86468104966605</v>
      </c>
      <c r="Z29" s="29">
        <f>-IF(Z$2&gt;Inputs!$G$15,0,Inputs!$G$32/100*Z$5*Z$26)</f>
        <v>-427.48236336672841</v>
      </c>
      <c r="AA29" s="29">
        <f>-IF(AA$2&gt;Inputs!$G$15,0,Inputs!$G$32/100*AA$5*AA$26)</f>
        <v>-432.15047077469308</v>
      </c>
      <c r="AB29" s="29">
        <f>-IF(AB$2&gt;Inputs!$G$15,0,Inputs!$G$32/100*AB$5*AB$26)</f>
        <v>-436.86955391555284</v>
      </c>
      <c r="AC29" s="29">
        <f>-IF(AC$2&gt;Inputs!$G$15,0,Inputs!$G$32/100*AC$5*AC$26)</f>
        <v>-441.64016944431063</v>
      </c>
      <c r="AD29" s="29">
        <f>-IF(AD$2&gt;Inputs!$G$15,0,Inputs!$G$32/100*AD$5*AD$26)</f>
        <v>-446.46288009464251</v>
      </c>
      <c r="AE29" s="29">
        <f>-IF(AE$2&gt;Inputs!$G$15,0,Inputs!$G$32/100*AE$5*AE$26)</f>
        <v>-451.33825474527606</v>
      </c>
      <c r="AF29" s="29">
        <f>-IF(AF$2&gt;Inputs!$G$15,0,Inputs!$G$32/100*AF$5*AF$26)</f>
        <v>0</v>
      </c>
      <c r="AG29" s="29">
        <f>-IF(AG$2&gt;Inputs!$G$15,0,Inputs!$G$32/100*AG$5*AG$26)</f>
        <v>0</v>
      </c>
      <c r="AH29" s="29">
        <f>-IF(AH$2&gt;Inputs!$G$15,0,Inputs!$G$32/100*AH$5*AH$26)</f>
        <v>0</v>
      </c>
      <c r="AI29" s="29">
        <f>-IF(AI$2&gt;Inputs!$G$15,0,Inputs!$G$32/100*AI$5*AI$26)</f>
        <v>0</v>
      </c>
      <c r="AJ29" s="29">
        <f>-IF(AJ$2&gt;Inputs!$G$15,0,Inputs!$G$32/100*AJ$5*AJ$26)</f>
        <v>0</v>
      </c>
    </row>
    <row r="30" spans="2:36" s="1" customFormat="1" x14ac:dyDescent="0.2">
      <c r="B30" s="1" t="s">
        <v>74</v>
      </c>
      <c r="E30" s="54" t="s">
        <v>0</v>
      </c>
      <c r="G30" s="29">
        <f>-IF(Inputs!$G$30="simple",0,IF(G$2&gt;Inputs!$G$15,0,Inputs!$G$37*G$26))</f>
        <v>-27500</v>
      </c>
      <c r="H30" s="29">
        <f>-IF(Inputs!$G$30="simple",0,IF(H$2&gt;Inputs!$G$15,0,Inputs!$G$37*H$26))</f>
        <v>-27940</v>
      </c>
      <c r="I30" s="29">
        <f>-IF(Inputs!$G$30="simple",0,IF(I$2&gt;Inputs!$G$15,0,Inputs!$G$37*I$26))</f>
        <v>-28387.040000000001</v>
      </c>
      <c r="J30" s="29">
        <f>-IF(Inputs!$G$30="simple",0,IF(J$2&gt;Inputs!$G$15,0,Inputs!$G$37*J$26))</f>
        <v>-28841.232639999998</v>
      </c>
      <c r="K30" s="29">
        <f>-IF(Inputs!$G$30="simple",0,IF(K$2&gt;Inputs!$G$15,0,Inputs!$G$37*K$26))</f>
        <v>-29302.692362240003</v>
      </c>
      <c r="L30" s="29">
        <f>-IF(Inputs!$G$30="simple",0,IF(L$2&gt;Inputs!$G$15,0,Inputs!$G$37*L$26))</f>
        <v>-29771.535440035841</v>
      </c>
      <c r="M30" s="29">
        <f>-IF(Inputs!$G$30="simple",0,IF(M$2&gt;Inputs!$G$15,0,Inputs!$G$37*M$26))</f>
        <v>-30247.880007076412</v>
      </c>
      <c r="N30" s="29">
        <f>-IF(Inputs!$G$30="simple",0,IF(N$2&gt;Inputs!$G$15,0,Inputs!$G$37*N$26))</f>
        <v>-30731.846087189639</v>
      </c>
      <c r="O30" s="29">
        <f>-IF(Inputs!$G$30="simple",0,IF(O$2&gt;Inputs!$G$15,0,Inputs!$G$37*O$26))</f>
        <v>-31223.555624584675</v>
      </c>
      <c r="P30" s="29">
        <f>-IF(Inputs!$G$30="simple",0,IF(P$2&gt;Inputs!$G$15,0,Inputs!$G$37*P$26))</f>
        <v>-31723.132514578028</v>
      </c>
      <c r="Q30" s="29">
        <f>-IF(Inputs!$G$30="simple",0,IF(Q$2&gt;Inputs!$G$15,0,Inputs!$G$37*Q$26))</f>
        <v>-32230.702634811281</v>
      </c>
      <c r="R30" s="29">
        <f>-IF(Inputs!$G$30="simple",0,IF(R$2&gt;Inputs!$G$15,0,Inputs!$G$37*R$26))</f>
        <v>-32746.393876968265</v>
      </c>
      <c r="S30" s="29">
        <f>-IF(Inputs!$G$30="simple",0,IF(S$2&gt;Inputs!$G$15,0,Inputs!$G$37*S$26))</f>
        <v>-33270.336178999758</v>
      </c>
      <c r="T30" s="29">
        <f>-IF(Inputs!$G$30="simple",0,IF(T$2&gt;Inputs!$G$15,0,Inputs!$G$37*T$26))</f>
        <v>-33802.661557863757</v>
      </c>
      <c r="U30" s="29">
        <f>-IF(Inputs!$G$30="simple",0,IF(U$2&gt;Inputs!$G$15,0,Inputs!$G$37*U$26))</f>
        <v>-34343.504142789578</v>
      </c>
      <c r="V30" s="29">
        <f>-IF(Inputs!$G$30="simple",0,IF(V$2&gt;Inputs!$G$15,0,Inputs!$G$37*V$26))</f>
        <v>-34893.000209074205</v>
      </c>
      <c r="W30" s="29">
        <f>-IF(Inputs!$G$30="simple",0,IF(W$2&gt;Inputs!$G$15,0,Inputs!$G$37*W$26))</f>
        <v>-35451.288212419393</v>
      </c>
      <c r="X30" s="29">
        <f>-IF(Inputs!$G$30="simple",0,IF(X$2&gt;Inputs!$G$15,0,Inputs!$G$37*X$26))</f>
        <v>-36018.508823818105</v>
      </c>
      <c r="Y30" s="29">
        <f>-IF(Inputs!$G$30="simple",0,IF(Y$2&gt;Inputs!$G$15,0,Inputs!$G$37*Y$26))</f>
        <v>-36594.804964999195</v>
      </c>
      <c r="Z30" s="29">
        <f>-IF(Inputs!$G$30="simple",0,IF(Z$2&gt;Inputs!$G$15,0,Inputs!$G$37*Z$26))</f>
        <v>-37180.321844439182</v>
      </c>
      <c r="AA30" s="29">
        <f>-IF(Inputs!$G$30="simple",0,IF(AA$2&gt;Inputs!$G$15,0,Inputs!$G$37*AA$26))</f>
        <v>-37775.206993950211</v>
      </c>
      <c r="AB30" s="29">
        <f>-IF(Inputs!$G$30="simple",0,IF(AB$2&gt;Inputs!$G$15,0,Inputs!$G$37*AB$26))</f>
        <v>-38379.610305853414</v>
      </c>
      <c r="AC30" s="29">
        <f>-IF(Inputs!$G$30="simple",0,IF(AC$2&gt;Inputs!$G$15,0,Inputs!$G$37*AC$26))</f>
        <v>-38993.684070747069</v>
      </c>
      <c r="AD30" s="29">
        <f>-IF(Inputs!$G$30="simple",0,IF(AD$2&gt;Inputs!$G$15,0,Inputs!$G$37*AD$26))</f>
        <v>-39617.583015879027</v>
      </c>
      <c r="AE30" s="29">
        <f>-IF(Inputs!$G$30="simple",0,IF(AE$2&gt;Inputs!$G$15,0,Inputs!$G$37*AE$26))</f>
        <v>-40251.464344133092</v>
      </c>
      <c r="AF30" s="29">
        <f>-IF(Inputs!$G$30="simple",0,IF(AF$2&gt;Inputs!$G$15,0,Inputs!$G$37*AF$26))</f>
        <v>0</v>
      </c>
      <c r="AG30" s="29">
        <f>-IF(Inputs!$G$30="simple",0,IF(AG$2&gt;Inputs!$G$15,0,Inputs!$G$37*AG$26))</f>
        <v>0</v>
      </c>
      <c r="AH30" s="29">
        <f>-IF(Inputs!$G$30="simple",0,IF(AH$2&gt;Inputs!$G$15,0,Inputs!$G$37*AH$26))</f>
        <v>0</v>
      </c>
      <c r="AI30" s="29">
        <f>-IF(Inputs!$G$30="simple",0,IF(AI$2&gt;Inputs!$G$15,0,Inputs!$G$37*AI$26))</f>
        <v>0</v>
      </c>
      <c r="AJ30" s="29">
        <f>-IF(Inputs!$G$30="simple",0,IF(AJ$2&gt;Inputs!$G$15,0,Inputs!$G$37*AJ$26))</f>
        <v>0</v>
      </c>
    </row>
    <row r="31" spans="2:36" s="1" customFormat="1" x14ac:dyDescent="0.2">
      <c r="B31" s="1" t="s">
        <v>73</v>
      </c>
      <c r="E31" s="54" t="s">
        <v>0</v>
      </c>
      <c r="G31" s="29">
        <f>-IF(Inputs!$G$30="simple",0,IF(G$2&gt;Inputs!$G$15,0,Inputs!$G$38*G$26))</f>
        <v>-50000</v>
      </c>
      <c r="H31" s="29">
        <f>-IF(Inputs!$G$30="simple",0,IF(H$2&gt;Inputs!$G$15,0,Inputs!$G$38*H$26))</f>
        <v>-50800</v>
      </c>
      <c r="I31" s="29">
        <f>-IF(Inputs!$G$30="simple",0,IF(I$2&gt;Inputs!$G$15,0,Inputs!$G$38*I$26))</f>
        <v>-51612.800000000003</v>
      </c>
      <c r="J31" s="29">
        <f>-IF(Inputs!$G$30="simple",0,IF(J$2&gt;Inputs!$G$15,0,Inputs!$G$38*J$26))</f>
        <v>-52438.604800000001</v>
      </c>
      <c r="K31" s="29">
        <f>-IF(Inputs!$G$30="simple",0,IF(K$2&gt;Inputs!$G$15,0,Inputs!$G$38*K$26))</f>
        <v>-53277.622476800003</v>
      </c>
      <c r="L31" s="29">
        <f>-IF(Inputs!$G$30="simple",0,IF(L$2&gt;Inputs!$G$15,0,Inputs!$G$38*L$26))</f>
        <v>-54130.064436428802</v>
      </c>
      <c r="M31" s="29">
        <f>-IF(Inputs!$G$30="simple",0,IF(M$2&gt;Inputs!$G$15,0,Inputs!$G$38*M$26))</f>
        <v>-54996.145467411661</v>
      </c>
      <c r="N31" s="29">
        <f>-IF(Inputs!$G$30="simple",0,IF(N$2&gt;Inputs!$G$15,0,Inputs!$G$38*N$26))</f>
        <v>-55876.083794890255</v>
      </c>
      <c r="O31" s="29">
        <f>-IF(Inputs!$G$30="simple",0,IF(O$2&gt;Inputs!$G$15,0,Inputs!$G$38*O$26))</f>
        <v>-56770.1011356085</v>
      </c>
      <c r="P31" s="29">
        <f>-IF(Inputs!$G$30="simple",0,IF(P$2&gt;Inputs!$G$15,0,Inputs!$G$38*P$26))</f>
        <v>-57678.422753778235</v>
      </c>
      <c r="Q31" s="29">
        <f>-IF(Inputs!$G$30="simple",0,IF(Q$2&gt;Inputs!$G$15,0,Inputs!$G$38*Q$26))</f>
        <v>-58601.277517838687</v>
      </c>
      <c r="R31" s="29">
        <f>-IF(Inputs!$G$30="simple",0,IF(R$2&gt;Inputs!$G$15,0,Inputs!$G$38*R$26))</f>
        <v>-59538.897958124115</v>
      </c>
      <c r="S31" s="29">
        <f>-IF(Inputs!$G$30="simple",0,IF(S$2&gt;Inputs!$G$15,0,Inputs!$G$38*S$26))</f>
        <v>-60491.520325454105</v>
      </c>
      <c r="T31" s="29">
        <f>-IF(Inputs!$G$30="simple",0,IF(T$2&gt;Inputs!$G$15,0,Inputs!$G$38*T$26))</f>
        <v>-61459.384650661377</v>
      </c>
      <c r="U31" s="29">
        <f>-IF(Inputs!$G$30="simple",0,IF(U$2&gt;Inputs!$G$15,0,Inputs!$G$38*U$26))</f>
        <v>-62442.734805071952</v>
      </c>
      <c r="V31" s="29">
        <f>-IF(Inputs!$G$30="simple",0,IF(V$2&gt;Inputs!$G$15,0,Inputs!$G$38*V$26))</f>
        <v>-63441.8185619531</v>
      </c>
      <c r="W31" s="29">
        <f>-IF(Inputs!$G$30="simple",0,IF(W$2&gt;Inputs!$G$15,0,Inputs!$G$38*W$26))</f>
        <v>-64456.887658944353</v>
      </c>
      <c r="X31" s="29">
        <f>-IF(Inputs!$G$30="simple",0,IF(X$2&gt;Inputs!$G$15,0,Inputs!$G$38*X$26))</f>
        <v>-65488.197861487461</v>
      </c>
      <c r="Y31" s="29">
        <f>-IF(Inputs!$G$30="simple",0,IF(Y$2&gt;Inputs!$G$15,0,Inputs!$G$38*Y$26))</f>
        <v>-66536.009027271255</v>
      </c>
      <c r="Z31" s="29">
        <f>-IF(Inputs!$G$30="simple",0,IF(Z$2&gt;Inputs!$G$15,0,Inputs!$G$38*Z$26))</f>
        <v>-67600.5851717076</v>
      </c>
      <c r="AA31" s="29">
        <f>-IF(Inputs!$G$30="simple",0,IF(AA$2&gt;Inputs!$G$15,0,Inputs!$G$38*AA$26))</f>
        <v>-68682.194534454931</v>
      </c>
      <c r="AB31" s="29">
        <f>-IF(Inputs!$G$30="simple",0,IF(AB$2&gt;Inputs!$G$15,0,Inputs!$G$38*AB$26))</f>
        <v>-69781.109647006218</v>
      </c>
      <c r="AC31" s="29">
        <f>-IF(Inputs!$G$30="simple",0,IF(AC$2&gt;Inputs!$G$15,0,Inputs!$G$38*AC$26))</f>
        <v>-70897.607401358313</v>
      </c>
      <c r="AD31" s="29">
        <f>-IF(Inputs!$G$30="simple",0,IF(AD$2&gt;Inputs!$G$15,0,Inputs!$G$38*AD$26))</f>
        <v>-72031.969119780042</v>
      </c>
      <c r="AE31" s="29">
        <f>-IF(Inputs!$G$30="simple",0,IF(AE$2&gt;Inputs!$G$15,0,Inputs!$G$38*AE$26))</f>
        <v>-73184.480625696538</v>
      </c>
      <c r="AF31" s="29">
        <f>-IF(Inputs!$G$30="simple",0,IF(AF$2&gt;Inputs!$G$15,0,Inputs!$G$38*AF$26))</f>
        <v>0</v>
      </c>
      <c r="AG31" s="29">
        <f>-IF(Inputs!$G$30="simple",0,IF(AG$2&gt;Inputs!$G$15,0,Inputs!$G$38*AG$26))</f>
        <v>0</v>
      </c>
      <c r="AH31" s="29">
        <f>-IF(Inputs!$G$30="simple",0,IF(AH$2&gt;Inputs!$G$15,0,Inputs!$G$38*AH$26))</f>
        <v>0</v>
      </c>
      <c r="AI31" s="29">
        <f>-IF(Inputs!$G$30="simple",0,IF(AI$2&gt;Inputs!$G$15,0,Inputs!$G$38*AI$26))</f>
        <v>0</v>
      </c>
      <c r="AJ31" s="29">
        <f>-IF(Inputs!$G$30="simple",0,IF(AJ$2&gt;Inputs!$G$15,0,Inputs!$G$38*AJ$26))</f>
        <v>0</v>
      </c>
    </row>
    <row r="32" spans="2:36" s="1" customFormat="1" x14ac:dyDescent="0.2">
      <c r="B32" s="1" t="s">
        <v>119</v>
      </c>
      <c r="E32" s="54" t="s">
        <v>0</v>
      </c>
      <c r="G32" s="29">
        <f>IF(Inputs!$G$30="simple",0,IF(G$2&gt;Inputs!$G$15,0,-Inputs!$G$39))</f>
        <v>-50000</v>
      </c>
      <c r="H32" s="29">
        <f>IF(Inputs!$G$30="simple",0,IF(H$2&gt;Inputs!$G$15,0,G32*(1+Inputs!$G$40)))</f>
        <v>-45000</v>
      </c>
      <c r="I32" s="29">
        <f>IF(Inputs!$G$30="simple",0,IF(I$2&gt;Inputs!$G$15,0,H32*(1+Inputs!$G$40)))</f>
        <v>-40500</v>
      </c>
      <c r="J32" s="29">
        <f>IF(Inputs!$G$30="simple",0,IF(J$2&gt;Inputs!$G$15,0,I32*(1+Inputs!$G$40)))</f>
        <v>-36450</v>
      </c>
      <c r="K32" s="29">
        <f>IF(Inputs!$G$30="simple",0,IF(K$2&gt;Inputs!$G$15,0,J32*(1+Inputs!$G$40)))</f>
        <v>-32805</v>
      </c>
      <c r="L32" s="29">
        <f>IF(Inputs!$G$30="simple",0,IF(L$2&gt;Inputs!$G$15,0,K32*(1+Inputs!$G$40)))</f>
        <v>-29524.5</v>
      </c>
      <c r="M32" s="29">
        <f>IF(Inputs!$G$30="simple",0,IF(M$2&gt;Inputs!$G$15,0,L32*(1+Inputs!$G$40)))</f>
        <v>-26572.05</v>
      </c>
      <c r="N32" s="29">
        <f>IF(Inputs!$G$30="simple",0,IF(N$2&gt;Inputs!$G$15,0,M32*(1+Inputs!$G$40)))</f>
        <v>-23914.845000000001</v>
      </c>
      <c r="O32" s="29">
        <f>IF(Inputs!$G$30="simple",0,IF(O$2&gt;Inputs!$G$15,0,N32*(1+Inputs!$G$40)))</f>
        <v>-21523.360500000003</v>
      </c>
      <c r="P32" s="29">
        <f>IF(Inputs!$G$30="simple",0,IF(P$2&gt;Inputs!$G$15,0,O32*(1+Inputs!$G$40)))</f>
        <v>-19371.024450000004</v>
      </c>
      <c r="Q32" s="29">
        <f>IF(Inputs!$G$30="simple",0,IF(Q$2&gt;Inputs!$G$15,0,P32*(1+Inputs!$G$40)))</f>
        <v>-17433.922005000004</v>
      </c>
      <c r="R32" s="29">
        <f>IF(Inputs!$G$30="simple",0,IF(R$2&gt;Inputs!$G$15,0,Q32*(1+Inputs!$G$40)))</f>
        <v>-15690.529804500004</v>
      </c>
      <c r="S32" s="29">
        <f>IF(Inputs!$G$30="simple",0,IF(S$2&gt;Inputs!$G$15,0,R32*(1+Inputs!$G$40)))</f>
        <v>-14121.476824050003</v>
      </c>
      <c r="T32" s="29">
        <f>IF(Inputs!$G$30="simple",0,IF(T$2&gt;Inputs!$G$15,0,S32*(1+Inputs!$G$40)))</f>
        <v>-12709.329141645003</v>
      </c>
      <c r="U32" s="29">
        <f>IF(Inputs!$G$30="simple",0,IF(U$2&gt;Inputs!$G$15,0,T32*(1+Inputs!$G$40)))</f>
        <v>-11438.396227480504</v>
      </c>
      <c r="V32" s="29">
        <f>IF(Inputs!$G$30="simple",0,IF(V$2&gt;Inputs!$G$15,0,U32*(1+Inputs!$G$40)))</f>
        <v>-10294.556604732454</v>
      </c>
      <c r="W32" s="29">
        <f>IF(Inputs!$G$30="simple",0,IF(W$2&gt;Inputs!$G$15,0,V32*(1+Inputs!$G$40)))</f>
        <v>-9265.1009442592094</v>
      </c>
      <c r="X32" s="29">
        <f>IF(Inputs!$G$30="simple",0,IF(X$2&gt;Inputs!$G$15,0,W32*(1+Inputs!$G$40)))</f>
        <v>-8338.5908498332883</v>
      </c>
      <c r="Y32" s="29">
        <f>IF(Inputs!$G$30="simple",0,IF(Y$2&gt;Inputs!$G$15,0,X32*(1+Inputs!$G$40)))</f>
        <v>-7504.7317648499593</v>
      </c>
      <c r="Z32" s="29">
        <f>IF(Inputs!$G$30="simple",0,IF(Z$2&gt;Inputs!$G$15,0,Y32*(1+Inputs!$G$40)))</f>
        <v>-6754.2585883649635</v>
      </c>
      <c r="AA32" s="29">
        <f>IF(Inputs!$G$30="simple",0,IF(AA$2&gt;Inputs!$G$15,0,Z32*(1+Inputs!$G$40)))</f>
        <v>-6078.8327295284671</v>
      </c>
      <c r="AB32" s="29">
        <f>IF(Inputs!$G$30="simple",0,IF(AB$2&gt;Inputs!$G$15,0,AA32*(1+Inputs!$G$40)))</f>
        <v>-5470.9494565756204</v>
      </c>
      <c r="AC32" s="29">
        <f>IF(Inputs!$G$30="simple",0,IF(AC$2&gt;Inputs!$G$15,0,AB32*(1+Inputs!$G$40)))</f>
        <v>-4923.8545109180586</v>
      </c>
      <c r="AD32" s="29">
        <f>IF(Inputs!$G$30="simple",0,IF(AD$2&gt;Inputs!$G$15,0,AC32*(1+Inputs!$G$40)))</f>
        <v>-4431.4690598262532</v>
      </c>
      <c r="AE32" s="29">
        <f>IF(Inputs!$G$30="simple",0,IF(AE$2&gt;Inputs!$G$15,0,AD32*(1+Inputs!$G$40)))</f>
        <v>-3988.3221538436278</v>
      </c>
      <c r="AF32" s="29">
        <f>IF(Inputs!$G$30="simple",0,IF(AF$2&gt;Inputs!$G$15,0,AE32*(1+Inputs!$G$40)))</f>
        <v>0</v>
      </c>
      <c r="AG32" s="29">
        <f>IF(Inputs!$G$30="simple",0,IF(AG$2&gt;Inputs!$G$15,0,AF32*(1+Inputs!$G$40)))</f>
        <v>0</v>
      </c>
      <c r="AH32" s="29">
        <f>IF(Inputs!$G$30="simple",0,IF(AH$2&gt;Inputs!$G$15,0,AG32*(1+Inputs!$G$40)))</f>
        <v>0</v>
      </c>
      <c r="AI32" s="29">
        <f>IF(Inputs!$G$30="simple",0,IF(AI$2&gt;Inputs!$G$15,0,AH32*(1+Inputs!$G$40)))</f>
        <v>0</v>
      </c>
      <c r="AJ32" s="29">
        <f>IF(Inputs!$G$30="simple",0,IF(AJ$2&gt;Inputs!$G$15,0,AI32*(1+Inputs!$G$40)))</f>
        <v>0</v>
      </c>
    </row>
    <row r="33" spans="2:36" s="1" customFormat="1" x14ac:dyDescent="0.2">
      <c r="B33" s="1" t="s">
        <v>355</v>
      </c>
      <c r="E33" s="54" t="s">
        <v>0</v>
      </c>
      <c r="G33" s="29">
        <f>IF(Inputs!$G$30="simple",0,IF(G$2&gt;Inputs!$G$15,0,-Inputs!$G$41*G$26))</f>
        <v>-5000</v>
      </c>
      <c r="H33" s="29">
        <f>IF(Inputs!$G$30="simple",0,IF(H$2&gt;Inputs!$G$15,0,-Inputs!$G$41*H$26))</f>
        <v>-5080</v>
      </c>
      <c r="I33" s="29">
        <f>IF(Inputs!$G$30="simple",0,IF(I$2&gt;Inputs!$G$15,0,-Inputs!$G$41*I$26))</f>
        <v>-5161.2800000000007</v>
      </c>
      <c r="J33" s="29">
        <f>IF(Inputs!$G$30="simple",0,IF(J$2&gt;Inputs!$G$15,0,-Inputs!$G$41*J$26))</f>
        <v>-5243.8604800000003</v>
      </c>
      <c r="K33" s="29">
        <f>IF(Inputs!$G$30="simple",0,IF(K$2&gt;Inputs!$G$15,0,-Inputs!$G$41*K$26))</f>
        <v>-5327.7622476799997</v>
      </c>
      <c r="L33" s="29">
        <f>IF(Inputs!$G$30="simple",0,IF(L$2&gt;Inputs!$G$15,0,-Inputs!$G$41*L$26))</f>
        <v>-5413.0064436428802</v>
      </c>
      <c r="M33" s="29">
        <f>IF(Inputs!$G$30="simple",0,IF(M$2&gt;Inputs!$G$15,0,-Inputs!$G$41*M$26))</f>
        <v>-5499.6145467411661</v>
      </c>
      <c r="N33" s="29">
        <f>IF(Inputs!$G$30="simple",0,IF(N$2&gt;Inputs!$G$15,0,-Inputs!$G$41*N$26))</f>
        <v>-5587.6083794890255</v>
      </c>
      <c r="O33" s="29">
        <f>IF(Inputs!$G$30="simple",0,IF(O$2&gt;Inputs!$G$15,0,-Inputs!$G$41*O$26))</f>
        <v>-5677.0101135608493</v>
      </c>
      <c r="P33" s="29">
        <f>IF(Inputs!$G$30="simple",0,IF(P$2&gt;Inputs!$G$15,0,-Inputs!$G$41*P$26))</f>
        <v>-5767.8422753778232</v>
      </c>
      <c r="Q33" s="29">
        <f>IF(Inputs!$G$30="simple",0,IF(Q$2&gt;Inputs!$G$15,0,-Inputs!$G$41*Q$26))</f>
        <v>-5860.1277517838689</v>
      </c>
      <c r="R33" s="29">
        <f>IF(Inputs!$G$30="simple",0,IF(R$2&gt;Inputs!$G$15,0,-Inputs!$G$41*R$26))</f>
        <v>-5953.8897958124116</v>
      </c>
      <c r="S33" s="29">
        <f>IF(Inputs!$G$30="simple",0,IF(S$2&gt;Inputs!$G$15,0,-Inputs!$G$41*S$26))</f>
        <v>-6049.1520325454103</v>
      </c>
      <c r="T33" s="29">
        <f>IF(Inputs!$G$30="simple",0,IF(T$2&gt;Inputs!$G$15,0,-Inputs!$G$41*T$26))</f>
        <v>-6145.9384650661377</v>
      </c>
      <c r="U33" s="29">
        <f>IF(Inputs!$G$30="simple",0,IF(U$2&gt;Inputs!$G$15,0,-Inputs!$G$41*U$26))</f>
        <v>-6244.273480507195</v>
      </c>
      <c r="V33" s="29">
        <f>IF(Inputs!$G$30="simple",0,IF(V$2&gt;Inputs!$G$15,0,-Inputs!$G$41*V$26))</f>
        <v>-6344.1818561953105</v>
      </c>
      <c r="W33" s="29">
        <f>IF(Inputs!$G$30="simple",0,IF(W$2&gt;Inputs!$G$15,0,-Inputs!$G$41*W$26))</f>
        <v>-6445.6887658944352</v>
      </c>
      <c r="X33" s="29">
        <f>IF(Inputs!$G$30="simple",0,IF(X$2&gt;Inputs!$G$15,0,-Inputs!$G$41*X$26))</f>
        <v>-6548.8197861487461</v>
      </c>
      <c r="Y33" s="29">
        <f>IF(Inputs!$G$30="simple",0,IF(Y$2&gt;Inputs!$G$15,0,-Inputs!$G$41*Y$26))</f>
        <v>-6653.6009027271257</v>
      </c>
      <c r="Z33" s="29">
        <f>IF(Inputs!$G$30="simple",0,IF(Z$2&gt;Inputs!$G$15,0,-Inputs!$G$41*Z$26))</f>
        <v>-6760.0585171707608</v>
      </c>
      <c r="AA33" s="29">
        <f>IF(Inputs!$G$30="simple",0,IF(AA$2&gt;Inputs!$G$15,0,-Inputs!$G$41*AA$26))</f>
        <v>-6868.2194534454929</v>
      </c>
      <c r="AB33" s="29">
        <f>IF(Inputs!$G$30="simple",0,IF(AB$2&gt;Inputs!$G$15,0,-Inputs!$G$41*AB$26))</f>
        <v>-6978.1109647006215</v>
      </c>
      <c r="AC33" s="29">
        <f>IF(Inputs!$G$30="simple",0,IF(AC$2&gt;Inputs!$G$15,0,-Inputs!$G$41*AC$26))</f>
        <v>-7089.7607401358309</v>
      </c>
      <c r="AD33" s="29">
        <f>IF(Inputs!$G$30="simple",0,IF(AD$2&gt;Inputs!$G$15,0,-Inputs!$G$41*AD$26))</f>
        <v>-7203.1969119780051</v>
      </c>
      <c r="AE33" s="29">
        <f>IF(Inputs!$G$30="simple",0,IF(AE$2&gt;Inputs!$G$15,0,-Inputs!$G$41*AE$26))</f>
        <v>-7318.4480625696533</v>
      </c>
      <c r="AF33" s="29">
        <f>IF(Inputs!$G$30="simple",0,IF(AF$2&gt;Inputs!$G$15,0,-Inputs!$G$41*AF$26))</f>
        <v>0</v>
      </c>
      <c r="AG33" s="29">
        <f>IF(Inputs!$G$30="simple",0,IF(AG$2&gt;Inputs!$G$15,0,-Inputs!$G$41*AG$26))</f>
        <v>0</v>
      </c>
      <c r="AH33" s="29">
        <f>IF(Inputs!$G$30="simple",0,IF(AH$2&gt;Inputs!$G$15,0,-Inputs!$G$41*AH$26))</f>
        <v>0</v>
      </c>
      <c r="AI33" s="29">
        <f>IF(Inputs!$G$30="simple",0,IF(AI$2&gt;Inputs!$G$15,0,-Inputs!$G$41*AI$26))</f>
        <v>0</v>
      </c>
      <c r="AJ33" s="29">
        <f>IF(Inputs!$G$30="simple",0,IF(AJ$2&gt;Inputs!$G$15,0,-Inputs!$G$41*AJ$26))</f>
        <v>0</v>
      </c>
    </row>
    <row r="34" spans="2:36" s="1" customFormat="1" x14ac:dyDescent="0.2">
      <c r="B34" s="27" t="s">
        <v>120</v>
      </c>
      <c r="C34" s="27"/>
      <c r="D34" s="27"/>
      <c r="E34" s="57" t="s">
        <v>0</v>
      </c>
      <c r="F34" s="27"/>
      <c r="G34" s="30">
        <f>-IF(Inputs!$G$30="simple",0,IF(G$2&gt;Inputs!$G$15,0,Inputs!$G$42*(G$15+G$17+G$19+G$21)))</f>
        <v>-29265.324018975003</v>
      </c>
      <c r="H34" s="30">
        <f>-IF(Inputs!$G$30="simple",0,IF(H$2&gt;Inputs!$G$15,0,Inputs!$G$42*(H$15+H$17+H$19+H$21)))</f>
        <v>-29701.377346857731</v>
      </c>
      <c r="I34" s="30">
        <f>-IF(Inputs!$G$30="simple",0,IF(I$2&gt;Inputs!$G$15,0,Inputs!$G$42*(I$15+I$17+I$19+I$21)))</f>
        <v>-30143.927869325915</v>
      </c>
      <c r="J34" s="30">
        <f>-IF(Inputs!$G$30="simple",0,IF(J$2&gt;Inputs!$G$15,0,Inputs!$G$42*(J$15+J$17+J$19+J$21)))</f>
        <v>-30593.07239457887</v>
      </c>
      <c r="K34" s="30">
        <f>-IF(Inputs!$G$30="simple",0,IF(K$2&gt;Inputs!$G$15,0,Inputs!$G$42*(K$15+K$17+K$19+K$21)))</f>
        <v>-31048.909173258093</v>
      </c>
      <c r="L34" s="30">
        <f>-IF(Inputs!$G$30="simple",0,IF(L$2&gt;Inputs!$G$15,0,Inputs!$G$42*(L$15+L$17+L$19+L$21)))</f>
        <v>-31511.537919939638</v>
      </c>
      <c r="M34" s="30">
        <f>-IF(Inputs!$G$30="simple",0,IF(M$2&gt;Inputs!$G$15,0,Inputs!$G$42*(M$15+M$17+M$19+M$21)))</f>
        <v>-31981.059834946744</v>
      </c>
      <c r="N34" s="30">
        <f>-IF(Inputs!$G$30="simple",0,IF(N$2&gt;Inputs!$G$15,0,Inputs!$G$42*(N$15+N$17+N$19+N$21)))</f>
        <v>-32457.577626487451</v>
      </c>
      <c r="O34" s="30">
        <f>-IF(Inputs!$G$30="simple",0,IF(O$2&gt;Inputs!$G$15,0,Inputs!$G$42*(O$15+O$17+O$19+O$21)))</f>
        <v>-32941.195533122111</v>
      </c>
      <c r="P34" s="30">
        <f>-IF(Inputs!$G$30="simple",0,IF(P$2&gt;Inputs!$G$15,0,Inputs!$G$42*(P$15+P$17+P$19+P$21)))</f>
        <v>-33432.019346565634</v>
      </c>
      <c r="Q34" s="30">
        <f>-IF(Inputs!$G$30="simple",0,IF(Q$2&gt;Inputs!$G$15,0,Inputs!$G$42*(Q$15+Q$17+Q$19+Q$21)))</f>
        <v>-33930.156434829463</v>
      </c>
      <c r="R34" s="30">
        <f>-IF(Inputs!$G$30="simple",0,IF(R$2&gt;Inputs!$G$15,0,Inputs!$G$42*(R$15+R$17+R$19+R$21)))</f>
        <v>-34435.715765708424</v>
      </c>
      <c r="S34" s="30">
        <f>-IF(Inputs!$G$30="simple",0,IF(S$2&gt;Inputs!$G$15,0,Inputs!$G$42*(S$15+S$17+S$19+S$21)))</f>
        <v>-34948.807930617477</v>
      </c>
      <c r="T34" s="30">
        <f>-IF(Inputs!$G$30="simple",0,IF(T$2&gt;Inputs!$G$15,0,Inputs!$G$42*(T$15+T$17+T$19+T$21)))</f>
        <v>-35469.545168783683</v>
      </c>
      <c r="U34" s="30">
        <f>-IF(Inputs!$G$30="simple",0,IF(U$2&gt;Inputs!$G$15,0,Inputs!$G$42*(U$15+U$17+U$19+U$21)))</f>
        <v>-35998.041391798564</v>
      </c>
      <c r="V34" s="30">
        <f>-IF(Inputs!$G$30="simple",0,IF(V$2&gt;Inputs!$G$15,0,Inputs!$G$42*(V$15+V$17+V$19+V$21)))</f>
        <v>-36534.412208536356</v>
      </c>
      <c r="W34" s="30">
        <f>-IF(Inputs!$G$30="simple",0,IF(W$2&gt;Inputs!$G$15,0,Inputs!$G$42*(W$15+W$17+W$19+W$21)))</f>
        <v>-37078.774950443549</v>
      </c>
      <c r="X34" s="30">
        <f>-IF(Inputs!$G$30="simple",0,IF(X$2&gt;Inputs!$G$15,0,Inputs!$G$42*(X$15+X$17+X$19+X$21)))</f>
        <v>-37631.248697205156</v>
      </c>
      <c r="Y34" s="30">
        <f>-IF(Inputs!$G$30="simple",0,IF(Y$2&gt;Inputs!$G$15,0,Inputs!$G$42*(Y$15+Y$17+Y$19+Y$21)))</f>
        <v>-38191.954302793521</v>
      </c>
      <c r="Z34" s="30">
        <f>-IF(Inputs!$G$30="simple",0,IF(Z$2&gt;Inputs!$G$15,0,Inputs!$G$42*(Z$15+Z$17+Z$19+Z$21)))</f>
        <v>-38761.014421905144</v>
      </c>
      <c r="AA34" s="30">
        <f>-IF(Inputs!$G$30="simple",0,IF(AA$2&gt;Inputs!$G$15,0,Inputs!$G$42*(AA$15+AA$17+AA$19+AA$21)))</f>
        <v>-8523.0803881306547</v>
      </c>
      <c r="AB34" s="30">
        <f>-IF(Inputs!$G$30="simple",0,IF(AB$2&gt;Inputs!$G$15,0,Inputs!$G$42*(AB$15+AB$17+AB$19+AB$21)))</f>
        <v>-8734.8789357757032</v>
      </c>
      <c r="AC34" s="30">
        <f>-IF(Inputs!$G$30="simple",0,IF(AC$2&gt;Inputs!$G$15,0,Inputs!$G$42*(AC$15+AC$17+AC$19+AC$21)))</f>
        <v>-8951.9406773297269</v>
      </c>
      <c r="AD34" s="30">
        <f>-IF(Inputs!$G$30="simple",0,IF(AD$2&gt;Inputs!$G$15,0,Inputs!$G$42*(AD$15+AD$17+AD$19+AD$21)))</f>
        <v>-9174.3964031613723</v>
      </c>
      <c r="AE34" s="30">
        <f>-IF(Inputs!$G$30="simple",0,IF(AE$2&gt;Inputs!$G$15,0,Inputs!$G$42*(AE$15+AE$17+AE$19+AE$21)))</f>
        <v>-9402.3801537799336</v>
      </c>
      <c r="AF34" s="30">
        <f>-IF(Inputs!$G$30="simple",0,IF(AF$2&gt;Inputs!$G$15,0,Inputs!$G$42*(AF$15+AF$17+AF$19+AF$21)))</f>
        <v>0</v>
      </c>
      <c r="AG34" s="30">
        <f>-IF(Inputs!$G$30="simple",0,IF(AG$2&gt;Inputs!$G$15,0,Inputs!$G$42*(AG$15+AG$17+AG$19+AG$21)))</f>
        <v>0</v>
      </c>
      <c r="AH34" s="30">
        <f>-IF(Inputs!$G$30="simple",0,IF(AH$2&gt;Inputs!$G$15,0,Inputs!$G$42*(AH$15+AH$17+AH$19+AH$21)))</f>
        <v>0</v>
      </c>
      <c r="AI34" s="30">
        <f>-IF(Inputs!$G$30="simple",0,IF(AI$2&gt;Inputs!$G$15,0,Inputs!$G$42*(AI$15+AI$17+AI$19+AI$21)))</f>
        <v>0</v>
      </c>
      <c r="AJ34" s="30">
        <f>-IF(Inputs!$G$30="simple",0,IF(AJ$2&gt;Inputs!$G$15,0,Inputs!$G$42*(AJ$15+AJ$17+AJ$19+AJ$21)))</f>
        <v>0</v>
      </c>
    </row>
    <row r="35" spans="2:36" s="1" customFormat="1" ht="15.75" x14ac:dyDescent="0.25">
      <c r="B35" s="24" t="s">
        <v>123</v>
      </c>
      <c r="C35" s="24"/>
      <c r="D35" s="24"/>
      <c r="E35" s="58" t="s">
        <v>0</v>
      </c>
      <c r="F35" s="24"/>
      <c r="G35" s="31">
        <f>SUM(G28:G34)</f>
        <v>-173113.099705475</v>
      </c>
      <c r="H35" s="31">
        <f t="shared" ref="H35:AJ35" si="5">SUM(H28:H34)</f>
        <v>-170048.95074385434</v>
      </c>
      <c r="I35" s="31">
        <f t="shared" si="5"/>
        <v>-167515.27644781771</v>
      </c>
      <c r="J35" s="31">
        <f t="shared" si="5"/>
        <v>-165462.55705442777</v>
      </c>
      <c r="K35" s="31">
        <f t="shared" si="5"/>
        <v>-163846.28037575062</v>
      </c>
      <c r="L35" s="31">
        <f t="shared" si="5"/>
        <v>-162626.44191844403</v>
      </c>
      <c r="M35" s="31">
        <f t="shared" si="5"/>
        <v>-161767.09500523508</v>
      </c>
      <c r="N35" s="31">
        <f t="shared" si="5"/>
        <v>-161235.94589831759</v>
      </c>
      <c r="O35" s="31">
        <f t="shared" si="5"/>
        <v>-161003.98942469858</v>
      </c>
      <c r="P35" s="31">
        <f t="shared" si="5"/>
        <v>-161045.18105352594</v>
      </c>
      <c r="Q35" s="31">
        <f t="shared" si="5"/>
        <v>-161336.14178042757</v>
      </c>
      <c r="R35" s="31">
        <f t="shared" si="5"/>
        <v>-161855.89253839434</v>
      </c>
      <c r="S35" s="31">
        <f t="shared" si="5"/>
        <v>-162585.61518278896</v>
      </c>
      <c r="T35" s="31">
        <f t="shared" si="5"/>
        <v>-163508.43739330897</v>
      </c>
      <c r="U35" s="31">
        <f t="shared" si="5"/>
        <v>-164609.23910145182</v>
      </c>
      <c r="V35" s="31">
        <f t="shared" si="5"/>
        <v>-165874.47829118112</v>
      </c>
      <c r="W35" s="31">
        <f t="shared" si="5"/>
        <v>-167292.034235725</v>
      </c>
      <c r="X35" s="31">
        <f t="shared" si="5"/>
        <v>-168851.06642714958</v>
      </c>
      <c r="Y35" s="31">
        <f t="shared" si="5"/>
        <v>-170541.88762969041</v>
      </c>
      <c r="Z35" s="31">
        <f t="shared" si="5"/>
        <v>-172355.84964473004</v>
      </c>
      <c r="AA35" s="31">
        <f t="shared" si="5"/>
        <v>-143469.76736786455</v>
      </c>
      <c r="AB35" s="31">
        <f t="shared" si="5"/>
        <v>-145133.37298616848</v>
      </c>
      <c r="AC35" s="31">
        <f t="shared" si="5"/>
        <v>-146895.96119823214</v>
      </c>
      <c r="AD35" s="31">
        <f t="shared" si="5"/>
        <v>-148752.11059707098</v>
      </c>
      <c r="AE35" s="31">
        <f t="shared" si="5"/>
        <v>-150697.01933242136</v>
      </c>
      <c r="AF35" s="31">
        <f t="shared" si="5"/>
        <v>0</v>
      </c>
      <c r="AG35" s="31">
        <f t="shared" si="5"/>
        <v>0</v>
      </c>
      <c r="AH35" s="31">
        <f t="shared" si="5"/>
        <v>0</v>
      </c>
      <c r="AI35" s="31">
        <f t="shared" si="5"/>
        <v>0</v>
      </c>
      <c r="AJ35" s="31">
        <f t="shared" si="5"/>
        <v>0</v>
      </c>
    </row>
    <row r="36" spans="2:36" s="1" customFormat="1" ht="15.75" hidden="1" x14ac:dyDescent="0.25">
      <c r="B36" s="24"/>
      <c r="C36" s="24"/>
      <c r="D36" s="24"/>
      <c r="E36" s="58"/>
      <c r="F36" s="24"/>
      <c r="G36" s="31">
        <f>IF(G35=0,"",G35)</f>
        <v>-173113.099705475</v>
      </c>
      <c r="H36" s="31">
        <f t="shared" ref="H36:AJ36" si="6">IF(H35=0,"",H35)</f>
        <v>-170048.95074385434</v>
      </c>
      <c r="I36" s="31">
        <f t="shared" si="6"/>
        <v>-167515.27644781771</v>
      </c>
      <c r="J36" s="31">
        <f t="shared" si="6"/>
        <v>-165462.55705442777</v>
      </c>
      <c r="K36" s="31">
        <f t="shared" si="6"/>
        <v>-163846.28037575062</v>
      </c>
      <c r="L36" s="31">
        <f t="shared" si="6"/>
        <v>-162626.44191844403</v>
      </c>
      <c r="M36" s="31">
        <f t="shared" si="6"/>
        <v>-161767.09500523508</v>
      </c>
      <c r="N36" s="31">
        <f t="shared" si="6"/>
        <v>-161235.94589831759</v>
      </c>
      <c r="O36" s="31">
        <f t="shared" si="6"/>
        <v>-161003.98942469858</v>
      </c>
      <c r="P36" s="31">
        <f t="shared" si="6"/>
        <v>-161045.18105352594</v>
      </c>
      <c r="Q36" s="31">
        <f t="shared" si="6"/>
        <v>-161336.14178042757</v>
      </c>
      <c r="R36" s="31">
        <f t="shared" si="6"/>
        <v>-161855.89253839434</v>
      </c>
      <c r="S36" s="31">
        <f t="shared" si="6"/>
        <v>-162585.61518278896</v>
      </c>
      <c r="T36" s="31">
        <f t="shared" si="6"/>
        <v>-163508.43739330897</v>
      </c>
      <c r="U36" s="31">
        <f t="shared" si="6"/>
        <v>-164609.23910145182</v>
      </c>
      <c r="V36" s="31">
        <f t="shared" si="6"/>
        <v>-165874.47829118112</v>
      </c>
      <c r="W36" s="31">
        <f t="shared" si="6"/>
        <v>-167292.034235725</v>
      </c>
      <c r="X36" s="31">
        <f t="shared" si="6"/>
        <v>-168851.06642714958</v>
      </c>
      <c r="Y36" s="31">
        <f t="shared" si="6"/>
        <v>-170541.88762969041</v>
      </c>
      <c r="Z36" s="31">
        <f t="shared" si="6"/>
        <v>-172355.84964473004</v>
      </c>
      <c r="AA36" s="31">
        <f t="shared" si="6"/>
        <v>-143469.76736786455</v>
      </c>
      <c r="AB36" s="31">
        <f t="shared" si="6"/>
        <v>-145133.37298616848</v>
      </c>
      <c r="AC36" s="31">
        <f t="shared" si="6"/>
        <v>-146895.96119823214</v>
      </c>
      <c r="AD36" s="31">
        <f t="shared" si="6"/>
        <v>-148752.11059707098</v>
      </c>
      <c r="AE36" s="31">
        <f t="shared" si="6"/>
        <v>-150697.01933242136</v>
      </c>
      <c r="AF36" s="31" t="str">
        <f t="shared" si="6"/>
        <v/>
      </c>
      <c r="AG36" s="31" t="str">
        <f t="shared" si="6"/>
        <v/>
      </c>
      <c r="AH36" s="31" t="str">
        <f t="shared" si="6"/>
        <v/>
      </c>
      <c r="AI36" s="31" t="str">
        <f t="shared" si="6"/>
        <v/>
      </c>
      <c r="AJ36" s="31" t="str">
        <f t="shared" si="6"/>
        <v/>
      </c>
    </row>
    <row r="37" spans="2:36" s="1" customFormat="1" x14ac:dyDescent="0.2">
      <c r="B37" s="32" t="s">
        <v>476</v>
      </c>
      <c r="C37" s="32"/>
      <c r="D37" s="32"/>
      <c r="E37" s="54" t="s">
        <v>56</v>
      </c>
      <c r="F37" s="32"/>
      <c r="G37" s="33">
        <f>IF(G$2&gt;Inputs!$G$15,0,G35*100/G5)</f>
        <v>-4.9777228951131693</v>
      </c>
      <c r="H37" s="33">
        <f>IF(H$2&gt;Inputs!$G$15,0,H35*100/H5)</f>
        <v>-4.9141867795371512</v>
      </c>
      <c r="I37" s="33">
        <f>IF(I$2&gt;Inputs!$G$15,0,I35*100/I5)</f>
        <v>-4.8652934552488407</v>
      </c>
      <c r="J37" s="33">
        <f>IF(J$2&gt;Inputs!$G$15,0,J35*100/J5)</f>
        <v>-4.8298236393285494</v>
      </c>
      <c r="K37" s="33">
        <f>IF(K$2&gt;Inputs!$G$15,0,K35*100/K5)</f>
        <v>-4.8066781914637264</v>
      </c>
      <c r="L37" s="33">
        <f>IF(L$2&gt;Inputs!$G$15,0,L35*100/L5)</f>
        <v>-4.7948667208593596</v>
      </c>
      <c r="M37" s="33">
        <f>IF(M$2&gt;Inputs!$G$15,0,M35*100/M5)</f>
        <v>-4.7934972825555198</v>
      </c>
      <c r="N37" s="33">
        <f>IF(N$2&gt;Inputs!$G$15,0,N35*100/N5)</f>
        <v>-4.8017670591722457</v>
      </c>
      <c r="O37" s="33">
        <f>IF(O$2&gt;Inputs!$G$15,0,O35*100/O5)</f>
        <v>-4.8189539340303567</v>
      </c>
      <c r="P37" s="33">
        <f>IF(P$2&gt;Inputs!$G$15,0,P35*100/P5)</f>
        <v>-4.8444088705773813</v>
      </c>
      <c r="Q37" s="33">
        <f>IF(Q$2&gt;Inputs!$G$15,0,Q35*100/Q5)</f>
        <v>-4.8775490211707577</v>
      </c>
      <c r="R37" s="33">
        <f>IF(R$2&gt;Inputs!$G$15,0,R35*100/R5)</f>
        <v>-4.9178514956180734</v>
      </c>
      <c r="S37" s="33">
        <f>IF(S$2&gt;Inputs!$G$15,0,S35*100/S5)</f>
        <v>-4.9648477265200999</v>
      </c>
      <c r="T37" s="33">
        <f>IF(T$2&gt;Inputs!$G$15,0,T35*100/T5)</f>
        <v>-5.018118374473886</v>
      </c>
      <c r="U37" s="33">
        <f>IF(U$2&gt;Inputs!$G$15,0,U35*100/U5)</f>
        <v>-5.0772887216306763</v>
      </c>
      <c r="V37" s="33">
        <f>IF(V$2&gt;Inputs!$G$15,0,V35*100/V5)</f>
        <v>-5.1420245070219179</v>
      </c>
      <c r="W37" s="33">
        <f>IF(W$2&gt;Inputs!$G$15,0,W35*100/W5)</f>
        <v>-5.2120281615153301</v>
      </c>
      <c r="X37" s="33">
        <f>IF(X$2&gt;Inputs!$G$15,0,X35*100/X5)</f>
        <v>-5.2870354042871543</v>
      </c>
      <c r="Y37" s="33">
        <f>IF(Y$2&gt;Inputs!$G$15,0,Y35*100/Y5)</f>
        <v>-5.3668121663365964</v>
      </c>
      <c r="Z37" s="33">
        <f>IF(Z$2&gt;Inputs!$G$15,0,Z35*100/Z5)</f>
        <v>-5.4511518098608169</v>
      </c>
      <c r="AA37" s="33">
        <f>IF(AA$2&gt;Inputs!$G$15,0,AA35*100/AA5)</f>
        <v>-4.5603645667715007</v>
      </c>
      <c r="AB37" s="33">
        <f>IF(AB$2&gt;Inputs!$G$15,0,AB35*100/AB5)</f>
        <v>-4.6364264678171363</v>
      </c>
      <c r="AC37" s="33">
        <f>IF(AC$2&gt;Inputs!$G$15,0,AC35*100/AC5)</f>
        <v>-4.7163156372217951</v>
      </c>
      <c r="AD37" s="33">
        <f>IF(AD$2&gt;Inputs!$G$15,0,AD35*100/AD5)</f>
        <v>-4.799909651955363</v>
      </c>
      <c r="AE37" s="33">
        <f>IF(AE$2&gt;Inputs!$G$15,0,AE35*100/AE5)</f>
        <v>-4.887103176267706</v>
      </c>
      <c r="AF37" s="33">
        <f>IF(AF$2&gt;Inputs!$G$15,0,AF35*100/AF5)</f>
        <v>0</v>
      </c>
      <c r="AG37" s="33">
        <f>IF(AG$2&gt;Inputs!$G$15,0,AG35*100/AG5)</f>
        <v>0</v>
      </c>
      <c r="AH37" s="33">
        <f>IF(AH$2&gt;Inputs!$G$15,0,AH35*100/AH5)</f>
        <v>0</v>
      </c>
      <c r="AI37" s="33">
        <f>IF(AI$2&gt;Inputs!$G$15,0,AI35*100/AI5)</f>
        <v>0</v>
      </c>
      <c r="AJ37" s="33">
        <f>IF(AJ$2&gt;Inputs!$G$15,0,AJ35*100/AJ5)</f>
        <v>0</v>
      </c>
    </row>
    <row r="38" spans="2:36" s="1" customFormat="1" x14ac:dyDescent="0.2">
      <c r="E38" s="54"/>
    </row>
    <row r="39" spans="2:36" s="1" customFormat="1" ht="15.75" x14ac:dyDescent="0.25">
      <c r="B39" s="24" t="s">
        <v>124</v>
      </c>
      <c r="C39" s="24"/>
      <c r="D39" s="24"/>
      <c r="E39" s="54" t="s">
        <v>0</v>
      </c>
      <c r="G39" s="31">
        <f t="shared" ref="G39:AJ39" si="7">G23+G35</f>
        <v>807049.17673904763</v>
      </c>
      <c r="H39" s="31">
        <f t="shared" si="7"/>
        <v>825797.32551898155</v>
      </c>
      <c r="I39" s="31">
        <f t="shared" si="7"/>
        <v>844231.57278617984</v>
      </c>
      <c r="J39" s="31">
        <f t="shared" si="7"/>
        <v>862404.66524355707</v>
      </c>
      <c r="K39" s="31">
        <f t="shared" si="7"/>
        <v>880364.39010043058</v>
      </c>
      <c r="L39" s="31">
        <f t="shared" si="7"/>
        <v>898154.0756693444</v>
      </c>
      <c r="M39" s="31">
        <f t="shared" si="7"/>
        <v>915813.04197167896</v>
      </c>
      <c r="N39" s="31">
        <f t="shared" si="7"/>
        <v>933377.00635217561</v>
      </c>
      <c r="O39" s="31">
        <f t="shared" si="7"/>
        <v>950878.44860250549</v>
      </c>
      <c r="P39" s="31">
        <f t="shared" si="7"/>
        <v>962602.49519957323</v>
      </c>
      <c r="Q39" s="31">
        <f t="shared" si="7"/>
        <v>974344.99297035497</v>
      </c>
      <c r="R39" s="31">
        <f t="shared" si="7"/>
        <v>991874.99768613139</v>
      </c>
      <c r="S39" s="31">
        <f t="shared" si="7"/>
        <v>1009446.1249831497</v>
      </c>
      <c r="T39" s="31">
        <f t="shared" si="7"/>
        <v>1027078.9884892808</v>
      </c>
      <c r="U39" s="31">
        <f t="shared" si="7"/>
        <v>1044792.5053260785</v>
      </c>
      <c r="V39" s="31">
        <f t="shared" si="7"/>
        <v>1062604.07113872</v>
      </c>
      <c r="W39" s="31">
        <f t="shared" si="7"/>
        <v>1080529.7177021937</v>
      </c>
      <c r="X39" s="31">
        <f t="shared" si="7"/>
        <v>1098584.2548472672</v>
      </c>
      <c r="Y39" s="31">
        <f t="shared" si="7"/>
        <v>1115551.1673299272</v>
      </c>
      <c r="Z39" s="31">
        <f t="shared" si="7"/>
        <v>1126684.5338953084</v>
      </c>
      <c r="AA39" s="31">
        <f t="shared" si="7"/>
        <v>142249.48171302432</v>
      </c>
      <c r="AB39" s="31">
        <f t="shared" si="7"/>
        <v>147645.82768288866</v>
      </c>
      <c r="AC39" s="31">
        <f t="shared" si="7"/>
        <v>153118.63085595914</v>
      </c>
      <c r="AD39" s="31">
        <f t="shared" si="7"/>
        <v>158677.67231817511</v>
      </c>
      <c r="AE39" s="31">
        <f t="shared" si="7"/>
        <v>163523.93719850993</v>
      </c>
      <c r="AF39" s="31">
        <f t="shared" si="7"/>
        <v>8.7311491370201108E-13</v>
      </c>
      <c r="AG39" s="31">
        <f t="shared" si="7"/>
        <v>0</v>
      </c>
      <c r="AH39" s="31">
        <f t="shared" si="7"/>
        <v>0</v>
      </c>
      <c r="AI39" s="31">
        <f t="shared" si="7"/>
        <v>0</v>
      </c>
      <c r="AJ39" s="31">
        <f t="shared" si="7"/>
        <v>0</v>
      </c>
    </row>
    <row r="40" spans="2:36" s="1" customFormat="1" ht="15.75" x14ac:dyDescent="0.25">
      <c r="B40" s="24"/>
      <c r="C40" s="24"/>
      <c r="D40" s="24"/>
      <c r="E40" s="54" t="s">
        <v>282</v>
      </c>
      <c r="F40" s="54" t="s">
        <v>217</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row>
    <row r="41" spans="2:36" s="1" customFormat="1" x14ac:dyDescent="0.2">
      <c r="B41" s="32" t="s">
        <v>154</v>
      </c>
      <c r="C41" s="32"/>
      <c r="D41" s="32"/>
      <c r="E41" s="33">
        <f>IF(OR(Inputs!$G$51=0,Inputs!$G$51=""),"N/A",AVERAGE(G41:AJ41))</f>
        <v>3.6519377834175213</v>
      </c>
      <c r="F41" s="33">
        <f>IF(OR(Inputs!$G$51=0,Inputs!$G$51=""),"N/A",MIN(G41:AJ41))</f>
        <v>3.046601676794912</v>
      </c>
      <c r="G41" s="33">
        <f>IF(OR(Inputs!$G$51=0,Inputs!$G$51=""),"N/A",IF(G$2&gt;Inputs!$G$52,"N/A",(G39+SUM(G47:G48))/-G85))</f>
        <v>3.046601676794912</v>
      </c>
      <c r="H41" s="33">
        <f>IF(OR(Inputs!$G$51=0,Inputs!$G$51=""),"N/A",IF(H$2&gt;Inputs!$G$52,"N/A",(H39+SUM(H47:H48))/-H85))</f>
        <v>3.1227993567840762</v>
      </c>
      <c r="I41" s="33">
        <f>IF(OR(Inputs!$G$51=0,Inputs!$G$51=""),"N/A",IF(I$2&gt;Inputs!$G$52,"N/A",(I39+SUM(I47:I48))/-I85))</f>
        <v>3.197721253905486</v>
      </c>
      <c r="J41" s="33">
        <f>IF(OR(Inputs!$G$51=0,Inputs!$G$51=""),"N/A",IF(J$2&gt;Inputs!$G$52,"N/A",(J39+SUM(J47:J48))/-J85))</f>
        <v>3.2715817453990681</v>
      </c>
      <c r="K41" s="33">
        <f>IF(OR(Inputs!$G$51=0,Inputs!$G$51=""),"N/A",IF(K$2&gt;Inputs!$G$52,"N/A",(K39+SUM(K47:K48))/-K85))</f>
        <v>3.3445750517463151</v>
      </c>
      <c r="L41" s="33">
        <f>IF(OR(Inputs!$G$51=0,Inputs!$G$51=""),"N/A",IF(L$2&gt;Inputs!$G$52,"N/A",(L39+SUM(L47:L48))/-L85))</f>
        <v>3.4168772712347146</v>
      </c>
      <c r="M41" s="33">
        <f>IF(OR(Inputs!$G$51=0,Inputs!$G$51=""),"N/A",IF(M$2&gt;Inputs!$G$52,"N/A",(M39+SUM(M47:M48))/-M85))</f>
        <v>3.4886482113440058</v>
      </c>
      <c r="N41" s="33">
        <f>IF(OR(Inputs!$G$51=0,Inputs!$G$51=""),"N/A",IF(N$2&gt;Inputs!$G$52,"N/A",(N39+SUM(N47:N48))/-N85))</f>
        <v>3.5600330372761846</v>
      </c>
      <c r="O41" s="33">
        <f>IF(OR(Inputs!$G$51=0,Inputs!$G$51=""),"N/A",IF(O$2&gt;Inputs!$G$52,"N/A",(O39+SUM(O47:O48))/-O85))</f>
        <v>3.6311637559190184</v>
      </c>
      <c r="P41" s="33">
        <f>IF(OR(Inputs!$G$51=0,Inputs!$G$51=""),"N/A",IF(P$2&gt;Inputs!$G$52,"N/A",(P39+SUM(P47:P48))/-P85))</f>
        <v>3.9122837004841839</v>
      </c>
      <c r="Q41" s="33">
        <f>IF(OR(Inputs!$G$51=0,Inputs!$G$51=""),"N/A",IF(Q$2&gt;Inputs!$G$52,"N/A",(Q39+SUM(Q47:Q48))/-Q85))</f>
        <v>3.7166034044659875</v>
      </c>
      <c r="R41" s="33">
        <f>IF(OR(Inputs!$G$51=0,Inputs!$G$51=""),"N/A",IF(R$2&gt;Inputs!$G$52,"N/A",(R39+SUM(R47:R48))/-R85))</f>
        <v>3.7878502088956023</v>
      </c>
      <c r="S41" s="33">
        <f>IF(OR(Inputs!$G$51=0,Inputs!$G$51=""),"N/A",IF(S$2&gt;Inputs!$G$52,"N/A",(S39+SUM(S47:S48))/-S85))</f>
        <v>3.8592641469085147</v>
      </c>
      <c r="T41" s="33">
        <f>IF(OR(Inputs!$G$51=0,Inputs!$G$51=""),"N/A",IF(T$2&gt;Inputs!$G$52,"N/A",(T39+SUM(T47:T48))/-T85))</f>
        <v>3.9309289980094855</v>
      </c>
      <c r="U41" s="33">
        <f>IF(OR(Inputs!$G$51=0,Inputs!$G$51=""),"N/A",IF(U$2&gt;Inputs!$G$52,"N/A",(U39+SUM(U47:U48))/-U85))</f>
        <v>4.0029216466307496</v>
      </c>
      <c r="V41" s="33">
        <f>IF(OR(Inputs!$G$51=0,Inputs!$G$51=""),"N/A",IF(V$2&gt;Inputs!$G$52,"N/A",(V39+SUM(V47:V48))/-V85))</f>
        <v>4.0753127935022855</v>
      </c>
      <c r="W41" s="33">
        <f>IF(OR(Inputs!$G$51=0,Inputs!$G$51=""),"N/A",IF(W$2&gt;Inputs!$G$52,"N/A",(W39+SUM(W47:W48))/-W85))</f>
        <v>4.1481675962070907</v>
      </c>
      <c r="X41" s="33">
        <f>IF(OR(Inputs!$G$51=0,Inputs!$G$51=""),"N/A",IF(X$2&gt;Inputs!$G$52,"N/A",(X39+SUM(X47:X48))/-X85))</f>
        <v>4.2215462460077156</v>
      </c>
      <c r="Y41" s="33" t="str">
        <f>IF(OR(Inputs!$G$51=0,Inputs!$G$51=""),"N/A",IF(Y$2&gt;Inputs!$G$52,"N/A",(Y39+SUM(Y47:Y48))/-Y85))</f>
        <v>N/A</v>
      </c>
      <c r="Z41" s="33" t="str">
        <f>IF(OR(Inputs!$G$51=0,Inputs!$G$51=""),"N/A",IF(Z$2&gt;Inputs!$G$52,"N/A",(Z39+SUM(Z47:Z48))/-Z85))</f>
        <v>N/A</v>
      </c>
      <c r="AA41" s="33" t="str">
        <f>IF(OR(Inputs!$G$51=0,Inputs!$G$51=""),"N/A",IF(AA$2&gt;Inputs!$G$52,"N/A",(AA39+SUM(AA47:AA48))/-AA85))</f>
        <v>N/A</v>
      </c>
      <c r="AB41" s="33" t="str">
        <f>IF(OR(Inputs!$G$51=0,Inputs!$G$51=""),"N/A",IF(AB$2&gt;Inputs!$G$52,"N/A",(AB39+SUM(AB47:AB48))/-AB85))</f>
        <v>N/A</v>
      </c>
      <c r="AC41" s="33" t="str">
        <f>IF(OR(Inputs!$G$51=0,Inputs!$G$51=""),"N/A",IF(AC$2&gt;Inputs!$G$52,"N/A",(AC39+SUM(AC47:AC48))/-AC85))</f>
        <v>N/A</v>
      </c>
      <c r="AD41" s="33" t="str">
        <f>IF(OR(Inputs!$G$51=0,Inputs!$G$51=""),"N/A",IF(AD$2&gt;Inputs!$G$52,"N/A",(AD39+SUM(AD47:AD48))/-AD85))</f>
        <v>N/A</v>
      </c>
      <c r="AE41" s="33" t="str">
        <f>IF(OR(Inputs!$G$51=0,Inputs!$G$51=""),"N/A",IF(AE$2&gt;Inputs!$G$52,"N/A",(AE39+SUM(AE47:AE48))/-AE85))</f>
        <v>N/A</v>
      </c>
      <c r="AF41" s="33" t="str">
        <f>IF(OR(Inputs!$G$51=0,Inputs!$G$51=""),"N/A",IF(AF$2&gt;Inputs!$G$52,"N/A",(AF39+SUM(AF47:AF48))/-AF85))</f>
        <v>N/A</v>
      </c>
      <c r="AG41" s="33" t="str">
        <f>IF(OR(Inputs!$G$51=0,Inputs!$G$51=""),"N/A",IF(AG$2&gt;Inputs!$G$52,"N/A",(AG39+SUM(AG47:AG48))/-AG85))</f>
        <v>N/A</v>
      </c>
      <c r="AH41" s="33" t="str">
        <f>IF(OR(Inputs!$G$51=0,Inputs!$G$51=""),"N/A",IF(AH$2&gt;Inputs!$G$52,"N/A",(AH39+SUM(AH47:AH48))/-AH85))</f>
        <v>N/A</v>
      </c>
      <c r="AI41" s="33" t="str">
        <f>IF(OR(Inputs!$G$51=0,Inputs!$G$51=""),"N/A",IF(AI$2&gt;Inputs!$G$52,"N/A",(AI39+SUM(AI47:AI48))/-AI85))</f>
        <v>N/A</v>
      </c>
      <c r="AJ41" s="33" t="str">
        <f>IF(OR(Inputs!$G$51=0,Inputs!$G$51=""),"N/A",IF(AJ$2&gt;Inputs!$G$52,"N/A",(AJ39+SUM(AJ47:AJ48))/-AJ85))</f>
        <v>N/A</v>
      </c>
    </row>
    <row r="42" spans="2:36" s="1" customFormat="1" x14ac:dyDescent="0.2">
      <c r="B42" s="32" t="s">
        <v>312</v>
      </c>
      <c r="C42" s="32"/>
      <c r="D42" s="32"/>
      <c r="E42" s="54"/>
      <c r="F42" s="33"/>
      <c r="G42" s="374">
        <f>IF(G41=$F$41,G2,"")</f>
        <v>1</v>
      </c>
      <c r="H42" s="374" t="str">
        <f t="shared" ref="H42:AJ42" si="8">IF(H41=$F$41,H2,"")</f>
        <v/>
      </c>
      <c r="I42" s="374" t="str">
        <f t="shared" si="8"/>
        <v/>
      </c>
      <c r="J42" s="374" t="str">
        <f t="shared" si="8"/>
        <v/>
      </c>
      <c r="K42" s="374" t="str">
        <f t="shared" si="8"/>
        <v/>
      </c>
      <c r="L42" s="374" t="str">
        <f t="shared" si="8"/>
        <v/>
      </c>
      <c r="M42" s="374" t="str">
        <f t="shared" si="8"/>
        <v/>
      </c>
      <c r="N42" s="374" t="str">
        <f t="shared" si="8"/>
        <v/>
      </c>
      <c r="O42" s="374" t="str">
        <f t="shared" si="8"/>
        <v/>
      </c>
      <c r="P42" s="374" t="str">
        <f t="shared" si="8"/>
        <v/>
      </c>
      <c r="Q42" s="374" t="str">
        <f t="shared" si="8"/>
        <v/>
      </c>
      <c r="R42" s="374" t="str">
        <f t="shared" si="8"/>
        <v/>
      </c>
      <c r="S42" s="374" t="str">
        <f t="shared" si="8"/>
        <v/>
      </c>
      <c r="T42" s="374" t="str">
        <f t="shared" si="8"/>
        <v/>
      </c>
      <c r="U42" s="374" t="str">
        <f t="shared" si="8"/>
        <v/>
      </c>
      <c r="V42" s="374" t="str">
        <f t="shared" si="8"/>
        <v/>
      </c>
      <c r="W42" s="374" t="str">
        <f t="shared" si="8"/>
        <v/>
      </c>
      <c r="X42" s="374" t="str">
        <f t="shared" si="8"/>
        <v/>
      </c>
      <c r="Y42" s="374" t="str">
        <f t="shared" si="8"/>
        <v/>
      </c>
      <c r="Z42" s="374" t="str">
        <f t="shared" si="8"/>
        <v/>
      </c>
      <c r="AA42" s="374" t="str">
        <f t="shared" si="8"/>
        <v/>
      </c>
      <c r="AB42" s="374" t="str">
        <f t="shared" si="8"/>
        <v/>
      </c>
      <c r="AC42" s="374" t="str">
        <f t="shared" si="8"/>
        <v/>
      </c>
      <c r="AD42" s="374" t="str">
        <f t="shared" si="8"/>
        <v/>
      </c>
      <c r="AE42" s="374" t="str">
        <f t="shared" si="8"/>
        <v/>
      </c>
      <c r="AF42" s="374" t="str">
        <f t="shared" si="8"/>
        <v/>
      </c>
      <c r="AG42" s="374" t="str">
        <f t="shared" si="8"/>
        <v/>
      </c>
      <c r="AH42" s="374" t="str">
        <f t="shared" si="8"/>
        <v/>
      </c>
      <c r="AI42" s="374" t="str">
        <f t="shared" si="8"/>
        <v/>
      </c>
      <c r="AJ42" s="374" t="str">
        <f t="shared" si="8"/>
        <v/>
      </c>
    </row>
    <row r="43" spans="2:36" s="1" customFormat="1" x14ac:dyDescent="0.2">
      <c r="B43" s="27" t="s">
        <v>129</v>
      </c>
      <c r="C43" s="27"/>
      <c r="D43" s="27"/>
      <c r="E43" s="57"/>
      <c r="F43" s="27"/>
      <c r="G43" s="30">
        <f>G86</f>
        <v>-173250.00000000003</v>
      </c>
      <c r="H43" s="30">
        <f t="shared" ref="H43:AJ43" si="9">H86</f>
        <v>-168154.26676268881</v>
      </c>
      <c r="I43" s="30">
        <f t="shared" si="9"/>
        <v>-162701.8321987658</v>
      </c>
      <c r="J43" s="30">
        <f t="shared" si="9"/>
        <v>-156867.72721536818</v>
      </c>
      <c r="K43" s="30">
        <f t="shared" si="9"/>
        <v>-150625.23488313277</v>
      </c>
      <c r="L43" s="30">
        <f t="shared" si="9"/>
        <v>-143945.76808764081</v>
      </c>
      <c r="M43" s="30">
        <f t="shared" si="9"/>
        <v>-136798.73861646446</v>
      </c>
      <c r="N43" s="30">
        <f t="shared" si="9"/>
        <v>-129151.41708230572</v>
      </c>
      <c r="O43" s="30">
        <f t="shared" si="9"/>
        <v>-120968.78304075592</v>
      </c>
      <c r="P43" s="30">
        <f t="shared" si="9"/>
        <v>-112213.36461629764</v>
      </c>
      <c r="Q43" s="30">
        <f t="shared" si="9"/>
        <v>-102845.06690212725</v>
      </c>
      <c r="R43" s="30">
        <f t="shared" si="9"/>
        <v>-92820.988347964929</v>
      </c>
      <c r="S43" s="30">
        <f t="shared" si="9"/>
        <v>-82095.224295011285</v>
      </c>
      <c r="T43" s="30">
        <f t="shared" si="9"/>
        <v>-70618.656758350829</v>
      </c>
      <c r="U43" s="30">
        <f t="shared" si="9"/>
        <v>-58338.729494124171</v>
      </c>
      <c r="V43" s="30">
        <f t="shared" si="9"/>
        <v>-45199.207321401649</v>
      </c>
      <c r="W43" s="30">
        <f t="shared" si="9"/>
        <v>-31139.918596588544</v>
      </c>
      <c r="X43" s="30">
        <f t="shared" si="9"/>
        <v>-16096.479661038524</v>
      </c>
      <c r="Y43" s="30">
        <f t="shared" si="9"/>
        <v>0</v>
      </c>
      <c r="Z43" s="30">
        <f t="shared" si="9"/>
        <v>0</v>
      </c>
      <c r="AA43" s="30">
        <f t="shared" si="9"/>
        <v>0</v>
      </c>
      <c r="AB43" s="30">
        <f t="shared" si="9"/>
        <v>0</v>
      </c>
      <c r="AC43" s="30">
        <f t="shared" si="9"/>
        <v>0</v>
      </c>
      <c r="AD43" s="30">
        <f t="shared" si="9"/>
        <v>0</v>
      </c>
      <c r="AE43" s="30">
        <f t="shared" si="9"/>
        <v>0</v>
      </c>
      <c r="AF43" s="30">
        <f t="shared" si="9"/>
        <v>0</v>
      </c>
      <c r="AG43" s="30">
        <f t="shared" si="9"/>
        <v>0</v>
      </c>
      <c r="AH43" s="30">
        <f t="shared" si="9"/>
        <v>0</v>
      </c>
      <c r="AI43" s="30">
        <f t="shared" si="9"/>
        <v>0</v>
      </c>
      <c r="AJ43" s="30">
        <f t="shared" si="9"/>
        <v>0</v>
      </c>
    </row>
    <row r="44" spans="2:36" s="1" customFormat="1" ht="15.75" x14ac:dyDescent="0.25">
      <c r="B44" s="24" t="s">
        <v>76</v>
      </c>
      <c r="C44" s="24"/>
      <c r="D44" s="24"/>
      <c r="E44" s="54"/>
      <c r="F44" s="24"/>
      <c r="G44" s="31">
        <f>G39+G43</f>
        <v>633799.17673904763</v>
      </c>
      <c r="H44" s="31">
        <f t="shared" ref="H44:AJ44" si="10">H39+H43</f>
        <v>657643.0587562928</v>
      </c>
      <c r="I44" s="31">
        <f t="shared" si="10"/>
        <v>681529.74058741401</v>
      </c>
      <c r="J44" s="31">
        <f t="shared" si="10"/>
        <v>705536.93802818889</v>
      </c>
      <c r="K44" s="31">
        <f t="shared" si="10"/>
        <v>729739.15521729784</v>
      </c>
      <c r="L44" s="31">
        <f t="shared" si="10"/>
        <v>754208.30758170364</v>
      </c>
      <c r="M44" s="31">
        <f t="shared" si="10"/>
        <v>779014.30335521454</v>
      </c>
      <c r="N44" s="31">
        <f t="shared" si="10"/>
        <v>804225.58926986984</v>
      </c>
      <c r="O44" s="31">
        <f t="shared" si="10"/>
        <v>829909.6655617496</v>
      </c>
      <c r="P44" s="31">
        <f t="shared" si="10"/>
        <v>850389.13058327558</v>
      </c>
      <c r="Q44" s="31">
        <f t="shared" si="10"/>
        <v>871499.92606822774</v>
      </c>
      <c r="R44" s="31">
        <f t="shared" si="10"/>
        <v>899054.00933816645</v>
      </c>
      <c r="S44" s="31">
        <f t="shared" si="10"/>
        <v>927350.90068813844</v>
      </c>
      <c r="T44" s="31">
        <f t="shared" si="10"/>
        <v>956460.33173093002</v>
      </c>
      <c r="U44" s="31">
        <f t="shared" si="10"/>
        <v>986453.77583195432</v>
      </c>
      <c r="V44" s="31">
        <f t="shared" si="10"/>
        <v>1017404.8638173183</v>
      </c>
      <c r="W44" s="31">
        <f t="shared" si="10"/>
        <v>1049389.7991056051</v>
      </c>
      <c r="X44" s="31">
        <f t="shared" si="10"/>
        <v>1082487.7751862286</v>
      </c>
      <c r="Y44" s="31">
        <f t="shared" si="10"/>
        <v>1115551.1673299272</v>
      </c>
      <c r="Z44" s="31">
        <f t="shared" si="10"/>
        <v>1126684.5338953084</v>
      </c>
      <c r="AA44" s="31">
        <f t="shared" si="10"/>
        <v>142249.48171302432</v>
      </c>
      <c r="AB44" s="31">
        <f t="shared" si="10"/>
        <v>147645.82768288866</v>
      </c>
      <c r="AC44" s="31">
        <f t="shared" si="10"/>
        <v>153118.63085595914</v>
      </c>
      <c r="AD44" s="31">
        <f t="shared" si="10"/>
        <v>158677.67231817511</v>
      </c>
      <c r="AE44" s="31">
        <f t="shared" si="10"/>
        <v>163523.93719850993</v>
      </c>
      <c r="AF44" s="31">
        <f t="shared" si="10"/>
        <v>8.7311491370201108E-13</v>
      </c>
      <c r="AG44" s="31">
        <f t="shared" si="10"/>
        <v>0</v>
      </c>
      <c r="AH44" s="31">
        <f t="shared" si="10"/>
        <v>0</v>
      </c>
      <c r="AI44" s="31">
        <f t="shared" si="10"/>
        <v>0</v>
      </c>
      <c r="AJ44" s="31">
        <f t="shared" si="10"/>
        <v>0</v>
      </c>
    </row>
    <row r="45" spans="2:36" s="1" customFormat="1" x14ac:dyDescent="0.2">
      <c r="E45" s="54"/>
    </row>
    <row r="46" spans="2:36" s="1" customFormat="1" x14ac:dyDescent="0.2">
      <c r="B46" s="1" t="s">
        <v>128</v>
      </c>
      <c r="E46" s="54"/>
      <c r="G46" s="29">
        <f>G87</f>
        <v>-72796.189104445948</v>
      </c>
      <c r="H46" s="29">
        <f t="shared" ref="H46:AJ46" si="11">H87</f>
        <v>-77891.922341757148</v>
      </c>
      <c r="I46" s="29">
        <f t="shared" si="11"/>
        <v>-83344.356905680164</v>
      </c>
      <c r="J46" s="29">
        <f t="shared" si="11"/>
        <v>-89178.461889077778</v>
      </c>
      <c r="K46" s="29">
        <f t="shared" si="11"/>
        <v>-95420.954221313223</v>
      </c>
      <c r="L46" s="29">
        <f t="shared" si="11"/>
        <v>-102100.42101680515</v>
      </c>
      <c r="M46" s="29">
        <f t="shared" si="11"/>
        <v>-109247.45048798151</v>
      </c>
      <c r="N46" s="29">
        <f t="shared" si="11"/>
        <v>-116894.77202214021</v>
      </c>
      <c r="O46" s="29">
        <f t="shared" si="11"/>
        <v>-125077.40606369002</v>
      </c>
      <c r="P46" s="29">
        <f t="shared" si="11"/>
        <v>-133832.82448814833</v>
      </c>
      <c r="Q46" s="29">
        <f t="shared" si="11"/>
        <v>-143201.12220231871</v>
      </c>
      <c r="R46" s="29">
        <f t="shared" si="11"/>
        <v>-153225.20075648103</v>
      </c>
      <c r="S46" s="29">
        <f t="shared" si="11"/>
        <v>-163950.96480943469</v>
      </c>
      <c r="T46" s="29">
        <f t="shared" si="11"/>
        <v>-175427.5323460951</v>
      </c>
      <c r="U46" s="29">
        <f t="shared" si="11"/>
        <v>-187707.45961032179</v>
      </c>
      <c r="V46" s="29">
        <f t="shared" si="11"/>
        <v>-200846.98178304429</v>
      </c>
      <c r="W46" s="29">
        <f t="shared" si="11"/>
        <v>-214906.27050785741</v>
      </c>
      <c r="X46" s="29">
        <f t="shared" si="11"/>
        <v>-229949.70944340742</v>
      </c>
      <c r="Y46" s="29">
        <f t="shared" si="11"/>
        <v>0</v>
      </c>
      <c r="Z46" s="29">
        <f t="shared" si="11"/>
        <v>0</v>
      </c>
      <c r="AA46" s="29">
        <f t="shared" si="11"/>
        <v>0</v>
      </c>
      <c r="AB46" s="29">
        <f t="shared" si="11"/>
        <v>0</v>
      </c>
      <c r="AC46" s="29">
        <f t="shared" si="11"/>
        <v>0</v>
      </c>
      <c r="AD46" s="29">
        <f t="shared" si="11"/>
        <v>0</v>
      </c>
      <c r="AE46" s="29">
        <f t="shared" si="11"/>
        <v>0</v>
      </c>
      <c r="AF46" s="29">
        <f t="shared" si="11"/>
        <v>0</v>
      </c>
      <c r="AG46" s="29">
        <f t="shared" si="11"/>
        <v>0</v>
      </c>
      <c r="AH46" s="29">
        <f t="shared" si="11"/>
        <v>0</v>
      </c>
      <c r="AI46" s="29">
        <f t="shared" si="11"/>
        <v>0</v>
      </c>
      <c r="AJ46" s="29">
        <f t="shared" si="11"/>
        <v>0</v>
      </c>
    </row>
    <row r="47" spans="2:36" s="1" customFormat="1" x14ac:dyDescent="0.2">
      <c r="B47" s="1" t="s">
        <v>210</v>
      </c>
      <c r="E47" s="54"/>
      <c r="G47" s="29">
        <f>-G200</f>
        <v>-57444.444444444445</v>
      </c>
      <c r="H47" s="29">
        <f t="shared" ref="H47:AJ47" si="12">-H200</f>
        <v>-57444.444444444445</v>
      </c>
      <c r="I47" s="29">
        <f t="shared" si="12"/>
        <v>-57444.444444444445</v>
      </c>
      <c r="J47" s="29">
        <f t="shared" si="12"/>
        <v>-57444.444444444445</v>
      </c>
      <c r="K47" s="29">
        <f t="shared" si="12"/>
        <v>-57444.444444444445</v>
      </c>
      <c r="L47" s="29">
        <f t="shared" si="12"/>
        <v>-57444.444444444445</v>
      </c>
      <c r="M47" s="29">
        <f t="shared" si="12"/>
        <v>-57444.444444444445</v>
      </c>
      <c r="N47" s="29">
        <f t="shared" si="12"/>
        <v>-57444.444444444445</v>
      </c>
      <c r="O47" s="29">
        <f t="shared" si="12"/>
        <v>-57444.444444444445</v>
      </c>
      <c r="P47" s="29">
        <f t="shared" si="12"/>
        <v>517000</v>
      </c>
      <c r="Q47" s="29">
        <f t="shared" si="12"/>
        <v>-59888.888888888891</v>
      </c>
      <c r="R47" s="29">
        <f t="shared" si="12"/>
        <v>-59888.888888888891</v>
      </c>
      <c r="S47" s="29">
        <f t="shared" si="12"/>
        <v>-59888.888888888891</v>
      </c>
      <c r="T47" s="29">
        <f t="shared" si="12"/>
        <v>-59888.888888888891</v>
      </c>
      <c r="U47" s="29">
        <f t="shared" si="12"/>
        <v>-59888.888888888891</v>
      </c>
      <c r="V47" s="29">
        <f t="shared" si="12"/>
        <v>-59888.888888888891</v>
      </c>
      <c r="W47" s="29">
        <f t="shared" si="12"/>
        <v>-59888.888888888891</v>
      </c>
      <c r="X47" s="29">
        <f t="shared" si="12"/>
        <v>-59888.888888888891</v>
      </c>
      <c r="Y47" s="29">
        <f t="shared" si="12"/>
        <v>63134.205663334098</v>
      </c>
      <c r="Z47" s="29">
        <f t="shared" si="12"/>
        <v>539000</v>
      </c>
      <c r="AA47" s="29">
        <f t="shared" si="12"/>
        <v>0</v>
      </c>
      <c r="AB47" s="29">
        <f t="shared" si="12"/>
        <v>0</v>
      </c>
      <c r="AC47" s="29">
        <f t="shared" si="12"/>
        <v>0</v>
      </c>
      <c r="AD47" s="29">
        <f t="shared" si="12"/>
        <v>0</v>
      </c>
      <c r="AE47" s="29">
        <f t="shared" si="12"/>
        <v>80828.473826683039</v>
      </c>
      <c r="AF47" s="29">
        <f t="shared" si="12"/>
        <v>0</v>
      </c>
      <c r="AG47" s="29">
        <f t="shared" si="12"/>
        <v>0</v>
      </c>
      <c r="AH47" s="29">
        <f t="shared" si="12"/>
        <v>0</v>
      </c>
      <c r="AI47" s="29">
        <f t="shared" si="12"/>
        <v>0</v>
      </c>
      <c r="AJ47" s="29">
        <f t="shared" si="12"/>
        <v>0</v>
      </c>
    </row>
    <row r="48" spans="2:36" s="1" customFormat="1" x14ac:dyDescent="0.2">
      <c r="B48" s="27" t="s">
        <v>211</v>
      </c>
      <c r="C48" s="27"/>
      <c r="D48" s="27"/>
      <c r="E48" s="57"/>
      <c r="F48" s="27"/>
      <c r="G48" s="30">
        <f>MIN(G195,0)</f>
        <v>0</v>
      </c>
      <c r="H48" s="30">
        <f t="shared" ref="H48:AJ48" si="13">MIN(H195,0)</f>
        <v>0</v>
      </c>
      <c r="I48" s="30">
        <f t="shared" si="13"/>
        <v>0</v>
      </c>
      <c r="J48" s="30">
        <f t="shared" si="13"/>
        <v>0</v>
      </c>
      <c r="K48" s="30">
        <f t="shared" si="13"/>
        <v>0</v>
      </c>
      <c r="L48" s="30">
        <f t="shared" si="13"/>
        <v>0</v>
      </c>
      <c r="M48" s="30">
        <f t="shared" si="13"/>
        <v>0</v>
      </c>
      <c r="N48" s="30">
        <f t="shared" si="13"/>
        <v>0</v>
      </c>
      <c r="O48" s="30">
        <f t="shared" si="13"/>
        <v>0</v>
      </c>
      <c r="P48" s="30">
        <f t="shared" si="13"/>
        <v>-517000</v>
      </c>
      <c r="Q48" s="30">
        <f t="shared" si="13"/>
        <v>0</v>
      </c>
      <c r="R48" s="30">
        <f t="shared" si="13"/>
        <v>0</v>
      </c>
      <c r="S48" s="30">
        <f t="shared" si="13"/>
        <v>0</v>
      </c>
      <c r="T48" s="30">
        <f t="shared" si="13"/>
        <v>0</v>
      </c>
      <c r="U48" s="30">
        <f t="shared" si="13"/>
        <v>0</v>
      </c>
      <c r="V48" s="30">
        <f t="shared" si="13"/>
        <v>0</v>
      </c>
      <c r="W48" s="30">
        <f t="shared" si="13"/>
        <v>0</v>
      </c>
      <c r="X48" s="30">
        <f t="shared" si="13"/>
        <v>0</v>
      </c>
      <c r="Y48" s="30">
        <f t="shared" si="13"/>
        <v>0</v>
      </c>
      <c r="Z48" s="30">
        <f t="shared" si="13"/>
        <v>-539000</v>
      </c>
      <c r="AA48" s="30">
        <f t="shared" si="13"/>
        <v>0</v>
      </c>
      <c r="AB48" s="30">
        <f t="shared" si="13"/>
        <v>0</v>
      </c>
      <c r="AC48" s="30">
        <f t="shared" si="13"/>
        <v>0</v>
      </c>
      <c r="AD48" s="30">
        <f t="shared" si="13"/>
        <v>0</v>
      </c>
      <c r="AE48" s="30">
        <f t="shared" si="13"/>
        <v>0</v>
      </c>
      <c r="AF48" s="30">
        <f t="shared" si="13"/>
        <v>0</v>
      </c>
      <c r="AG48" s="30">
        <f t="shared" si="13"/>
        <v>0</v>
      </c>
      <c r="AH48" s="30">
        <f t="shared" si="13"/>
        <v>0</v>
      </c>
      <c r="AI48" s="30">
        <f t="shared" si="13"/>
        <v>0</v>
      </c>
      <c r="AJ48" s="30">
        <f t="shared" si="13"/>
        <v>0</v>
      </c>
    </row>
    <row r="49" spans="2:36" s="1" customFormat="1" ht="15.75" x14ac:dyDescent="0.25">
      <c r="B49" s="34" t="s">
        <v>77</v>
      </c>
      <c r="C49" s="34"/>
      <c r="D49" s="34"/>
      <c r="E49" s="289"/>
      <c r="F49" s="289"/>
      <c r="G49" s="31">
        <f>G44+SUM(G46:G48)</f>
        <v>503558.54319015727</v>
      </c>
      <c r="H49" s="31">
        <f t="shared" ref="H49:AJ49" si="14">H44+SUM(H46:H48)</f>
        <v>522306.6919700912</v>
      </c>
      <c r="I49" s="31">
        <f t="shared" si="14"/>
        <v>540740.93923728936</v>
      </c>
      <c r="J49" s="31">
        <f t="shared" si="14"/>
        <v>558914.03169466672</v>
      </c>
      <c r="K49" s="31">
        <f t="shared" si="14"/>
        <v>576873.75655154022</v>
      </c>
      <c r="L49" s="31">
        <f t="shared" si="14"/>
        <v>594663.44212045404</v>
      </c>
      <c r="M49" s="31">
        <f t="shared" si="14"/>
        <v>612322.40842278861</v>
      </c>
      <c r="N49" s="31">
        <f t="shared" si="14"/>
        <v>629886.37280328525</v>
      </c>
      <c r="O49" s="31">
        <f t="shared" si="14"/>
        <v>647387.81505361514</v>
      </c>
      <c r="P49" s="31">
        <f t="shared" si="14"/>
        <v>716556.30609512725</v>
      </c>
      <c r="Q49" s="31">
        <f t="shared" si="14"/>
        <v>668409.91497702012</v>
      </c>
      <c r="R49" s="31">
        <f t="shared" si="14"/>
        <v>685939.91969279654</v>
      </c>
      <c r="S49" s="31">
        <f t="shared" si="14"/>
        <v>703511.04698981484</v>
      </c>
      <c r="T49" s="31">
        <f t="shared" si="14"/>
        <v>721143.91049594595</v>
      </c>
      <c r="U49" s="31">
        <f t="shared" si="14"/>
        <v>738857.42733274365</v>
      </c>
      <c r="V49" s="31">
        <f t="shared" si="14"/>
        <v>756668.99314538518</v>
      </c>
      <c r="W49" s="31">
        <f t="shared" si="14"/>
        <v>774594.6397088588</v>
      </c>
      <c r="X49" s="31">
        <f t="shared" si="14"/>
        <v>792649.17685393221</v>
      </c>
      <c r="Y49" s="31">
        <f t="shared" si="14"/>
        <v>1178685.3729932613</v>
      </c>
      <c r="Z49" s="31">
        <f t="shared" si="14"/>
        <v>1126684.5338953084</v>
      </c>
      <c r="AA49" s="31">
        <f t="shared" si="14"/>
        <v>142249.48171302432</v>
      </c>
      <c r="AB49" s="31">
        <f t="shared" si="14"/>
        <v>147645.82768288866</v>
      </c>
      <c r="AC49" s="31">
        <f t="shared" si="14"/>
        <v>153118.63085595914</v>
      </c>
      <c r="AD49" s="31">
        <f t="shared" si="14"/>
        <v>158677.67231817511</v>
      </c>
      <c r="AE49" s="31">
        <f t="shared" si="14"/>
        <v>244352.41102519297</v>
      </c>
      <c r="AF49" s="31">
        <f t="shared" si="14"/>
        <v>8.7311491370201108E-13</v>
      </c>
      <c r="AG49" s="31">
        <f t="shared" si="14"/>
        <v>0</v>
      </c>
      <c r="AH49" s="31">
        <f t="shared" si="14"/>
        <v>0</v>
      </c>
      <c r="AI49" s="31">
        <f t="shared" si="14"/>
        <v>0</v>
      </c>
      <c r="AJ49" s="31">
        <f t="shared" si="14"/>
        <v>0</v>
      </c>
    </row>
    <row r="50" spans="2:36" s="1" customFormat="1" ht="15.75" x14ac:dyDescent="0.25">
      <c r="B50" s="24"/>
      <c r="C50" s="24"/>
      <c r="D50" s="24"/>
      <c r="G50" s="29"/>
    </row>
    <row r="51" spans="2:36" s="1" customFormat="1" ht="15.75" x14ac:dyDescent="0.25">
      <c r="B51" s="15" t="s">
        <v>78</v>
      </c>
      <c r="C51" s="15"/>
      <c r="D51" s="15"/>
      <c r="F51" s="62"/>
      <c r="G51" s="29"/>
    </row>
    <row r="52" spans="2:36" s="1" customFormat="1" x14ac:dyDescent="0.2">
      <c r="B52" s="1" t="s">
        <v>286</v>
      </c>
      <c r="F52" s="29">
        <f>-(Inputs!$G$26-Inputs!G69-$F$82)</f>
        <v>-3371851.5683789058</v>
      </c>
      <c r="G52" s="29">
        <v>0</v>
      </c>
      <c r="H52" s="29">
        <v>0</v>
      </c>
      <c r="I52" s="29">
        <v>0</v>
      </c>
      <c r="J52" s="29">
        <v>0</v>
      </c>
      <c r="K52" s="29">
        <v>0</v>
      </c>
      <c r="L52" s="29">
        <v>0</v>
      </c>
      <c r="M52" s="29">
        <v>0</v>
      </c>
      <c r="N52" s="29">
        <v>0</v>
      </c>
      <c r="O52" s="29">
        <v>0</v>
      </c>
      <c r="P52" s="29">
        <v>0</v>
      </c>
      <c r="Q52" s="29">
        <v>0</v>
      </c>
      <c r="R52" s="29">
        <v>0</v>
      </c>
      <c r="S52" s="29">
        <v>0</v>
      </c>
      <c r="T52" s="29">
        <v>0</v>
      </c>
      <c r="U52" s="29">
        <v>0</v>
      </c>
      <c r="V52" s="29">
        <v>0</v>
      </c>
      <c r="W52" s="29">
        <v>0</v>
      </c>
      <c r="X52" s="29">
        <v>0</v>
      </c>
      <c r="Y52" s="29">
        <v>0</v>
      </c>
      <c r="Z52" s="29">
        <v>0</v>
      </c>
      <c r="AA52" s="29">
        <v>0</v>
      </c>
      <c r="AB52" s="29">
        <v>0</v>
      </c>
      <c r="AC52" s="29">
        <v>0</v>
      </c>
      <c r="AD52" s="29">
        <v>0</v>
      </c>
      <c r="AE52" s="29">
        <v>0</v>
      </c>
      <c r="AF52" s="29">
        <v>0</v>
      </c>
      <c r="AG52" s="29">
        <v>0</v>
      </c>
      <c r="AH52" s="29">
        <v>0</v>
      </c>
      <c r="AI52" s="29">
        <v>0</v>
      </c>
      <c r="AJ52" s="29">
        <v>0</v>
      </c>
    </row>
    <row r="53" spans="2:36" s="1" customFormat="1" x14ac:dyDescent="0.2">
      <c r="B53" s="27" t="s">
        <v>77</v>
      </c>
      <c r="C53" s="27"/>
      <c r="D53" s="27"/>
      <c r="E53" s="27"/>
      <c r="F53" s="27"/>
      <c r="G53" s="30">
        <f>G49</f>
        <v>503558.54319015727</v>
      </c>
      <c r="H53" s="30">
        <f t="shared" ref="H53:AJ53" si="15">H49</f>
        <v>522306.6919700912</v>
      </c>
      <c r="I53" s="30">
        <f t="shared" si="15"/>
        <v>540740.93923728936</v>
      </c>
      <c r="J53" s="30">
        <f t="shared" si="15"/>
        <v>558914.03169466672</v>
      </c>
      <c r="K53" s="30">
        <f t="shared" si="15"/>
        <v>576873.75655154022</v>
      </c>
      <c r="L53" s="30">
        <f t="shared" si="15"/>
        <v>594663.44212045404</v>
      </c>
      <c r="M53" s="30">
        <f t="shared" si="15"/>
        <v>612322.40842278861</v>
      </c>
      <c r="N53" s="30">
        <f t="shared" si="15"/>
        <v>629886.37280328525</v>
      </c>
      <c r="O53" s="30">
        <f t="shared" si="15"/>
        <v>647387.81505361514</v>
      </c>
      <c r="P53" s="30">
        <f t="shared" si="15"/>
        <v>716556.30609512725</v>
      </c>
      <c r="Q53" s="30">
        <f t="shared" si="15"/>
        <v>668409.91497702012</v>
      </c>
      <c r="R53" s="30">
        <f t="shared" si="15"/>
        <v>685939.91969279654</v>
      </c>
      <c r="S53" s="30">
        <f t="shared" si="15"/>
        <v>703511.04698981484</v>
      </c>
      <c r="T53" s="30">
        <f t="shared" si="15"/>
        <v>721143.91049594595</v>
      </c>
      <c r="U53" s="30">
        <f t="shared" si="15"/>
        <v>738857.42733274365</v>
      </c>
      <c r="V53" s="30">
        <f t="shared" si="15"/>
        <v>756668.99314538518</v>
      </c>
      <c r="W53" s="30">
        <f t="shared" si="15"/>
        <v>774594.6397088588</v>
      </c>
      <c r="X53" s="30">
        <f t="shared" si="15"/>
        <v>792649.17685393221</v>
      </c>
      <c r="Y53" s="30">
        <f t="shared" si="15"/>
        <v>1178685.3729932613</v>
      </c>
      <c r="Z53" s="30">
        <f t="shared" si="15"/>
        <v>1126684.5338953084</v>
      </c>
      <c r="AA53" s="30">
        <f t="shared" si="15"/>
        <v>142249.48171302432</v>
      </c>
      <c r="AB53" s="30">
        <f t="shared" si="15"/>
        <v>147645.82768288866</v>
      </c>
      <c r="AC53" s="30">
        <f t="shared" si="15"/>
        <v>153118.63085595914</v>
      </c>
      <c r="AD53" s="30">
        <f t="shared" si="15"/>
        <v>158677.67231817511</v>
      </c>
      <c r="AE53" s="30">
        <f t="shared" si="15"/>
        <v>244352.41102519297</v>
      </c>
      <c r="AF53" s="30">
        <f t="shared" si="15"/>
        <v>8.7311491370201108E-13</v>
      </c>
      <c r="AG53" s="30">
        <f t="shared" si="15"/>
        <v>0</v>
      </c>
      <c r="AH53" s="30">
        <f t="shared" si="15"/>
        <v>0</v>
      </c>
      <c r="AI53" s="30">
        <f t="shared" si="15"/>
        <v>0</v>
      </c>
      <c r="AJ53" s="30">
        <f t="shared" si="15"/>
        <v>0</v>
      </c>
    </row>
    <row r="54" spans="2:36" s="1" customFormat="1" ht="15.75" x14ac:dyDescent="0.25">
      <c r="B54" s="34" t="s">
        <v>130</v>
      </c>
      <c r="C54" s="34"/>
      <c r="D54" s="34"/>
      <c r="E54" s="348"/>
      <c r="F54" s="29">
        <f t="shared" ref="F54:AJ54" si="16">SUM(F52:F53)</f>
        <v>-3371851.5683789058</v>
      </c>
      <c r="G54" s="29">
        <f t="shared" si="16"/>
        <v>503558.54319015727</v>
      </c>
      <c r="H54" s="29">
        <f t="shared" si="16"/>
        <v>522306.6919700912</v>
      </c>
      <c r="I54" s="29">
        <f t="shared" si="16"/>
        <v>540740.93923728936</v>
      </c>
      <c r="J54" s="29">
        <f t="shared" si="16"/>
        <v>558914.03169466672</v>
      </c>
      <c r="K54" s="29">
        <f t="shared" si="16"/>
        <v>576873.75655154022</v>
      </c>
      <c r="L54" s="29">
        <f t="shared" si="16"/>
        <v>594663.44212045404</v>
      </c>
      <c r="M54" s="29">
        <f t="shared" si="16"/>
        <v>612322.40842278861</v>
      </c>
      <c r="N54" s="29">
        <f t="shared" si="16"/>
        <v>629886.37280328525</v>
      </c>
      <c r="O54" s="29">
        <f t="shared" si="16"/>
        <v>647387.81505361514</v>
      </c>
      <c r="P54" s="29">
        <f t="shared" si="16"/>
        <v>716556.30609512725</v>
      </c>
      <c r="Q54" s="29">
        <f t="shared" si="16"/>
        <v>668409.91497702012</v>
      </c>
      <c r="R54" s="29">
        <f t="shared" si="16"/>
        <v>685939.91969279654</v>
      </c>
      <c r="S54" s="29">
        <f t="shared" si="16"/>
        <v>703511.04698981484</v>
      </c>
      <c r="T54" s="29">
        <f t="shared" si="16"/>
        <v>721143.91049594595</v>
      </c>
      <c r="U54" s="29">
        <f t="shared" si="16"/>
        <v>738857.42733274365</v>
      </c>
      <c r="V54" s="29">
        <f t="shared" si="16"/>
        <v>756668.99314538518</v>
      </c>
      <c r="W54" s="29">
        <f t="shared" si="16"/>
        <v>774594.6397088588</v>
      </c>
      <c r="X54" s="29">
        <f t="shared" si="16"/>
        <v>792649.17685393221</v>
      </c>
      <c r="Y54" s="29">
        <f t="shared" si="16"/>
        <v>1178685.3729932613</v>
      </c>
      <c r="Z54" s="29">
        <f t="shared" si="16"/>
        <v>1126684.5338953084</v>
      </c>
      <c r="AA54" s="29">
        <f t="shared" si="16"/>
        <v>142249.48171302432</v>
      </c>
      <c r="AB54" s="29">
        <f t="shared" si="16"/>
        <v>147645.82768288866</v>
      </c>
      <c r="AC54" s="29">
        <f t="shared" si="16"/>
        <v>153118.63085595914</v>
      </c>
      <c r="AD54" s="29">
        <f t="shared" si="16"/>
        <v>158677.67231817511</v>
      </c>
      <c r="AE54" s="29">
        <f t="shared" si="16"/>
        <v>244352.41102519297</v>
      </c>
      <c r="AF54" s="29">
        <f t="shared" si="16"/>
        <v>8.7311491370201108E-13</v>
      </c>
      <c r="AG54" s="29">
        <f t="shared" si="16"/>
        <v>0</v>
      </c>
      <c r="AH54" s="29">
        <f t="shared" si="16"/>
        <v>0</v>
      </c>
      <c r="AI54" s="29">
        <f t="shared" si="16"/>
        <v>0</v>
      </c>
      <c r="AJ54" s="29">
        <f t="shared" si="16"/>
        <v>0</v>
      </c>
    </row>
    <row r="55" spans="2:36" s="1" customFormat="1" x14ac:dyDescent="0.2">
      <c r="B55" s="35" t="s">
        <v>79</v>
      </c>
      <c r="C55" s="35"/>
      <c r="D55" s="35"/>
      <c r="E55" s="29"/>
      <c r="F55" s="60"/>
      <c r="G55" s="331">
        <f>IF(ISERROR(IRR($F54:G54)),"NA",IRR($F54:G54))</f>
        <v>-0.85065815235981623</v>
      </c>
      <c r="H55" s="331">
        <f>IF(ISERROR(IRR($F54:H54)),"NA",IRR($F54:H54))</f>
        <v>-0.52473228577743258</v>
      </c>
      <c r="I55" s="331">
        <f>IF(ISERROR(IRR($F54:I54)),"NA",IRR($F54:I54))</f>
        <v>-0.30092547618662713</v>
      </c>
      <c r="J55" s="331">
        <f>IF(ISERROR(IRR($F54:J54)),"NA",IRR($F54:J54))</f>
        <v>-0.15974807726122853</v>
      </c>
      <c r="K55" s="331">
        <f>IF(ISERROR(IRR($F54:K54)),"NA",IRR($F54:K54))</f>
        <v>-6.8101909925190829E-2</v>
      </c>
      <c r="L55" s="331">
        <f>IF(ISERROR(IRR($F54:L54)),"NA",IRR($F54:L54))</f>
        <v>-6.201853358988707E-3</v>
      </c>
      <c r="M55" s="331">
        <f>IF(ISERROR(IRR($F54:M54)),"NA",IRR($F54:M54))</f>
        <v>3.7131954902112074E-2</v>
      </c>
      <c r="N55" s="331">
        <f>IF(ISERROR(IRR($F54:N54)),"NA",IRR($F54:N54))</f>
        <v>6.8396516330873736E-2</v>
      </c>
      <c r="O55" s="331">
        <f>IF(ISERROR(IRR($F54:O54)),"NA",IRR($F54:O54))</f>
        <v>9.1524860844879985E-2</v>
      </c>
      <c r="P55" s="331">
        <f>IF(ISERROR(IRR($F54:P54)),"NA",IRR($F54:P54))</f>
        <v>0.1102172028713555</v>
      </c>
      <c r="Q55" s="331">
        <f>IF(ISERROR(IRR($F54:Q54)),"NA",IRR($F54:Q54))</f>
        <v>0.12321679814608522</v>
      </c>
      <c r="R55" s="331">
        <f>IF(ISERROR(IRR($F54:R54)),"NA",IRR($F54:R54))</f>
        <v>0.13340559521557283</v>
      </c>
      <c r="S55" s="331">
        <f>IF(ISERROR(IRR($F54:S54)),"NA",IRR($F54:S54))</f>
        <v>0.14148256191935715</v>
      </c>
      <c r="T55" s="331">
        <f>IF(ISERROR(IRR($F54:T54)),"NA",IRR($F54:T54))</f>
        <v>0.14794950364596526</v>
      </c>
      <c r="U55" s="331">
        <f>IF(ISERROR(IRR($F54:U54)),"NA",IRR($F54:U54))</f>
        <v>0.15317271241534813</v>
      </c>
      <c r="V55" s="331">
        <f>IF(ISERROR(IRR($F54:V54)),"NA",IRR($F54:V54))</f>
        <v>0.15742376266643365</v>
      </c>
      <c r="W55" s="331">
        <f>IF(ISERROR(IRR($F54:W54)),"NA",IRR($F54:W54))</f>
        <v>0.16090690773601213</v>
      </c>
      <c r="X55" s="331">
        <f>IF(ISERROR(IRR($F54:X54)),"NA",IRR($F54:X54))</f>
        <v>0.1637777836350307</v>
      </c>
      <c r="Y55" s="331">
        <f>IF(ISERROR(IRR($F54:Y54)),"NA",IRR($F54:Y54))</f>
        <v>0.16719360481181611</v>
      </c>
      <c r="Z55" s="331">
        <f>IF(ISERROR(IRR($F54:Z54)),"NA",IRR($F54:Z54))</f>
        <v>0.16979791087202734</v>
      </c>
      <c r="AA55" s="331">
        <f>IF(ISERROR(IRR($F54:AA54)),"NA",IRR($F54:AA54))</f>
        <v>0.17006925413994978</v>
      </c>
      <c r="AB55" s="331">
        <f>IF(ISERROR(IRR($F54:AB54)),"NA",IRR($F54:AB54))</f>
        <v>0.17030831268021451</v>
      </c>
      <c r="AC55" s="331">
        <f>IF(ISERROR(IRR($F54:AC54)),"NA",IRR($F54:AC54))</f>
        <v>0.17051880158531785</v>
      </c>
      <c r="AD55" s="331">
        <f>IF(ISERROR(IRR($F54:AD54)),"NA",IRR($F54:AD54))</f>
        <v>0.17070404678333095</v>
      </c>
      <c r="AE55" s="331">
        <f>IF(ISERROR(IRR($F54:AE54)),"NA",IRR($F54:AE54))</f>
        <v>0.17094605637644467</v>
      </c>
      <c r="AF55" s="331">
        <f>IF(ISERROR(IRR($F54:AF54)),"NA",IRR($F54:AF54))</f>
        <v>0.17094605637644467</v>
      </c>
      <c r="AG55" s="331">
        <f>IF(ISERROR(IRR($F54:AG54)),"NA",IRR($F54:AG54))</f>
        <v>0.17094605637644467</v>
      </c>
      <c r="AH55" s="331">
        <f>IF(ISERROR(IRR($F54:AH54)),"NA",IRR($F54:AH54))</f>
        <v>0.17094605637644467</v>
      </c>
      <c r="AI55" s="331">
        <f>IF(ISERROR(IRR($F54:AI54)),"NA",IRR($F54:AI54))</f>
        <v>0.17094605637644467</v>
      </c>
      <c r="AJ55" s="331">
        <f>IF(ISERROR(IRR($F54:AJ54)),"NA",IRR($F54:AJ54))</f>
        <v>0.17094605637644467</v>
      </c>
    </row>
    <row r="56" spans="2:36" s="1" customFormat="1" x14ac:dyDescent="0.2">
      <c r="B56" s="35"/>
      <c r="C56" s="35"/>
      <c r="D56" s="35"/>
      <c r="E56" s="29"/>
      <c r="F56" s="60"/>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row>
    <row r="57" spans="2:36" s="1" customFormat="1" x14ac:dyDescent="0.2">
      <c r="B57" s="340" t="s">
        <v>161</v>
      </c>
      <c r="C57" s="340"/>
      <c r="D57" s="340"/>
      <c r="E57" s="27"/>
      <c r="F57" s="296"/>
      <c r="G57" s="30">
        <f t="shared" ref="G57:AJ57" si="17">-G136</f>
        <v>-3054297.5946585461</v>
      </c>
      <c r="H57" s="30">
        <f t="shared" si="17"/>
        <v>-607660.86247063137</v>
      </c>
      <c r="I57" s="30">
        <f t="shared" si="17"/>
        <v>-386919.89469019172</v>
      </c>
      <c r="J57" s="30">
        <f t="shared" si="17"/>
        <v>-253781.8436749769</v>
      </c>
      <c r="K57" s="30">
        <f t="shared" si="17"/>
        <v>-251874.80022086174</v>
      </c>
      <c r="L57" s="30">
        <f t="shared" si="17"/>
        <v>-151866.46947129193</v>
      </c>
      <c r="M57" s="30">
        <f t="shared" si="17"/>
        <v>-52774.510251621607</v>
      </c>
      <c r="N57" s="30">
        <f t="shared" si="17"/>
        <v>-52774.510251621607</v>
      </c>
      <c r="O57" s="30">
        <f t="shared" si="17"/>
        <v>-52799.277049726996</v>
      </c>
      <c r="P57" s="30">
        <f t="shared" si="17"/>
        <v>-156174.5102516216</v>
      </c>
      <c r="Q57" s="30">
        <f t="shared" si="17"/>
        <v>-218239.27704972698</v>
      </c>
      <c r="R57" s="30">
        <f t="shared" si="17"/>
        <v>-151990.3525886389</v>
      </c>
      <c r="S57" s="30">
        <f t="shared" si="17"/>
        <v>-112309.5193867443</v>
      </c>
      <c r="T57" s="30">
        <f t="shared" si="17"/>
        <v>-112284.75258863892</v>
      </c>
      <c r="U57" s="30">
        <f t="shared" si="17"/>
        <v>-82530.319386744304</v>
      </c>
      <c r="V57" s="30">
        <f t="shared" si="17"/>
        <v>-29383.645374307671</v>
      </c>
      <c r="W57" s="30">
        <f t="shared" si="17"/>
        <v>-6040.9381599764311</v>
      </c>
      <c r="X57" s="30">
        <f t="shared" si="17"/>
        <v>-6040.9381599764311</v>
      </c>
      <c r="Y57" s="30">
        <f t="shared" si="17"/>
        <v>-6040.9381599764311</v>
      </c>
      <c r="Z57" s="30">
        <f t="shared" si="17"/>
        <v>-113840.93815997643</v>
      </c>
      <c r="AA57" s="30">
        <f t="shared" si="17"/>
        <v>-175500.46907998822</v>
      </c>
      <c r="AB57" s="30">
        <f t="shared" si="17"/>
        <v>-103488</v>
      </c>
      <c r="AC57" s="30">
        <f t="shared" si="17"/>
        <v>-62092.799999999996</v>
      </c>
      <c r="AD57" s="30">
        <f t="shared" si="17"/>
        <v>-62092.799999999996</v>
      </c>
      <c r="AE57" s="30">
        <f t="shared" si="17"/>
        <v>-31046.399999999998</v>
      </c>
      <c r="AF57" s="30">
        <f t="shared" si="17"/>
        <v>0</v>
      </c>
      <c r="AG57" s="30">
        <f t="shared" si="17"/>
        <v>0</v>
      </c>
      <c r="AH57" s="30">
        <f t="shared" si="17"/>
        <v>0</v>
      </c>
      <c r="AI57" s="30">
        <f t="shared" si="17"/>
        <v>0</v>
      </c>
      <c r="AJ57" s="30">
        <f t="shared" si="17"/>
        <v>0</v>
      </c>
    </row>
    <row r="58" spans="2:36" s="1" customFormat="1" ht="15.75" x14ac:dyDescent="0.25">
      <c r="B58" s="24" t="s">
        <v>307</v>
      </c>
      <c r="C58" s="24"/>
      <c r="D58" s="24"/>
      <c r="F58" s="61"/>
      <c r="G58" s="29">
        <f>IF(Inputs!$G$73="No",0,(G$44+G$57))</f>
        <v>-2420498.4179194984</v>
      </c>
      <c r="H58" s="29">
        <f>IF(Inputs!$G$73="No",0,(H$44+H$57))</f>
        <v>49982.196285661426</v>
      </c>
      <c r="I58" s="29">
        <f>IF(Inputs!$G$73="No",0,(I$44+I$57))</f>
        <v>294609.84589722229</v>
      </c>
      <c r="J58" s="29">
        <f>IF(Inputs!$G$73="No",0,(J$44+J$57))</f>
        <v>451755.09435321199</v>
      </c>
      <c r="K58" s="29">
        <f>IF(Inputs!$G$73="No",0,(K$44+K$57))</f>
        <v>477864.3549964361</v>
      </c>
      <c r="L58" s="29">
        <f>IF(Inputs!$G$73="No",0,(L$44+L$57))</f>
        <v>602341.83811041177</v>
      </c>
      <c r="M58" s="29">
        <f>IF(Inputs!$G$73="No",0,(M$44+M$57))</f>
        <v>726239.79310359294</v>
      </c>
      <c r="N58" s="29">
        <f>IF(Inputs!$G$73="No",0,(N$44+N$57))</f>
        <v>751451.07901824825</v>
      </c>
      <c r="O58" s="29">
        <f>IF(Inputs!$G$73="No",0,(O$44+O$57))</f>
        <v>777110.38851202256</v>
      </c>
      <c r="P58" s="29">
        <f>IF(Inputs!$G$73="No",0,(P$44+P$57))</f>
        <v>694214.62033165398</v>
      </c>
      <c r="Q58" s="29">
        <f>IF(Inputs!$G$73="No",0,(Q$44+Q$57))</f>
        <v>653260.6490185007</v>
      </c>
      <c r="R58" s="29">
        <f>IF(Inputs!$G$73="No",0,(R$44+R$57))</f>
        <v>747063.65674952755</v>
      </c>
      <c r="S58" s="29">
        <f>IF(Inputs!$G$73="No",0,(S$44+S$57))</f>
        <v>815041.3813013942</v>
      </c>
      <c r="T58" s="29">
        <f>IF(Inputs!$G$73="No",0,(T$44+T$57))</f>
        <v>844175.5791422911</v>
      </c>
      <c r="U58" s="29">
        <f>IF(Inputs!$G$73="No",0,(U$44+U$57))</f>
        <v>903923.45644521003</v>
      </c>
      <c r="V58" s="29">
        <f>IF(Inputs!$G$73="No",0,(V$44+V$57))</f>
        <v>988021.2184430107</v>
      </c>
      <c r="W58" s="29">
        <f>IF(Inputs!$G$73="No",0,(W$44+W$57))</f>
        <v>1043348.8609456287</v>
      </c>
      <c r="X58" s="29">
        <f>IF(Inputs!$G$73="No",0,(X$44+X$57))</f>
        <v>1076446.8370262522</v>
      </c>
      <c r="Y58" s="29">
        <f>IF(Inputs!$G$73="No",0,(Y$44+Y$57))</f>
        <v>1109510.2291699508</v>
      </c>
      <c r="Z58" s="29">
        <f>IF(Inputs!$G$73="No",0,(Z$44+Z$57))</f>
        <v>1012843.595735332</v>
      </c>
      <c r="AA58" s="29">
        <f>IF(Inputs!$G$73="No",0,(AA$44+AA$57))</f>
        <v>-33250.987366963906</v>
      </c>
      <c r="AB58" s="29">
        <f>IF(Inputs!$G$73="No",0,(AB$44+AB$57))</f>
        <v>44157.827682888659</v>
      </c>
      <c r="AC58" s="29">
        <f>IF(Inputs!$G$73="No",0,(AC$44+AC$57))</f>
        <v>91025.830855959153</v>
      </c>
      <c r="AD58" s="29">
        <f>IF(Inputs!$G$73="No",0,(AD$44+AD$57))</f>
        <v>96584.872318175127</v>
      </c>
      <c r="AE58" s="29">
        <f>IF(Inputs!$G$73="No",0,(AE$44+AE$57))</f>
        <v>132477.53719850993</v>
      </c>
      <c r="AF58" s="29">
        <f>IF(Inputs!$G$73="No",0,(AF$44+AF$57))</f>
        <v>8.7311491370201108E-13</v>
      </c>
      <c r="AG58" s="29">
        <f>IF(Inputs!$G$73="No",0,(AG$44+AG$57))</f>
        <v>0</v>
      </c>
      <c r="AH58" s="29">
        <f>IF(Inputs!$G$73="No",0,(AH$44+AH$57))</f>
        <v>0</v>
      </c>
      <c r="AI58" s="29">
        <f>IF(Inputs!$G$73="No",0,(AI$44+AI$57))</f>
        <v>0</v>
      </c>
      <c r="AJ58" s="29">
        <f>IF(Inputs!$G$73="No",0,(AJ$44+AJ$57))</f>
        <v>0</v>
      </c>
    </row>
    <row r="59" spans="2:36" s="1" customFormat="1" ht="15.75" x14ac:dyDescent="0.25">
      <c r="B59" s="34"/>
      <c r="C59" s="34"/>
      <c r="D59" s="34"/>
      <c r="F59" s="61"/>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row>
    <row r="60" spans="2:36" s="1" customFormat="1" ht="15.75" x14ac:dyDescent="0.25">
      <c r="B60" s="24" t="s">
        <v>369</v>
      </c>
      <c r="C60" s="24"/>
      <c r="D60" s="24"/>
      <c r="E60" s="215" t="s">
        <v>368</v>
      </c>
      <c r="F60" s="297" t="str">
        <f>Inputs!G75</f>
        <v>Carried Forward</v>
      </c>
      <c r="G60" s="29">
        <f t="shared" ref="G60:AJ60" si="18">IF($F$60="as generated",G$58,G$151)</f>
        <v>0</v>
      </c>
      <c r="H60" s="29">
        <f t="shared" si="18"/>
        <v>0</v>
      </c>
      <c r="I60" s="29">
        <f t="shared" si="18"/>
        <v>0</v>
      </c>
      <c r="J60" s="29">
        <f t="shared" si="18"/>
        <v>0</v>
      </c>
      <c r="K60" s="29">
        <f t="shared" si="18"/>
        <v>0</v>
      </c>
      <c r="L60" s="29">
        <f t="shared" si="18"/>
        <v>0</v>
      </c>
      <c r="M60" s="29">
        <f t="shared" si="18"/>
        <v>182294.70482703811</v>
      </c>
      <c r="N60" s="29">
        <f t="shared" si="18"/>
        <v>751451.07901824825</v>
      </c>
      <c r="O60" s="29">
        <f t="shared" si="18"/>
        <v>777110.38851202256</v>
      </c>
      <c r="P60" s="29">
        <f t="shared" si="18"/>
        <v>694214.62033165398</v>
      </c>
      <c r="Q60" s="29">
        <f t="shared" si="18"/>
        <v>653260.6490185007</v>
      </c>
      <c r="R60" s="29">
        <f t="shared" si="18"/>
        <v>747063.65674952755</v>
      </c>
      <c r="S60" s="29">
        <f t="shared" si="18"/>
        <v>815041.3813013942</v>
      </c>
      <c r="T60" s="29">
        <f t="shared" si="18"/>
        <v>844175.5791422911</v>
      </c>
      <c r="U60" s="29">
        <f t="shared" si="18"/>
        <v>903923.45644521003</v>
      </c>
      <c r="V60" s="29">
        <f t="shared" si="18"/>
        <v>988021.2184430107</v>
      </c>
      <c r="W60" s="29">
        <f t="shared" si="18"/>
        <v>1043348.8609456287</v>
      </c>
      <c r="X60" s="29">
        <f t="shared" si="18"/>
        <v>1076446.8370262522</v>
      </c>
      <c r="Y60" s="29">
        <f t="shared" si="18"/>
        <v>1109510.2291699508</v>
      </c>
      <c r="Z60" s="29">
        <f t="shared" si="18"/>
        <v>1012843.595735332</v>
      </c>
      <c r="AA60" s="29">
        <f t="shared" si="18"/>
        <v>0</v>
      </c>
      <c r="AB60" s="29">
        <f t="shared" si="18"/>
        <v>10906.840315924754</v>
      </c>
      <c r="AC60" s="29">
        <f t="shared" si="18"/>
        <v>91025.830855959153</v>
      </c>
      <c r="AD60" s="29">
        <f t="shared" si="18"/>
        <v>96584.872318175127</v>
      </c>
      <c r="AE60" s="29">
        <f t="shared" si="18"/>
        <v>132477.53719850993</v>
      </c>
      <c r="AF60" s="29">
        <f t="shared" si="18"/>
        <v>8.7311491370201108E-13</v>
      </c>
      <c r="AG60" s="29">
        <f t="shared" si="18"/>
        <v>0</v>
      </c>
      <c r="AH60" s="29">
        <f t="shared" si="18"/>
        <v>0</v>
      </c>
      <c r="AI60" s="29">
        <f t="shared" si="18"/>
        <v>0</v>
      </c>
      <c r="AJ60" s="29">
        <f t="shared" si="18"/>
        <v>0</v>
      </c>
    </row>
    <row r="61" spans="2:36" s="1" customFormat="1" ht="15.75" x14ac:dyDescent="0.25">
      <c r="B61" s="24" t="s">
        <v>370</v>
      </c>
      <c r="C61" s="24"/>
      <c r="D61" s="24"/>
      <c r="E61" s="215" t="s">
        <v>368</v>
      </c>
      <c r="F61" s="297" t="str">
        <f>Inputs!G77</f>
        <v>Carried Forward</v>
      </c>
      <c r="G61" s="29">
        <f t="shared" ref="G61:AJ61" si="19">IF($F$61="as generated",G$58,G$159)</f>
        <v>0</v>
      </c>
      <c r="H61" s="29">
        <f t="shared" si="19"/>
        <v>0</v>
      </c>
      <c r="I61" s="29">
        <f t="shared" si="19"/>
        <v>0</v>
      </c>
      <c r="J61" s="29">
        <f t="shared" si="19"/>
        <v>0</v>
      </c>
      <c r="K61" s="29">
        <f t="shared" si="19"/>
        <v>0</v>
      </c>
      <c r="L61" s="29">
        <f t="shared" si="19"/>
        <v>0</v>
      </c>
      <c r="M61" s="29">
        <f t="shared" si="19"/>
        <v>182294.70482703811</v>
      </c>
      <c r="N61" s="29">
        <f t="shared" si="19"/>
        <v>751451.07901824825</v>
      </c>
      <c r="O61" s="29">
        <f t="shared" si="19"/>
        <v>777110.38851202256</v>
      </c>
      <c r="P61" s="29">
        <f t="shared" si="19"/>
        <v>694214.62033165398</v>
      </c>
      <c r="Q61" s="29">
        <f t="shared" si="19"/>
        <v>653260.6490185007</v>
      </c>
      <c r="R61" s="29">
        <f t="shared" si="19"/>
        <v>747063.65674952755</v>
      </c>
      <c r="S61" s="29">
        <f t="shared" si="19"/>
        <v>815041.3813013942</v>
      </c>
      <c r="T61" s="29">
        <f t="shared" si="19"/>
        <v>844175.5791422911</v>
      </c>
      <c r="U61" s="29">
        <f t="shared" si="19"/>
        <v>903923.45644521003</v>
      </c>
      <c r="V61" s="29">
        <f t="shared" si="19"/>
        <v>988021.2184430107</v>
      </c>
      <c r="W61" s="29">
        <f t="shared" si="19"/>
        <v>1043348.8609456287</v>
      </c>
      <c r="X61" s="29">
        <f t="shared" si="19"/>
        <v>1076446.8370262522</v>
      </c>
      <c r="Y61" s="29">
        <f t="shared" si="19"/>
        <v>1109510.2291699508</v>
      </c>
      <c r="Z61" s="29">
        <f t="shared" si="19"/>
        <v>1012843.595735332</v>
      </c>
      <c r="AA61" s="29">
        <f t="shared" si="19"/>
        <v>0</v>
      </c>
      <c r="AB61" s="29">
        <f t="shared" si="19"/>
        <v>10906.840315924754</v>
      </c>
      <c r="AC61" s="29">
        <f t="shared" si="19"/>
        <v>91025.830855959153</v>
      </c>
      <c r="AD61" s="29">
        <f t="shared" si="19"/>
        <v>96584.872318175127</v>
      </c>
      <c r="AE61" s="29">
        <f t="shared" si="19"/>
        <v>132477.53719850993</v>
      </c>
      <c r="AF61" s="29">
        <f t="shared" si="19"/>
        <v>8.7311491370201108E-13</v>
      </c>
      <c r="AG61" s="29">
        <f t="shared" si="19"/>
        <v>0</v>
      </c>
      <c r="AH61" s="29">
        <f t="shared" si="19"/>
        <v>0</v>
      </c>
      <c r="AI61" s="29">
        <f t="shared" si="19"/>
        <v>0</v>
      </c>
      <c r="AJ61" s="29">
        <f t="shared" si="19"/>
        <v>0</v>
      </c>
    </row>
    <row r="62" spans="2:36" s="1" customFormat="1" x14ac:dyDescent="0.2">
      <c r="B62" s="295"/>
      <c r="C62" s="295"/>
      <c r="D62" s="295"/>
      <c r="F62" s="61"/>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row>
    <row r="63" spans="2:36" s="1" customFormat="1" x14ac:dyDescent="0.2">
      <c r="B63" s="1" t="s">
        <v>145</v>
      </c>
      <c r="E63" s="289"/>
      <c r="G63" s="29">
        <f>IF(Inputs!$G$73="No",0,-(G$60+G$64)*Inputs!$G$74)</f>
        <v>0</v>
      </c>
      <c r="H63" s="29">
        <f>IF(Inputs!$G$73="No",0,-(H$60+H$64)*Inputs!$G$74)</f>
        <v>0</v>
      </c>
      <c r="I63" s="29">
        <f>IF(Inputs!$G$73="No",0,-(I$60+I$64)*Inputs!$G$74)</f>
        <v>0</v>
      </c>
      <c r="J63" s="29">
        <f>IF(Inputs!$G$73="No",0,-(J$60+J$64)*Inputs!$G$74)</f>
        <v>0</v>
      </c>
      <c r="K63" s="29">
        <f>IF(Inputs!$G$73="No",0,-(K$60+K$64)*Inputs!$G$74)</f>
        <v>0</v>
      </c>
      <c r="L63" s="29">
        <f>IF(Inputs!$G$73="No",0,-(L$60+L$64)*Inputs!$G$74)</f>
        <v>0</v>
      </c>
      <c r="M63" s="29">
        <f>IF(Inputs!$G$73="No",0,-(M$60+M$64)*Inputs!$G$74)</f>
        <v>-58379.879220858951</v>
      </c>
      <c r="N63" s="29">
        <f>IF(Inputs!$G$73="No",0,-(N$60+N$64)*Inputs!$G$74)</f>
        <v>-240652.20805559398</v>
      </c>
      <c r="O63" s="29">
        <f>IF(Inputs!$G$73="No",0,-(O$60+O$64)*Inputs!$G$74)</f>
        <v>-248869.60192097523</v>
      </c>
      <c r="P63" s="29">
        <f>IF(Inputs!$G$73="No",0,-(P$60+P$64)*Inputs!$G$74)</f>
        <v>-222322.23216121216</v>
      </c>
      <c r="Q63" s="29">
        <f>IF(Inputs!$G$73="No",0,-(Q$60+Q$64)*Inputs!$G$74)</f>
        <v>-209206.72284817483</v>
      </c>
      <c r="R63" s="29">
        <f>IF(Inputs!$G$73="No",0,-(R$60+R$64)*Inputs!$G$74)</f>
        <v>-239247.13607403619</v>
      </c>
      <c r="S63" s="29">
        <f>IF(Inputs!$G$73="No",0,-(S$60+S$64)*Inputs!$G$74)</f>
        <v>-261017.00236177148</v>
      </c>
      <c r="T63" s="29">
        <f>IF(Inputs!$G$73="No",0,-(T$60+T$64)*Inputs!$G$74)</f>
        <v>-270347.22922031872</v>
      </c>
      <c r="U63" s="29">
        <f>IF(Inputs!$G$73="No",0,-(U$60+U$64)*Inputs!$G$74)</f>
        <v>-289481.48692657851</v>
      </c>
      <c r="V63" s="29">
        <f>IF(Inputs!$G$73="No",0,-(V$60+V$64)*Inputs!$G$74)</f>
        <v>-316413.7952063742</v>
      </c>
      <c r="W63" s="29">
        <f>IF(Inputs!$G$73="No",0,-(W$60+W$64)*Inputs!$G$74)</f>
        <v>-334132.47271783755</v>
      </c>
      <c r="X63" s="29">
        <f>IF(Inputs!$G$73="No",0,-(X$60+X$64)*Inputs!$G$74)</f>
        <v>-344732.09955765726</v>
      </c>
      <c r="Y63" s="29">
        <f>IF(Inputs!$G$73="No",0,-(Y$60+Y$64)*Inputs!$G$74)</f>
        <v>-355320.65089167672</v>
      </c>
      <c r="Z63" s="29">
        <f>IF(Inputs!$G$73="No",0,-(Z$60+Z$64)*Inputs!$G$74)</f>
        <v>-324363.16153424006</v>
      </c>
      <c r="AA63" s="29">
        <f>IF(Inputs!$G$73="No",0,-(AA$60+AA$64)*Inputs!$G$74)</f>
        <v>0</v>
      </c>
      <c r="AB63" s="29">
        <f>IF(Inputs!$G$73="No",0,-(AB$60+AB$64)*Inputs!$G$74)</f>
        <v>-3492.9156111749016</v>
      </c>
      <c r="AC63" s="29">
        <f>IF(Inputs!$G$73="No",0,-(AC$60+AC$64)*Inputs!$G$74)</f>
        <v>-29151.022331620919</v>
      </c>
      <c r="AD63" s="29">
        <f>IF(Inputs!$G$73="No",0,-(AD$60+AD$64)*Inputs!$G$74)</f>
        <v>-30931.305359895581</v>
      </c>
      <c r="AE63" s="29">
        <f>IF(Inputs!$G$73="No",0,-(AE$60+AE$64)*Inputs!$G$74)</f>
        <v>-42425.931287822801</v>
      </c>
      <c r="AF63" s="29">
        <f>IF(Inputs!$G$73="No",0,-(AF$60+AF$64)*Inputs!$G$74)</f>
        <v>-2.7961505111306905E-13</v>
      </c>
      <c r="AG63" s="29">
        <f>IF(Inputs!$G$73="No",0,-(AG$60+AG$64)*Inputs!$G$74)</f>
        <v>0</v>
      </c>
      <c r="AH63" s="29">
        <f>IF(Inputs!$G$73="No",0,-(AH$60+AH$64)*Inputs!$G$74)</f>
        <v>0</v>
      </c>
      <c r="AI63" s="29">
        <f>IF(Inputs!$G$73="No",0,-(AI$60+AI$64)*Inputs!$G$74)</f>
        <v>0</v>
      </c>
      <c r="AJ63" s="29">
        <f>IF(Inputs!$G$73="No",0,-(AJ$60+AJ$64)*Inputs!$G$74)</f>
        <v>0</v>
      </c>
    </row>
    <row r="64" spans="2:36" s="1" customFormat="1" x14ac:dyDescent="0.2">
      <c r="B64" s="1" t="s">
        <v>202</v>
      </c>
      <c r="G64" s="29">
        <f>IF(Inputs!$G$73="No",0,-(G$61-IF(AND(Inputs!$Q$38="Cash",Inputs!$Q$40="No"),'Cash Flow'!G$21,0))*Inputs!$G$76)</f>
        <v>0</v>
      </c>
      <c r="H64" s="29">
        <f>IF(Inputs!$G$73="No",0,-(H$61-IF(AND(Inputs!$Q$38="Cash",Inputs!$Q$40="No"),'Cash Flow'!H$21,0))*Inputs!$G$76)</f>
        <v>0</v>
      </c>
      <c r="I64" s="29">
        <f>IF(Inputs!$G$73="No",0,-(I$61-IF(AND(Inputs!$Q$38="Cash",Inputs!$Q$40="No"),'Cash Flow'!I$21,0))*Inputs!$G$76)</f>
        <v>0</v>
      </c>
      <c r="J64" s="29">
        <f>IF(Inputs!$G$73="No",0,-(J$61-IF(AND(Inputs!$Q$38="Cash",Inputs!$Q$40="No"),'Cash Flow'!J$21,0))*Inputs!$G$76)</f>
        <v>0</v>
      </c>
      <c r="K64" s="29">
        <f>IF(Inputs!$G$73="No",0,-(K$61-IF(AND(Inputs!$Q$38="Cash",Inputs!$Q$40="No"),'Cash Flow'!K$21,0))*Inputs!$G$76)</f>
        <v>0</v>
      </c>
      <c r="L64" s="29">
        <f>IF(Inputs!$G$73="No",0,-(L$61-IF(AND(Inputs!$Q$38="Cash",Inputs!$Q$40="No"),'Cash Flow'!L$21,0))*Inputs!$G$76)</f>
        <v>0</v>
      </c>
      <c r="M64" s="29">
        <f>IF(Inputs!$G$73="No",0,-(M$61-IF(AND(Inputs!$Q$38="Cash",Inputs!$Q$40="No"),'Cash Flow'!M$21,0))*Inputs!$G$76)</f>
        <v>-15495.049910298239</v>
      </c>
      <c r="N64" s="29">
        <f>IF(Inputs!$G$73="No",0,-(N$61-IF(AND(Inputs!$Q$38="Cash",Inputs!$Q$40="No"),'Cash Flow'!N$21,0))*Inputs!$G$76)</f>
        <v>-63873.341716551105</v>
      </c>
      <c r="O64" s="29">
        <f>IF(Inputs!$G$73="No",0,-(O$61-IF(AND(Inputs!$Q$38="Cash",Inputs!$Q$40="No"),'Cash Flow'!O$21,0))*Inputs!$G$76)</f>
        <v>-66054.383023521921</v>
      </c>
      <c r="P64" s="29">
        <f>IF(Inputs!$G$73="No",0,-(P$61-IF(AND(Inputs!$Q$38="Cash",Inputs!$Q$40="No"),'Cash Flow'!P$21,0))*Inputs!$G$76)</f>
        <v>-59008.242728190591</v>
      </c>
      <c r="Q64" s="29">
        <f>IF(Inputs!$G$73="No",0,-(Q$61-IF(AND(Inputs!$Q$38="Cash",Inputs!$Q$40="No"),'Cash Flow'!Q$21,0))*Inputs!$G$76)</f>
        <v>-55527.155166572564</v>
      </c>
      <c r="R64" s="29">
        <f>IF(Inputs!$G$73="No",0,-(R$61-IF(AND(Inputs!$Q$38="Cash",Inputs!$Q$40="No"),'Cash Flow'!R$21,0))*Inputs!$G$76)</f>
        <v>-63500.410823709848</v>
      </c>
      <c r="S64" s="29">
        <f>IF(Inputs!$G$73="No",0,-(S$61-IF(AND(Inputs!$Q$38="Cash",Inputs!$Q$40="No"),'Cash Flow'!S$21,0))*Inputs!$G$76)</f>
        <v>-69278.517410618515</v>
      </c>
      <c r="T64" s="29">
        <f>IF(Inputs!$G$73="No",0,-(T$61-IF(AND(Inputs!$Q$38="Cash",Inputs!$Q$40="No"),'Cash Flow'!T$21,0))*Inputs!$G$76)</f>
        <v>-71754.924227094743</v>
      </c>
      <c r="U64" s="29">
        <f>IF(Inputs!$G$73="No",0,-(U$61-IF(AND(Inputs!$Q$38="Cash",Inputs!$Q$40="No"),'Cash Flow'!U$21,0))*Inputs!$G$76)</f>
        <v>-76833.493797842864</v>
      </c>
      <c r="V64" s="29">
        <f>IF(Inputs!$G$73="No",0,-(V$61-IF(AND(Inputs!$Q$38="Cash",Inputs!$Q$40="No"),'Cash Flow'!V$21,0))*Inputs!$G$76)</f>
        <v>-83981.803567655908</v>
      </c>
      <c r="W64" s="29">
        <f>IF(Inputs!$G$73="No",0,-(W$61-IF(AND(Inputs!$Q$38="Cash",Inputs!$Q$40="No"),'Cash Flow'!W$21,0))*Inputs!$G$76)</f>
        <v>-88684.653180378446</v>
      </c>
      <c r="X64" s="29">
        <f>IF(Inputs!$G$73="No",0,-(X$61-IF(AND(Inputs!$Q$38="Cash",Inputs!$Q$40="No"),'Cash Flow'!X$21,0))*Inputs!$G$76)</f>
        <v>-91497.981147231447</v>
      </c>
      <c r="Y64" s="29">
        <f>IF(Inputs!$G$73="No",0,-(Y$61-IF(AND(Inputs!$Q$38="Cash",Inputs!$Q$40="No"),'Cash Flow'!Y$21,0))*Inputs!$G$76)</f>
        <v>-94308.369479445828</v>
      </c>
      <c r="Z64" s="29">
        <f>IF(Inputs!$G$73="No",0,-(Z$61-IF(AND(Inputs!$Q$38="Cash",Inputs!$Q$40="No"),'Cash Flow'!Z$21,0))*Inputs!$G$76)</f>
        <v>-86091.705637503226</v>
      </c>
      <c r="AA64" s="29">
        <f>IF(Inputs!$G$73="No",0,-(AA$61-IF(AND(Inputs!$Q$38="Cash",Inputs!$Q$40="No"),'Cash Flow'!AA$21,0))*Inputs!$G$76)</f>
        <v>0</v>
      </c>
      <c r="AB64" s="29">
        <f>IF(Inputs!$G$73="No",0,-(AB$61-IF(AND(Inputs!$Q$38="Cash",Inputs!$Q$40="No"),'Cash Flow'!AB$21,0))*Inputs!$G$76)</f>
        <v>-927.08142685360417</v>
      </c>
      <c r="AC64" s="29">
        <f>IF(Inputs!$G$73="No",0,-(AC$61-IF(AND(Inputs!$Q$38="Cash",Inputs!$Q$40="No"),'Cash Flow'!AC$21,0))*Inputs!$G$76)</f>
        <v>-7737.1956227565288</v>
      </c>
      <c r="AD64" s="29">
        <f>IF(Inputs!$G$73="No",0,-(AD$61-IF(AND(Inputs!$Q$38="Cash",Inputs!$Q$40="No"),'Cash Flow'!AD$21,0))*Inputs!$G$76)</f>
        <v>-8209.714147044886</v>
      </c>
      <c r="AE64" s="29">
        <f>IF(Inputs!$G$73="No",0,-(AE$61-IF(AND(Inputs!$Q$38="Cash",Inputs!$Q$40="No"),'Cash Flow'!AE$21,0))*Inputs!$G$76)</f>
        <v>-11260.590661873344</v>
      </c>
      <c r="AF64" s="29">
        <f>IF(Inputs!$G$73="No",0,-(AF$61-IF(AND(Inputs!$Q$38="Cash",Inputs!$Q$40="No"),'Cash Flow'!AF$21,0))*Inputs!$G$76)</f>
        <v>-7.421476766467095E-14</v>
      </c>
      <c r="AG64" s="29">
        <f>IF(Inputs!$G$73="No",0,-(AG$61-IF(AND(Inputs!$Q$38="Cash",Inputs!$Q$40="No"),'Cash Flow'!AG$21,0))*Inputs!$G$76)</f>
        <v>0</v>
      </c>
      <c r="AH64" s="29">
        <f>IF(Inputs!$G$73="No",0,-(AH$61-IF(AND(Inputs!$Q$38="Cash",Inputs!$Q$40="No"),'Cash Flow'!AH$21,0))*Inputs!$G$76)</f>
        <v>0</v>
      </c>
      <c r="AI64" s="29">
        <f>IF(Inputs!$G$73="No",0,-(AI$61-IF(AND(Inputs!$Q$38="Cash",Inputs!$Q$40="No"),'Cash Flow'!AI$21,0))*Inputs!$G$76)</f>
        <v>0</v>
      </c>
      <c r="AJ64" s="29">
        <f>IF(Inputs!$G$73="No",0,-(AJ$61-IF(AND(Inputs!$Q$38="Cash",Inputs!$Q$40="No"),'Cash Flow'!AJ$21,0))*Inputs!$G$76)</f>
        <v>0</v>
      </c>
    </row>
    <row r="65" spans="2:36" s="1" customFormat="1" x14ac:dyDescent="0.2">
      <c r="B65" s="1" t="s">
        <v>292</v>
      </c>
      <c r="E65" s="289"/>
      <c r="G65" s="29">
        <f>IF(AND(Inputs!$Q$19="Cost-Based",Inputs!$Q$20="Cash Grant",G$2=1),Inputs!$Q$23,IF(Inputs!$G$75="as generated",'Cash Flow'!G$166,-G$173))</f>
        <v>0</v>
      </c>
      <c r="H65" s="29">
        <f>IF(AND(Inputs!$Q$19="Cost-Based",Inputs!$Q$20="Cash Grant",H$2=1),Inputs!$Q$23,IF(Inputs!$G$75="as generated",'Cash Flow'!H$166,-H$173))</f>
        <v>0</v>
      </c>
      <c r="I65" s="29">
        <f>IF(AND(Inputs!$Q$19="Cost-Based",Inputs!$Q$20="Cash Grant",I$2=1),Inputs!$Q$23,IF(Inputs!$G$75="as generated",'Cash Flow'!I$166,-I$173))</f>
        <v>0</v>
      </c>
      <c r="J65" s="29">
        <f>IF(AND(Inputs!$Q$19="Cost-Based",Inputs!$Q$20="Cash Grant",J$2=1),Inputs!$Q$23,IF(Inputs!$G$75="as generated",'Cash Flow'!J$166,-J$173))</f>
        <v>0</v>
      </c>
      <c r="K65" s="29">
        <f>IF(AND(Inputs!$Q$19="Cost-Based",Inputs!$Q$20="Cash Grant",K$2=1),Inputs!$Q$23,IF(Inputs!$G$75="as generated",'Cash Flow'!K$166,-K$173))</f>
        <v>0</v>
      </c>
      <c r="L65" s="29">
        <f>IF(AND(Inputs!$Q$19="Cost-Based",Inputs!$Q$20="Cash Grant",L$2=1),Inputs!$Q$23,IF(Inputs!$G$75="as generated",'Cash Flow'!L$166,-L$173))</f>
        <v>0</v>
      </c>
      <c r="M65" s="29">
        <f>IF(AND(Inputs!$Q$19="Cost-Based",Inputs!$Q$20="Cash Grant",M$2=1),Inputs!$Q$23,IF(Inputs!$G$75="as generated",'Cash Flow'!M$166,-M$173))</f>
        <v>58379.879220858951</v>
      </c>
      <c r="N65" s="29">
        <f>IF(AND(Inputs!$Q$19="Cost-Based",Inputs!$Q$20="Cash Grant",N$2=1),Inputs!$Q$23,IF(Inputs!$G$75="as generated",'Cash Flow'!N$166,-N$173))</f>
        <v>240652.20805559398</v>
      </c>
      <c r="O65" s="29">
        <f>IF(AND(Inputs!$Q$19="Cost-Based",Inputs!$Q$20="Cash Grant",O$2=1),Inputs!$Q$23,IF(Inputs!$G$75="as generated",'Cash Flow'!O$166,-O$173))</f>
        <v>248869.60192097523</v>
      </c>
      <c r="P65" s="29">
        <f>IF(AND(Inputs!$Q$19="Cost-Based",Inputs!$Q$20="Cash Grant",P$2=1),Inputs!$Q$23,IF(Inputs!$G$75="as generated",'Cash Flow'!P$166,-P$173))</f>
        <v>222322.23216121216</v>
      </c>
      <c r="Q65" s="29">
        <f>IF(AND(Inputs!$Q$19="Cost-Based",Inputs!$Q$20="Cash Grant",Q$2=1),Inputs!$Q$23,IF(Inputs!$G$75="as generated",'Cash Flow'!Q$166,-Q$173))</f>
        <v>196976.07864135967</v>
      </c>
      <c r="R65" s="29">
        <f>IF(AND(Inputs!$Q$19="Cost-Based",Inputs!$Q$20="Cash Grant",R$2=1),Inputs!$Q$23,IF(Inputs!$G$75="as generated",'Cash Flow'!R$166,-R$173))</f>
        <v>0</v>
      </c>
      <c r="S65" s="29">
        <f>IF(AND(Inputs!$Q$19="Cost-Based",Inputs!$Q$20="Cash Grant",S$2=1),Inputs!$Q$23,IF(Inputs!$G$75="as generated",'Cash Flow'!S$166,-S$173))</f>
        <v>0</v>
      </c>
      <c r="T65" s="29">
        <f>IF(AND(Inputs!$Q$19="Cost-Based",Inputs!$Q$20="Cash Grant",T$2=1),Inputs!$Q$23,IF(Inputs!$G$75="as generated",'Cash Flow'!T$166,-T$173))</f>
        <v>0</v>
      </c>
      <c r="U65" s="29">
        <f>IF(AND(Inputs!$Q$19="Cost-Based",Inputs!$Q$20="Cash Grant",U$2=1),Inputs!$Q$23,IF(Inputs!$G$75="as generated",'Cash Flow'!U$166,-U$173))</f>
        <v>0</v>
      </c>
      <c r="V65" s="29">
        <f>IF(AND(Inputs!$Q$19="Cost-Based",Inputs!$Q$20="Cash Grant",V$2=1),Inputs!$Q$23,IF(Inputs!$G$75="as generated",'Cash Flow'!V$166,-V$173))</f>
        <v>0</v>
      </c>
      <c r="W65" s="29">
        <f>IF(AND(Inputs!$Q$19="Cost-Based",Inputs!$Q$20="Cash Grant",W$2=1),Inputs!$Q$23,IF(Inputs!$G$75="as generated",'Cash Flow'!W$166,-W$173))</f>
        <v>0</v>
      </c>
      <c r="X65" s="29">
        <f>IF(AND(Inputs!$Q$19="Cost-Based",Inputs!$Q$20="Cash Grant",X$2=1),Inputs!$Q$23,IF(Inputs!$G$75="as generated",'Cash Flow'!X$166,-X$173))</f>
        <v>0</v>
      </c>
      <c r="Y65" s="29">
        <f>IF(AND(Inputs!$Q$19="Cost-Based",Inputs!$Q$20="Cash Grant",Y$2=1),Inputs!$Q$23,IF(Inputs!$G$75="as generated",'Cash Flow'!Y$166,-Y$173))</f>
        <v>0</v>
      </c>
      <c r="Z65" s="29">
        <f>IF(AND(Inputs!$Q$19="Cost-Based",Inputs!$Q$20="Cash Grant",Z$2=1),Inputs!$Q$23,IF(Inputs!$G$75="as generated",'Cash Flow'!Z$166,-Z$173))</f>
        <v>0</v>
      </c>
      <c r="AA65" s="29">
        <f>IF(AND(Inputs!$Q$19="Cost-Based",Inputs!$Q$20="Cash Grant",AA$2=1),Inputs!$Q$23,IF(Inputs!$G$75="as generated",'Cash Flow'!AA$166,-AA$173))</f>
        <v>0</v>
      </c>
      <c r="AB65" s="29">
        <f>IF(AND(Inputs!$Q$19="Cost-Based",Inputs!$Q$20="Cash Grant",AB$2=1),Inputs!$Q$23,IF(Inputs!$G$75="as generated",'Cash Flow'!AB$166,-AB$173))</f>
        <v>0</v>
      </c>
      <c r="AC65" s="29">
        <f>IF(AND(Inputs!$Q$19="Cost-Based",Inputs!$Q$20="Cash Grant",AC$2=1),Inputs!$Q$23,IF(Inputs!$G$75="as generated",'Cash Flow'!AC$166,-AC$173))</f>
        <v>0</v>
      </c>
      <c r="AD65" s="29">
        <f>IF(AND(Inputs!$Q$19="Cost-Based",Inputs!$Q$20="Cash Grant",AD$2=1),Inputs!$Q$23,IF(Inputs!$G$75="as generated",'Cash Flow'!AD$166,-AD$173))</f>
        <v>0</v>
      </c>
      <c r="AE65" s="29">
        <f>IF(AND(Inputs!$Q$19="Cost-Based",Inputs!$Q$20="Cash Grant",AE$2=1),Inputs!$Q$23,IF(Inputs!$G$75="as generated",'Cash Flow'!AE$166,-AE$173))</f>
        <v>0</v>
      </c>
      <c r="AF65" s="29">
        <f>IF(AND(Inputs!$Q$19="Cost-Based",Inputs!$Q$20="Cash Grant",AF$2=1),Inputs!$Q$23,IF(Inputs!$G$75="as generated",'Cash Flow'!AF$166,-AF$173))</f>
        <v>0</v>
      </c>
      <c r="AG65" s="29">
        <f>IF(AND(Inputs!$Q$19="Cost-Based",Inputs!$Q$20="Cash Grant",AG$2=1),Inputs!$Q$23,IF(Inputs!$G$75="as generated",'Cash Flow'!AG$166,-AG$173))</f>
        <v>0</v>
      </c>
      <c r="AH65" s="29">
        <f>IF(AND(Inputs!$Q$19="Cost-Based",Inputs!$Q$20="Cash Grant",AH$2=1),Inputs!$Q$23,IF(Inputs!$G$75="as generated",'Cash Flow'!AH$166,-AH$173))</f>
        <v>0</v>
      </c>
      <c r="AI65" s="29">
        <f>IF(AND(Inputs!$Q$19="Cost-Based",Inputs!$Q$20="Cash Grant",AI$2=1),Inputs!$Q$23,IF(Inputs!$G$75="as generated",'Cash Flow'!AI$166,-AI$173))</f>
        <v>0</v>
      </c>
      <c r="AJ65" s="29">
        <f>IF(AND(Inputs!$Q$19="Cost-Based",Inputs!$Q$20="Cash Grant",AJ$2=1),Inputs!$Q$23,IF(Inputs!$G$75="as generated",'Cash Flow'!AJ$166,-AJ$173))</f>
        <v>0</v>
      </c>
    </row>
    <row r="66" spans="2:36" s="1" customFormat="1" x14ac:dyDescent="0.2">
      <c r="B66" s="27" t="s">
        <v>148</v>
      </c>
      <c r="C66" s="27"/>
      <c r="D66" s="27"/>
      <c r="E66" s="290"/>
      <c r="F66" s="27"/>
      <c r="G66" s="30">
        <f>IF(Inputs!$G$77="as generated",'Cash Flow'!G$180,-G$187)</f>
        <v>0</v>
      </c>
      <c r="H66" s="30">
        <f>IF(Inputs!$G$77="as generated",'Cash Flow'!H$180,-H$187)</f>
        <v>0</v>
      </c>
      <c r="I66" s="30">
        <f>IF(Inputs!$G$77="as generated",'Cash Flow'!I$180,-I$187)</f>
        <v>0</v>
      </c>
      <c r="J66" s="30">
        <f>IF(Inputs!$G$77="as generated",'Cash Flow'!J$180,-J$187)</f>
        <v>0</v>
      </c>
      <c r="K66" s="30">
        <f>IF(Inputs!$G$77="as generated",'Cash Flow'!K$180,-K$187)</f>
        <v>0</v>
      </c>
      <c r="L66" s="30">
        <f>IF(Inputs!$G$77="as generated",'Cash Flow'!L$180,-L$187)</f>
        <v>0</v>
      </c>
      <c r="M66" s="30">
        <f>IF(Inputs!$G$77="as generated",'Cash Flow'!M$180,-M$187)</f>
        <v>0</v>
      </c>
      <c r="N66" s="30">
        <f>IF(Inputs!$G$77="as generated",'Cash Flow'!N$180,-N$187)</f>
        <v>0</v>
      </c>
      <c r="O66" s="30">
        <f>IF(Inputs!$G$77="as generated",'Cash Flow'!O$180,-O$187)</f>
        <v>0</v>
      </c>
      <c r="P66" s="30">
        <f>IF(Inputs!$G$77="as generated",'Cash Flow'!P$180,-P$187)</f>
        <v>0</v>
      </c>
      <c r="Q66" s="30">
        <f>IF(Inputs!$G$77="as generated",'Cash Flow'!Q$180,-Q$187)</f>
        <v>0</v>
      </c>
      <c r="R66" s="30">
        <f>IF(Inputs!$G$77="as generated",'Cash Flow'!R$180,-R$187)</f>
        <v>0</v>
      </c>
      <c r="S66" s="30">
        <f>IF(Inputs!$G$77="as generated",'Cash Flow'!S$180,-S$187)</f>
        <v>0</v>
      </c>
      <c r="T66" s="30">
        <f>IF(Inputs!$G$77="as generated",'Cash Flow'!T$180,-T$187)</f>
        <v>0</v>
      </c>
      <c r="U66" s="30">
        <f>IF(Inputs!$G$77="as generated",'Cash Flow'!U$180,-U$187)</f>
        <v>0</v>
      </c>
      <c r="V66" s="30">
        <f>IF(Inputs!$G$77="as generated",'Cash Flow'!V$180,-V$187)</f>
        <v>0</v>
      </c>
      <c r="W66" s="30">
        <f>IF(Inputs!$G$77="as generated",'Cash Flow'!W$180,-W$187)</f>
        <v>0</v>
      </c>
      <c r="X66" s="30">
        <f>IF(Inputs!$G$77="as generated",'Cash Flow'!X$180,-X$187)</f>
        <v>0</v>
      </c>
      <c r="Y66" s="30">
        <f>IF(Inputs!$G$77="as generated",'Cash Flow'!Y$180,-Y$187)</f>
        <v>0</v>
      </c>
      <c r="Z66" s="30">
        <f>IF(Inputs!$G$77="as generated",'Cash Flow'!Z$180,-Z$187)</f>
        <v>0</v>
      </c>
      <c r="AA66" s="30">
        <f>IF(Inputs!$G$77="as generated",'Cash Flow'!AA$180,-AA$187)</f>
        <v>0</v>
      </c>
      <c r="AB66" s="30">
        <f>IF(Inputs!$G$77="as generated",'Cash Flow'!AB$180,-AB$187)</f>
        <v>0</v>
      </c>
      <c r="AC66" s="30">
        <f>IF(Inputs!$G$77="as generated",'Cash Flow'!AC$180,-AC$187)</f>
        <v>0</v>
      </c>
      <c r="AD66" s="30">
        <f>IF(Inputs!$G$77="as generated",'Cash Flow'!AD$180,-AD$187)</f>
        <v>0</v>
      </c>
      <c r="AE66" s="30">
        <f>IF(Inputs!$G$77="as generated",'Cash Flow'!AE$180,-AE$187)</f>
        <v>0</v>
      </c>
      <c r="AF66" s="30">
        <f>IF(Inputs!$G$77="as generated",'Cash Flow'!AF$180,-AF$187)</f>
        <v>0</v>
      </c>
      <c r="AG66" s="30">
        <f>IF(Inputs!$G$77="as generated",'Cash Flow'!AG$180,-AG$187)</f>
        <v>0</v>
      </c>
      <c r="AH66" s="30">
        <f>IF(Inputs!$G$77="as generated",'Cash Flow'!AH$180,-AH$187)</f>
        <v>0</v>
      </c>
      <c r="AI66" s="30">
        <f>IF(Inputs!$G$77="as generated",'Cash Flow'!AI$180,-AI$187)</f>
        <v>0</v>
      </c>
      <c r="AJ66" s="30">
        <f>IF(Inputs!$G$77="as generated",'Cash Flow'!AJ$180,-AJ$187)</f>
        <v>0</v>
      </c>
    </row>
    <row r="67" spans="2:36" s="1" customFormat="1" ht="15.75" x14ac:dyDescent="0.25">
      <c r="B67" s="24" t="s">
        <v>147</v>
      </c>
      <c r="C67" s="24"/>
      <c r="D67" s="24"/>
      <c r="E67" s="29"/>
      <c r="F67" s="31">
        <f t="shared" ref="F67:AJ67" si="20">F54+SUM(F63:F66)</f>
        <v>-3371851.5683789058</v>
      </c>
      <c r="G67" s="31">
        <f>G54+SUM(G63:G66)</f>
        <v>503558.54319015727</v>
      </c>
      <c r="H67" s="31">
        <f t="shared" si="20"/>
        <v>522306.6919700912</v>
      </c>
      <c r="I67" s="31">
        <f t="shared" si="20"/>
        <v>540740.93923728936</v>
      </c>
      <c r="J67" s="31">
        <f t="shared" si="20"/>
        <v>558914.03169466672</v>
      </c>
      <c r="K67" s="31">
        <f t="shared" si="20"/>
        <v>576873.75655154022</v>
      </c>
      <c r="L67" s="31">
        <f t="shared" si="20"/>
        <v>594663.44212045404</v>
      </c>
      <c r="M67" s="31">
        <f t="shared" si="20"/>
        <v>596827.35851249041</v>
      </c>
      <c r="N67" s="31">
        <f t="shared" si="20"/>
        <v>566013.03108673415</v>
      </c>
      <c r="O67" s="31">
        <f t="shared" si="20"/>
        <v>581333.43203009327</v>
      </c>
      <c r="P67" s="31">
        <f t="shared" si="20"/>
        <v>657548.06336693664</v>
      </c>
      <c r="Q67" s="31">
        <f t="shared" si="20"/>
        <v>600652.11560363241</v>
      </c>
      <c r="R67" s="31">
        <f t="shared" si="20"/>
        <v>383192.3727950505</v>
      </c>
      <c r="S67" s="31">
        <f t="shared" si="20"/>
        <v>373215.52721742482</v>
      </c>
      <c r="T67" s="31">
        <f t="shared" si="20"/>
        <v>379041.75704853248</v>
      </c>
      <c r="U67" s="31">
        <f t="shared" si="20"/>
        <v>372542.44660832227</v>
      </c>
      <c r="V67" s="31">
        <f t="shared" si="20"/>
        <v>356273.39437135507</v>
      </c>
      <c r="W67" s="31">
        <f t="shared" si="20"/>
        <v>351777.51381064282</v>
      </c>
      <c r="X67" s="31">
        <f t="shared" si="20"/>
        <v>356419.09614904353</v>
      </c>
      <c r="Y67" s="31">
        <f t="shared" si="20"/>
        <v>729056.3526221388</v>
      </c>
      <c r="Z67" s="31">
        <f t="shared" si="20"/>
        <v>716229.66672356508</v>
      </c>
      <c r="AA67" s="31">
        <f t="shared" si="20"/>
        <v>142249.48171302432</v>
      </c>
      <c r="AB67" s="31">
        <f t="shared" si="20"/>
        <v>143225.83064486017</v>
      </c>
      <c r="AC67" s="31">
        <f t="shared" si="20"/>
        <v>116230.4129015817</v>
      </c>
      <c r="AD67" s="31">
        <f t="shared" si="20"/>
        <v>119536.65281123464</v>
      </c>
      <c r="AE67" s="31">
        <f t="shared" si="20"/>
        <v>190665.88907549682</v>
      </c>
      <c r="AF67" s="31">
        <f t="shared" si="20"/>
        <v>5.1928509492427103E-13</v>
      </c>
      <c r="AG67" s="31">
        <f t="shared" si="20"/>
        <v>0</v>
      </c>
      <c r="AH67" s="31">
        <f t="shared" si="20"/>
        <v>0</v>
      </c>
      <c r="AI67" s="31">
        <f t="shared" si="20"/>
        <v>0</v>
      </c>
      <c r="AJ67" s="31">
        <f t="shared" si="20"/>
        <v>0</v>
      </c>
    </row>
    <row r="68" spans="2:36" s="1" customFormat="1" ht="15.75" x14ac:dyDescent="0.25">
      <c r="B68" s="35" t="s">
        <v>146</v>
      </c>
      <c r="C68" s="35"/>
      <c r="D68" s="35"/>
      <c r="E68" s="29"/>
      <c r="F68" s="31"/>
      <c r="G68" s="331">
        <f>IF(ISERROR(IRR($F67:G67)),"NA",IRR($F67:G67))</f>
        <v>-0.85065815235981623</v>
      </c>
      <c r="H68" s="331">
        <f>IF(ISERROR(IRR($F67:H67)),"NA",IRR($F67:H67))</f>
        <v>-0.52473228577743258</v>
      </c>
      <c r="I68" s="331">
        <f>IF(ISERROR(IRR($F67:I67)),"NA",IRR($F67:I67))</f>
        <v>-0.30092547618662713</v>
      </c>
      <c r="J68" s="331">
        <f>IF(ISERROR(IRR($F67:J67)),"NA",IRR($F67:J67))</f>
        <v>-0.15974807726122853</v>
      </c>
      <c r="K68" s="331">
        <f>IF(ISERROR(IRR($F67:K67)),"NA",IRR($F67:K67))</f>
        <v>-6.8101909925190829E-2</v>
      </c>
      <c r="L68" s="331">
        <f>IF(ISERROR(IRR($F67:L67)),"NA",IRR($F67:L67))</f>
        <v>-6.201853358988707E-3</v>
      </c>
      <c r="M68" s="331">
        <f>IF(ISERROR(IRR($F67:M67)),"NA",IRR($F67:M67))</f>
        <v>3.6201859870044428E-2</v>
      </c>
      <c r="N68" s="331">
        <f>IF(ISERROR(IRR($F67:N67)),"NA",IRR($F67:N67))</f>
        <v>6.4870011562908836E-2</v>
      </c>
      <c r="O68" s="331">
        <f>IF(ISERROR(IRR($F67:O67)),"NA",IRR($F67:O67))</f>
        <v>8.6510220369468316E-2</v>
      </c>
      <c r="P68" s="331">
        <f>IF(ISERROR(IRR($F67:P67)),"NA",IRR($F67:P67))</f>
        <v>0.10462254560186612</v>
      </c>
      <c r="Q68" s="331">
        <f>IF(ISERROR(IRR($F67:Q67)),"NA",IRR($F67:Q67))</f>
        <v>0.11708082561430722</v>
      </c>
      <c r="R68" s="331">
        <f>IF(ISERROR(IRR($F67:R67)),"NA",IRR($F67:R67))</f>
        <v>0.12336876655400308</v>
      </c>
      <c r="S68" s="331">
        <f>IF(ISERROR(IRR($F67:S67)),"NA",IRR($F67:S67))</f>
        <v>0.12838225573080542</v>
      </c>
      <c r="T68" s="331">
        <f>IF(ISERROR(IRR($F67:T67)),"NA",IRR($F67:T67))</f>
        <v>0.13256864023169501</v>
      </c>
      <c r="U68" s="331">
        <f>IF(ISERROR(IRR($F67:U67)),"NA",IRR($F67:U67))</f>
        <v>0.13596524984509628</v>
      </c>
      <c r="V68" s="331">
        <f>IF(ISERROR(IRR($F67:V67)),"NA",IRR($F67:V67))</f>
        <v>0.13866228607410536</v>
      </c>
      <c r="W68" s="331">
        <f>IF(ISERROR(IRR($F67:W67)),"NA",IRR($F67:W67))</f>
        <v>0.14088492497081706</v>
      </c>
      <c r="X68" s="331">
        <f>IF(ISERROR(IRR($F67:X67)),"NA",IRR($F67:X67))</f>
        <v>0.1427708072771916</v>
      </c>
      <c r="Y68" s="331">
        <f>IF(ISERROR(IRR($F67:Y67)),"NA",IRR($F67:Y67))</f>
        <v>0.14594754414249134</v>
      </c>
      <c r="Z68" s="331">
        <f>IF(ISERROR(IRR($F67:Z67)),"NA",IRR($F67:Z67))</f>
        <v>0.14848362806738247</v>
      </c>
      <c r="AA68" s="331">
        <f>IF(ISERROR(IRR($F67:AA67)),"NA",IRR($F67:AA67))</f>
        <v>0.1489058074056262</v>
      </c>
      <c r="AB68" s="331">
        <f>IF(ISERROR(IRR($F67:AB67)),"NA",IRR($F67:AB67))</f>
        <v>0.14927173531825622</v>
      </c>
      <c r="AC68" s="331">
        <f>IF(ISERROR(IRR($F67:AC67)),"NA",IRR($F67:AC67))</f>
        <v>0.14952775920033456</v>
      </c>
      <c r="AD68" s="331">
        <f>IF(ISERROR(IRR($F67:AD67)),"NA",IRR($F67:AD67))</f>
        <v>0.14975508765074008</v>
      </c>
      <c r="AE68" s="331">
        <f>IF(ISERROR(IRR($F67:AE67)),"NA",IRR($F67:AE67))</f>
        <v>0.15006764381260651</v>
      </c>
      <c r="AF68" s="331">
        <f>IF(ISERROR(IRR($F67:AF67)),"NA",IRR($F67:AF67))</f>
        <v>0.15006764381260651</v>
      </c>
      <c r="AG68" s="331">
        <f>IF(ISERROR(IRR($F67:AG67)),"NA",IRR($F67:AG67))</f>
        <v>0.15006764381260651</v>
      </c>
      <c r="AH68" s="331">
        <f>IF(ISERROR(IRR($F67:AH67)),"NA",IRR($F67:AH67))</f>
        <v>0.15006764381260651</v>
      </c>
      <c r="AI68" s="331">
        <f>IF(ISERROR(IRR($F67:AI67)),"NA",IRR($F67:AI67))</f>
        <v>0.15006764381260651</v>
      </c>
      <c r="AJ68" s="331">
        <f>IF(ISERROR(IRR($F67:AJ67)),"NA",IRR($F67:AJ67))</f>
        <v>0.15006764381260651</v>
      </c>
    </row>
    <row r="69" spans="2:36" s="1" customFormat="1" ht="16.5" thickBot="1" x14ac:dyDescent="0.3">
      <c r="B69" s="24"/>
      <c r="C69" s="24"/>
      <c r="D69" s="24"/>
      <c r="E69" s="37"/>
      <c r="F69" s="347"/>
      <c r="G69" s="347"/>
      <c r="H69" s="347"/>
      <c r="I69" s="347"/>
      <c r="J69" s="347"/>
      <c r="K69" s="347"/>
      <c r="L69" s="347"/>
      <c r="M69" s="347"/>
      <c r="N69" s="31"/>
      <c r="O69" s="31"/>
      <c r="P69" s="31"/>
      <c r="Q69" s="31"/>
      <c r="R69" s="31"/>
      <c r="S69" s="31"/>
      <c r="T69" s="31"/>
      <c r="U69" s="31"/>
      <c r="V69" s="31"/>
      <c r="W69" s="31"/>
      <c r="X69" s="31"/>
      <c r="Y69" s="31"/>
      <c r="Z69" s="31"/>
      <c r="AA69" s="31"/>
      <c r="AB69" s="31"/>
      <c r="AC69" s="31"/>
      <c r="AD69" s="31"/>
      <c r="AE69" s="31"/>
      <c r="AF69" s="31"/>
      <c r="AG69" s="31"/>
      <c r="AH69" s="31"/>
      <c r="AI69" s="31"/>
      <c r="AJ69" s="31"/>
    </row>
    <row r="70" spans="2:36" s="1" customFormat="1" ht="16.5" thickBot="1" x14ac:dyDescent="0.3">
      <c r="B70" s="731" t="s">
        <v>383</v>
      </c>
      <c r="C70" s="732"/>
      <c r="D70" s="467">
        <f>IRR(F54:AJ54)</f>
        <v>0.17094605637644467</v>
      </c>
      <c r="F70" s="31"/>
      <c r="G70" s="411" t="s">
        <v>205</v>
      </c>
      <c r="H70" s="420"/>
      <c r="I70" s="420"/>
      <c r="J70" s="421"/>
      <c r="K70" s="420"/>
      <c r="L70" s="31"/>
      <c r="O70" s="31"/>
      <c r="P70" s="31"/>
      <c r="Q70" s="31"/>
      <c r="R70" s="31"/>
      <c r="S70" s="31"/>
      <c r="T70" s="31"/>
      <c r="U70" s="31"/>
      <c r="V70" s="31"/>
      <c r="W70" s="31"/>
      <c r="X70" s="31"/>
      <c r="Y70" s="31"/>
      <c r="Z70" s="31"/>
      <c r="AA70" s="31"/>
      <c r="AB70" s="31"/>
      <c r="AC70" s="31"/>
      <c r="AD70" s="31"/>
      <c r="AE70" s="31"/>
      <c r="AF70" s="31"/>
      <c r="AG70" s="31"/>
      <c r="AH70" s="31"/>
      <c r="AI70" s="31"/>
      <c r="AJ70" s="31"/>
    </row>
    <row r="71" spans="2:36" s="1" customFormat="1" ht="16.5" thickBot="1" x14ac:dyDescent="0.3">
      <c r="B71" s="468" t="s">
        <v>384</v>
      </c>
      <c r="C71" s="469"/>
      <c r="D71" s="467">
        <f>IRR(F67:AJ67)</f>
        <v>0.15006764381260651</v>
      </c>
      <c r="F71" s="31"/>
      <c r="G71" s="413" t="s">
        <v>297</v>
      </c>
      <c r="H71" s="422"/>
      <c r="I71" s="418"/>
      <c r="J71" s="419"/>
      <c r="K71" s="419"/>
      <c r="L71" s="31"/>
      <c r="O71" s="31"/>
      <c r="P71" s="31"/>
      <c r="Q71" s="31"/>
      <c r="R71" s="31"/>
      <c r="S71" s="31"/>
      <c r="T71" s="31"/>
      <c r="U71" s="31"/>
      <c r="V71" s="31"/>
      <c r="W71" s="31"/>
      <c r="X71" s="31"/>
      <c r="Y71" s="31"/>
      <c r="Z71" s="31"/>
      <c r="AA71" s="31"/>
      <c r="AB71" s="31"/>
      <c r="AC71" s="31"/>
      <c r="AD71" s="31"/>
      <c r="AE71" s="31"/>
      <c r="AF71" s="31"/>
      <c r="AG71" s="31"/>
      <c r="AH71" s="31"/>
      <c r="AI71" s="31"/>
      <c r="AJ71" s="31"/>
    </row>
    <row r="72" spans="2:36" s="1" customFormat="1" ht="16.5" thickBot="1" x14ac:dyDescent="0.3">
      <c r="B72" s="733">
        <f>Inputs!$G$62</f>
        <v>0.15</v>
      </c>
      <c r="C72" s="734"/>
      <c r="D72" s="470">
        <f>NPV(Inputs!$G$62,'Cash Flow'!F67:AJ67)</f>
        <v>1094.5334120010107</v>
      </c>
      <c r="G72" s="412">
        <f>AVERAGE(R204:S204)</f>
        <v>28.05</v>
      </c>
      <c r="H72" s="422"/>
      <c r="I72" s="418"/>
      <c r="J72" s="423"/>
      <c r="K72" s="418"/>
    </row>
    <row r="73" spans="2:36" s="1" customFormat="1" ht="16.5" thickBot="1" x14ac:dyDescent="0.3">
      <c r="B73" s="38"/>
      <c r="C73" s="38"/>
      <c r="D73" s="38"/>
      <c r="E73" s="39"/>
      <c r="F73" s="302"/>
      <c r="G73" s="288"/>
      <c r="H73" s="302"/>
      <c r="I73" s="302"/>
      <c r="J73" s="302"/>
      <c r="K73" s="302"/>
      <c r="L73" s="302"/>
      <c r="M73" s="302"/>
      <c r="N73" s="302"/>
      <c r="O73" s="302"/>
      <c r="P73" s="302"/>
      <c r="Q73" s="302"/>
      <c r="R73" s="302"/>
      <c r="S73" s="302"/>
      <c r="T73" s="302"/>
      <c r="U73" s="302"/>
      <c r="V73" s="302"/>
      <c r="W73" s="302"/>
      <c r="X73" s="302"/>
      <c r="Y73" s="302"/>
      <c r="Z73" s="302"/>
      <c r="AA73" s="302"/>
      <c r="AB73" s="302"/>
      <c r="AC73" s="302"/>
      <c r="AD73" s="302"/>
      <c r="AE73" s="302"/>
      <c r="AF73" s="302"/>
      <c r="AG73" s="302"/>
      <c r="AH73" s="302"/>
      <c r="AI73" s="302"/>
      <c r="AJ73" s="302"/>
    </row>
    <row r="74" spans="2:36" s="1" customFormat="1" ht="15.75" x14ac:dyDescent="0.25">
      <c r="B74" s="40"/>
      <c r="C74" s="40"/>
      <c r="D74" s="40"/>
      <c r="E74" s="41"/>
      <c r="F74" s="41"/>
      <c r="G74" s="42"/>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row>
    <row r="75" spans="2:36" s="1" customFormat="1" x14ac:dyDescent="0.2">
      <c r="B75" s="43" t="s">
        <v>80</v>
      </c>
      <c r="C75" s="43"/>
      <c r="D75" s="43"/>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row>
    <row r="76" spans="2:36" s="1" customFormat="1" ht="15.75" thickBot="1" x14ac:dyDescent="0.25">
      <c r="B76" s="64"/>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row>
    <row r="77" spans="2:36" s="1" customFormat="1" ht="15.75" x14ac:dyDescent="0.25">
      <c r="B77" s="221"/>
      <c r="C77" s="221"/>
      <c r="D77" s="221"/>
      <c r="E77" s="221"/>
      <c r="F77" s="221"/>
      <c r="G77" s="244"/>
      <c r="H77" s="245"/>
      <c r="I77" s="221"/>
      <c r="J77" s="221"/>
      <c r="K77" s="221"/>
      <c r="L77" s="221"/>
      <c r="M77" s="221"/>
      <c r="N77" s="221"/>
      <c r="O77" s="221"/>
      <c r="P77" s="221"/>
      <c r="Q77" s="221"/>
      <c r="R77" s="221"/>
      <c r="S77" s="221"/>
      <c r="T77" s="221"/>
      <c r="U77" s="221"/>
      <c r="V77" s="221"/>
      <c r="W77" s="221"/>
      <c r="X77" s="221"/>
      <c r="Y77" s="221"/>
      <c r="Z77" s="221"/>
      <c r="AA77" s="221"/>
      <c r="AB77" s="221"/>
      <c r="AC77" s="221"/>
      <c r="AD77" s="221"/>
      <c r="AE77" s="221"/>
      <c r="AF77" s="221"/>
      <c r="AG77" s="221"/>
      <c r="AH77" s="221"/>
      <c r="AI77" s="221"/>
      <c r="AJ77" s="221"/>
    </row>
    <row r="78" spans="2:36" s="1" customFormat="1" ht="15.75" x14ac:dyDescent="0.25">
      <c r="B78" s="220" t="s">
        <v>88</v>
      </c>
      <c r="C78" s="220"/>
      <c r="D78" s="220"/>
      <c r="E78" s="221"/>
      <c r="F78" s="221"/>
      <c r="G78" s="221"/>
      <c r="H78" s="221"/>
      <c r="I78" s="221"/>
      <c r="J78" s="221"/>
      <c r="K78" s="221"/>
      <c r="L78" s="221"/>
      <c r="M78" s="221"/>
      <c r="N78" s="221"/>
      <c r="O78" s="221"/>
      <c r="P78" s="221"/>
      <c r="Q78" s="221"/>
      <c r="R78" s="221"/>
      <c r="S78" s="221"/>
      <c r="T78" s="221"/>
      <c r="U78" s="221"/>
      <c r="V78" s="221"/>
      <c r="W78" s="221"/>
      <c r="X78" s="221"/>
      <c r="Y78" s="221"/>
      <c r="Z78" s="221"/>
      <c r="AA78" s="221"/>
      <c r="AB78" s="221"/>
      <c r="AC78" s="221"/>
      <c r="AD78" s="221"/>
      <c r="AE78" s="221"/>
      <c r="AF78" s="221"/>
      <c r="AG78" s="221"/>
      <c r="AH78" s="221"/>
      <c r="AI78" s="221"/>
      <c r="AJ78" s="221"/>
    </row>
    <row r="79" spans="2:36" s="1" customFormat="1" ht="15.75" x14ac:dyDescent="0.25">
      <c r="B79" s="246" t="s">
        <v>90</v>
      </c>
      <c r="C79" s="246"/>
      <c r="D79" s="246"/>
      <c r="E79" s="247"/>
      <c r="F79" s="248"/>
      <c r="G79" s="249"/>
      <c r="H79" s="249"/>
      <c r="I79" s="249"/>
      <c r="J79" s="249"/>
      <c r="K79" s="249"/>
      <c r="L79" s="249"/>
      <c r="M79" s="249"/>
      <c r="N79" s="249"/>
      <c r="O79" s="249"/>
      <c r="P79" s="249"/>
      <c r="Q79" s="249"/>
      <c r="R79" s="249"/>
      <c r="S79" s="249"/>
      <c r="T79" s="249"/>
      <c r="U79" s="249"/>
      <c r="V79" s="249"/>
      <c r="W79" s="249"/>
      <c r="X79" s="249"/>
      <c r="Y79" s="249"/>
      <c r="Z79" s="249"/>
      <c r="AA79" s="249"/>
      <c r="AB79" s="249"/>
      <c r="AC79" s="249"/>
      <c r="AD79" s="249"/>
      <c r="AE79" s="249"/>
      <c r="AF79" s="249"/>
      <c r="AG79" s="249"/>
      <c r="AH79" s="249"/>
      <c r="AI79" s="249"/>
      <c r="AJ79" s="249"/>
    </row>
    <row r="80" spans="2:36" s="1" customFormat="1" x14ac:dyDescent="0.2">
      <c r="B80" s="247" t="s">
        <v>91</v>
      </c>
      <c r="C80" s="247"/>
      <c r="D80" s="247"/>
      <c r="E80" s="247"/>
      <c r="F80" s="248">
        <f>IF(Inputs!$G$18="Simple",Inputs!$G$26-Inputs!$G$69,IF(Inputs!$G$18="Intermediate",SUM(Inputs!G20:G23)-Inputs!G69,'Complex Inputs'!C26+'Complex Inputs'!C51+'Complex Inputs'!C76+'Complex Inputs'!C101))</f>
        <v>5500000</v>
      </c>
      <c r="G80" s="249"/>
      <c r="H80" s="249"/>
      <c r="I80" s="249"/>
      <c r="J80" s="249"/>
      <c r="K80" s="249"/>
      <c r="L80" s="249"/>
      <c r="M80" s="249"/>
      <c r="N80" s="249"/>
      <c r="O80" s="249"/>
      <c r="P80" s="249"/>
      <c r="Q80" s="249"/>
      <c r="R80" s="249"/>
      <c r="S80" s="249"/>
      <c r="T80" s="249"/>
      <c r="U80" s="249"/>
      <c r="V80" s="249"/>
      <c r="W80" s="249"/>
      <c r="X80" s="249"/>
      <c r="Y80" s="249"/>
      <c r="Z80" s="249"/>
      <c r="AA80" s="249"/>
      <c r="AB80" s="249"/>
      <c r="AC80" s="249"/>
      <c r="AD80" s="249"/>
      <c r="AE80" s="249"/>
      <c r="AF80" s="249"/>
      <c r="AG80" s="249"/>
      <c r="AH80" s="249"/>
      <c r="AI80" s="249"/>
      <c r="AJ80" s="249"/>
    </row>
    <row r="81" spans="2:36" s="1" customFormat="1" x14ac:dyDescent="0.2">
      <c r="B81" s="247" t="s">
        <v>92</v>
      </c>
      <c r="C81" s="247"/>
      <c r="D81" s="247"/>
      <c r="E81" s="247"/>
      <c r="F81" s="250">
        <f>Inputs!$G$51</f>
        <v>0.45</v>
      </c>
      <c r="G81" s="249"/>
      <c r="H81" s="249"/>
      <c r="I81" s="249"/>
      <c r="J81" s="249"/>
      <c r="K81" s="249"/>
      <c r="L81" s="249"/>
      <c r="M81" s="249"/>
      <c r="N81" s="249"/>
      <c r="O81" s="249"/>
      <c r="P81" s="249"/>
      <c r="Q81" s="249"/>
      <c r="R81" s="249"/>
      <c r="S81" s="249"/>
      <c r="T81" s="249"/>
      <c r="U81" s="249"/>
      <c r="V81" s="249"/>
      <c r="W81" s="249"/>
      <c r="X81" s="249"/>
      <c r="Y81" s="249"/>
      <c r="Z81" s="249"/>
      <c r="AA81" s="249"/>
      <c r="AB81" s="249"/>
      <c r="AC81" s="249"/>
      <c r="AD81" s="249"/>
      <c r="AE81" s="249"/>
      <c r="AF81" s="249"/>
      <c r="AG81" s="249"/>
      <c r="AH81" s="249"/>
      <c r="AI81" s="249"/>
      <c r="AJ81" s="249"/>
    </row>
    <row r="82" spans="2:36" s="1" customFormat="1" x14ac:dyDescent="0.2">
      <c r="B82" s="247" t="s">
        <v>89</v>
      </c>
      <c r="C82" s="247"/>
      <c r="D82" s="247"/>
      <c r="E82" s="247"/>
      <c r="F82" s="251">
        <f>F80*F81</f>
        <v>2475000</v>
      </c>
      <c r="G82" s="249"/>
      <c r="H82" s="249"/>
      <c r="I82" s="249"/>
      <c r="J82" s="249"/>
      <c r="K82" s="249"/>
      <c r="L82" s="249"/>
      <c r="M82" s="249"/>
      <c r="N82" s="249"/>
      <c r="O82" s="249"/>
      <c r="P82" s="249"/>
      <c r="Q82" s="249"/>
      <c r="R82" s="249"/>
      <c r="S82" s="249"/>
      <c r="T82" s="249"/>
      <c r="U82" s="249"/>
      <c r="V82" s="249"/>
      <c r="W82" s="249"/>
      <c r="X82" s="249"/>
      <c r="Y82" s="249"/>
      <c r="Z82" s="249"/>
      <c r="AA82" s="249"/>
      <c r="AB82" s="249"/>
      <c r="AC82" s="249"/>
      <c r="AD82" s="249"/>
      <c r="AE82" s="249"/>
      <c r="AF82" s="249"/>
      <c r="AG82" s="249"/>
      <c r="AH82" s="249"/>
      <c r="AI82" s="249"/>
      <c r="AJ82" s="249"/>
    </row>
    <row r="83" spans="2:36" s="1" customFormat="1" x14ac:dyDescent="0.2">
      <c r="B83" s="252"/>
      <c r="C83" s="252"/>
      <c r="D83" s="252"/>
      <c r="E83" s="252"/>
      <c r="F83" s="253"/>
      <c r="G83" s="249"/>
      <c r="H83" s="249"/>
      <c r="I83" s="249"/>
      <c r="J83" s="249"/>
      <c r="K83" s="249"/>
      <c r="L83" s="249"/>
      <c r="M83" s="249"/>
      <c r="N83" s="249"/>
      <c r="O83" s="249"/>
      <c r="P83" s="249"/>
      <c r="Q83" s="249"/>
      <c r="R83" s="249"/>
      <c r="S83" s="249"/>
      <c r="T83" s="249"/>
      <c r="U83" s="249"/>
      <c r="V83" s="249"/>
      <c r="W83" s="249"/>
      <c r="X83" s="249"/>
      <c r="Y83" s="249"/>
      <c r="Z83" s="249"/>
      <c r="AA83" s="249"/>
      <c r="AB83" s="249"/>
      <c r="AC83" s="249"/>
      <c r="AD83" s="249"/>
      <c r="AE83" s="249"/>
      <c r="AF83" s="249"/>
      <c r="AG83" s="249"/>
      <c r="AH83" s="249"/>
      <c r="AI83" s="249"/>
      <c r="AJ83" s="249"/>
    </row>
    <row r="84" spans="2:36" s="1" customFormat="1" ht="15.75" x14ac:dyDescent="0.25">
      <c r="B84" s="246" t="s">
        <v>127</v>
      </c>
      <c r="C84" s="246"/>
      <c r="D84" s="246"/>
      <c r="E84" s="246"/>
      <c r="F84" s="253"/>
      <c r="G84" s="249"/>
      <c r="H84" s="249"/>
      <c r="I84" s="249"/>
      <c r="J84" s="249"/>
      <c r="K84" s="249"/>
      <c r="L84" s="249"/>
      <c r="M84" s="249"/>
      <c r="N84" s="249"/>
      <c r="O84" s="249"/>
      <c r="P84" s="249"/>
      <c r="Q84" s="249"/>
      <c r="R84" s="249"/>
      <c r="S84" s="249"/>
      <c r="T84" s="249"/>
      <c r="U84" s="249"/>
      <c r="V84" s="249"/>
      <c r="W84" s="249"/>
      <c r="X84" s="249"/>
      <c r="Y84" s="249"/>
      <c r="Z84" s="249"/>
      <c r="AA84" s="249"/>
      <c r="AB84" s="249"/>
      <c r="AC84" s="249"/>
      <c r="AD84" s="249"/>
      <c r="AE84" s="249"/>
      <c r="AF84" s="249"/>
      <c r="AG84" s="249"/>
      <c r="AH84" s="249"/>
      <c r="AI84" s="249"/>
      <c r="AJ84" s="249"/>
    </row>
    <row r="85" spans="2:36" s="1" customFormat="1" ht="15.75" x14ac:dyDescent="0.25">
      <c r="B85" s="254" t="s">
        <v>98</v>
      </c>
      <c r="C85" s="254"/>
      <c r="D85" s="254"/>
      <c r="E85" s="254"/>
      <c r="F85" s="255">
        <v>0</v>
      </c>
      <c r="G85" s="256">
        <f>SUM(G86:G87)</f>
        <v>-246046.18910444598</v>
      </c>
      <c r="H85" s="256">
        <f t="shared" ref="H85:AJ85" si="21">SUM(H86:H87)</f>
        <v>-246046.18910444598</v>
      </c>
      <c r="I85" s="256">
        <f t="shared" si="21"/>
        <v>-246046.18910444598</v>
      </c>
      <c r="J85" s="256">
        <f t="shared" si="21"/>
        <v>-246046.18910444598</v>
      </c>
      <c r="K85" s="256">
        <f t="shared" si="21"/>
        <v>-246046.18910444598</v>
      </c>
      <c r="L85" s="256">
        <f t="shared" si="21"/>
        <v>-246046.18910444598</v>
      </c>
      <c r="M85" s="256">
        <f t="shared" si="21"/>
        <v>-246046.18910444598</v>
      </c>
      <c r="N85" s="256">
        <f t="shared" si="21"/>
        <v>-246046.18910444592</v>
      </c>
      <c r="O85" s="256">
        <f t="shared" si="21"/>
        <v>-246046.18910444595</v>
      </c>
      <c r="P85" s="256">
        <f t="shared" si="21"/>
        <v>-246046.18910444598</v>
      </c>
      <c r="Q85" s="256">
        <f t="shared" si="21"/>
        <v>-246046.18910444598</v>
      </c>
      <c r="R85" s="256">
        <f t="shared" si="21"/>
        <v>-246046.18910444598</v>
      </c>
      <c r="S85" s="256">
        <f t="shared" si="21"/>
        <v>-246046.18910444598</v>
      </c>
      <c r="T85" s="256">
        <f t="shared" si="21"/>
        <v>-246046.18910444592</v>
      </c>
      <c r="U85" s="256">
        <f t="shared" si="21"/>
        <v>-246046.18910444598</v>
      </c>
      <c r="V85" s="256">
        <f t="shared" si="21"/>
        <v>-246046.18910444595</v>
      </c>
      <c r="W85" s="256">
        <f t="shared" si="21"/>
        <v>-246046.18910444595</v>
      </c>
      <c r="X85" s="256">
        <f t="shared" si="21"/>
        <v>-246046.18910444595</v>
      </c>
      <c r="Y85" s="256">
        <f t="shared" si="21"/>
        <v>0</v>
      </c>
      <c r="Z85" s="256">
        <f t="shared" si="21"/>
        <v>0</v>
      </c>
      <c r="AA85" s="256">
        <f t="shared" si="21"/>
        <v>0</v>
      </c>
      <c r="AB85" s="256">
        <f t="shared" si="21"/>
        <v>0</v>
      </c>
      <c r="AC85" s="256">
        <f t="shared" si="21"/>
        <v>0</v>
      </c>
      <c r="AD85" s="256">
        <f t="shared" si="21"/>
        <v>0</v>
      </c>
      <c r="AE85" s="256">
        <f t="shared" si="21"/>
        <v>0</v>
      </c>
      <c r="AF85" s="256">
        <f t="shared" si="21"/>
        <v>0</v>
      </c>
      <c r="AG85" s="256">
        <f t="shared" si="21"/>
        <v>0</v>
      </c>
      <c r="AH85" s="256">
        <f t="shared" si="21"/>
        <v>0</v>
      </c>
      <c r="AI85" s="256">
        <f t="shared" si="21"/>
        <v>0</v>
      </c>
      <c r="AJ85" s="256">
        <f t="shared" si="21"/>
        <v>0</v>
      </c>
    </row>
    <row r="86" spans="2:36" s="1" customFormat="1" ht="15.75" x14ac:dyDescent="0.25">
      <c r="B86" s="254" t="s">
        <v>96</v>
      </c>
      <c r="C86" s="254"/>
      <c r="D86" s="254"/>
      <c r="E86" s="254"/>
      <c r="F86" s="255">
        <v>0</v>
      </c>
      <c r="G86" s="256">
        <f>IF(G$2&gt;Inputs!$G$52,0,IPMT(Inputs!$G$53,G$2,Inputs!$G$52,$F$82))</f>
        <v>-173250.00000000003</v>
      </c>
      <c r="H86" s="256">
        <f>IF(H$2&gt;Inputs!$G$52,0,IPMT(Inputs!$G$53,H$2,Inputs!$G$52,$F$82))</f>
        <v>-168154.26676268881</v>
      </c>
      <c r="I86" s="256">
        <f>IF(I$2&gt;Inputs!$G$52,0,IPMT(Inputs!$G$53,I$2,Inputs!$G$52,$F$82))</f>
        <v>-162701.8321987658</v>
      </c>
      <c r="J86" s="256">
        <f>IF(J$2&gt;Inputs!$G$52,0,IPMT(Inputs!$G$53,J$2,Inputs!$G$52,$F$82))</f>
        <v>-156867.72721536818</v>
      </c>
      <c r="K86" s="256">
        <f>IF(K$2&gt;Inputs!$G$52,0,IPMT(Inputs!$G$53,K$2,Inputs!$G$52,$F$82))</f>
        <v>-150625.23488313277</v>
      </c>
      <c r="L86" s="256">
        <f>IF(L$2&gt;Inputs!$G$52,0,IPMT(Inputs!$G$53,L$2,Inputs!$G$52,$F$82))</f>
        <v>-143945.76808764081</v>
      </c>
      <c r="M86" s="256">
        <f>IF(M$2&gt;Inputs!$G$52,0,IPMT(Inputs!$G$53,M$2,Inputs!$G$52,$F$82))</f>
        <v>-136798.73861646446</v>
      </c>
      <c r="N86" s="256">
        <f>IF(N$2&gt;Inputs!$G$52,0,IPMT(Inputs!$G$53,N$2,Inputs!$G$52,$F$82))</f>
        <v>-129151.41708230572</v>
      </c>
      <c r="O86" s="256">
        <f>IF(O$2&gt;Inputs!$G$52,0,IPMT(Inputs!$G$53,O$2,Inputs!$G$52,$F$82))</f>
        <v>-120968.78304075592</v>
      </c>
      <c r="P86" s="256">
        <f>IF(P$2&gt;Inputs!$G$52,0,IPMT(Inputs!$G$53,P$2,Inputs!$G$52,$F$82))</f>
        <v>-112213.36461629764</v>
      </c>
      <c r="Q86" s="256">
        <f>IF(Q$2&gt;Inputs!$G$52,0,IPMT(Inputs!$G$53,Q$2,Inputs!$G$52,$F$82))</f>
        <v>-102845.06690212725</v>
      </c>
      <c r="R86" s="256">
        <f>IF(R$2&gt;Inputs!$G$52,0,IPMT(Inputs!$G$53,R$2,Inputs!$G$52,$F$82))</f>
        <v>-92820.988347964929</v>
      </c>
      <c r="S86" s="256">
        <f>IF(S$2&gt;Inputs!$G$52,0,IPMT(Inputs!$G$53,S$2,Inputs!$G$52,$F$82))</f>
        <v>-82095.224295011285</v>
      </c>
      <c r="T86" s="256">
        <f>IF(T$2&gt;Inputs!$G$52,0,IPMT(Inputs!$G$53,T$2,Inputs!$G$52,$F$82))</f>
        <v>-70618.656758350829</v>
      </c>
      <c r="U86" s="256">
        <f>IF(U$2&gt;Inputs!$G$52,0,IPMT(Inputs!$G$53,U$2,Inputs!$G$52,$F$82))</f>
        <v>-58338.729494124171</v>
      </c>
      <c r="V86" s="256">
        <f>IF(V$2&gt;Inputs!$G$52,0,IPMT(Inputs!$G$53,V$2,Inputs!$G$52,$F$82))</f>
        <v>-45199.207321401649</v>
      </c>
      <c r="W86" s="256">
        <f>IF(W$2&gt;Inputs!$G$52,0,IPMT(Inputs!$G$53,W$2,Inputs!$G$52,$F$82))</f>
        <v>-31139.918596588544</v>
      </c>
      <c r="X86" s="256">
        <f>IF(X$2&gt;Inputs!$G$52,0,IPMT(Inputs!$G$53,X$2,Inputs!$G$52,$F$82))</f>
        <v>-16096.479661038524</v>
      </c>
      <c r="Y86" s="256">
        <f>IF(Y$2&gt;Inputs!$G$52,0,IPMT(Inputs!$G$53,Y$2,Inputs!$G$52,$F$82))</f>
        <v>0</v>
      </c>
      <c r="Z86" s="256">
        <f>IF(Z$2&gt;Inputs!$G$52,0,IPMT(Inputs!$G$53,Z$2,Inputs!$G$52,$F$82))</f>
        <v>0</v>
      </c>
      <c r="AA86" s="256">
        <f>IF(AA$2&gt;Inputs!$G$52,0,IPMT(Inputs!$G$53,AA$2,Inputs!$G$52,$F$82))</f>
        <v>0</v>
      </c>
      <c r="AB86" s="256">
        <f>IF(AB$2&gt;Inputs!$G$52,0,IPMT(Inputs!$G$53,AB$2,Inputs!$G$52,$F$82))</f>
        <v>0</v>
      </c>
      <c r="AC86" s="256">
        <f>IF(AC$2&gt;Inputs!$G$52,0,IPMT(Inputs!$G$53,AC$2,Inputs!$G$52,$F$82))</f>
        <v>0</v>
      </c>
      <c r="AD86" s="256">
        <f>IF(AD$2&gt;Inputs!$G$52,0,IPMT(Inputs!$G$53,AD$2,Inputs!$G$52,$F$82))</f>
        <v>0</v>
      </c>
      <c r="AE86" s="256">
        <f>IF(AE$2&gt;Inputs!$G$52,0,IPMT(Inputs!$G$53,AE$2,Inputs!$G$52,$F$82))</f>
        <v>0</v>
      </c>
      <c r="AF86" s="256">
        <f>IF(AF$2&gt;Inputs!$G$52,0,IPMT(Inputs!$G$53,AF$2,Inputs!$G$52,$F$82))</f>
        <v>0</v>
      </c>
      <c r="AG86" s="256">
        <f>IF(AG$2&gt;Inputs!$G$52,0,IPMT(Inputs!$G$53,AG$2,Inputs!$G$52,$F$82))</f>
        <v>0</v>
      </c>
      <c r="AH86" s="256">
        <f>IF(AH$2&gt;Inputs!$G$52,0,IPMT(Inputs!$G$53,AH$2,Inputs!$G$52,$F$82))</f>
        <v>0</v>
      </c>
      <c r="AI86" s="256">
        <f>IF(AI$2&gt;Inputs!$G$52,0,IPMT(Inputs!$G$53,AI$2,Inputs!$G$52,$F$82))</f>
        <v>0</v>
      </c>
      <c r="AJ86" s="256">
        <f>IF(AJ$2&gt;Inputs!$G$52,0,IPMT(Inputs!$G$53,AJ$2,Inputs!$G$52,$F$82))</f>
        <v>0</v>
      </c>
    </row>
    <row r="87" spans="2:36" s="1" customFormat="1" x14ac:dyDescent="0.2">
      <c r="B87" s="254" t="s">
        <v>97</v>
      </c>
      <c r="C87" s="254"/>
      <c r="D87" s="254"/>
      <c r="E87" s="254"/>
      <c r="F87" s="248">
        <f>MIN(MAX(0,F85-F86),F$90)</f>
        <v>0</v>
      </c>
      <c r="G87" s="256">
        <f>IF(G$2&gt;Inputs!$G$52,0,PPMT(Inputs!$G$53,G$2,Inputs!$G$52,$F$82))</f>
        <v>-72796.189104445948</v>
      </c>
      <c r="H87" s="256">
        <f>IF(H$2&gt;Inputs!$G$52,0,PPMT(Inputs!$G$53,H$2,Inputs!$G$52,$F$82))</f>
        <v>-77891.922341757148</v>
      </c>
      <c r="I87" s="256">
        <f>IF(I$2&gt;Inputs!$G$52,0,PPMT(Inputs!$G$53,I$2,Inputs!$G$52,$F$82))</f>
        <v>-83344.356905680164</v>
      </c>
      <c r="J87" s="256">
        <f>IF(J$2&gt;Inputs!$G$52,0,PPMT(Inputs!$G$53,J$2,Inputs!$G$52,$F$82))</f>
        <v>-89178.461889077778</v>
      </c>
      <c r="K87" s="256">
        <f>IF(K$2&gt;Inputs!$G$52,0,PPMT(Inputs!$G$53,K$2,Inputs!$G$52,$F$82))</f>
        <v>-95420.954221313223</v>
      </c>
      <c r="L87" s="256">
        <f>IF(L$2&gt;Inputs!$G$52,0,PPMT(Inputs!$G$53,L$2,Inputs!$G$52,$F$82))</f>
        <v>-102100.42101680515</v>
      </c>
      <c r="M87" s="256">
        <f>IF(M$2&gt;Inputs!$G$52,0,PPMT(Inputs!$G$53,M$2,Inputs!$G$52,$F$82))</f>
        <v>-109247.45048798151</v>
      </c>
      <c r="N87" s="256">
        <f>IF(N$2&gt;Inputs!$G$52,0,PPMT(Inputs!$G$53,N$2,Inputs!$G$52,$F$82))</f>
        <v>-116894.77202214021</v>
      </c>
      <c r="O87" s="256">
        <f>IF(O$2&gt;Inputs!$G$52,0,PPMT(Inputs!$G$53,O$2,Inputs!$G$52,$F$82))</f>
        <v>-125077.40606369002</v>
      </c>
      <c r="P87" s="256">
        <f>IF(P$2&gt;Inputs!$G$52,0,PPMT(Inputs!$G$53,P$2,Inputs!$G$52,$F$82))</f>
        <v>-133832.82448814833</v>
      </c>
      <c r="Q87" s="256">
        <f>IF(Q$2&gt;Inputs!$G$52,0,PPMT(Inputs!$G$53,Q$2,Inputs!$G$52,$F$82))</f>
        <v>-143201.12220231871</v>
      </c>
      <c r="R87" s="256">
        <f>IF(R$2&gt;Inputs!$G$52,0,PPMT(Inputs!$G$53,R$2,Inputs!$G$52,$F$82))</f>
        <v>-153225.20075648103</v>
      </c>
      <c r="S87" s="256">
        <f>IF(S$2&gt;Inputs!$G$52,0,PPMT(Inputs!$G$53,S$2,Inputs!$G$52,$F$82))</f>
        <v>-163950.96480943469</v>
      </c>
      <c r="T87" s="256">
        <f>IF(T$2&gt;Inputs!$G$52,0,PPMT(Inputs!$G$53,T$2,Inputs!$G$52,$F$82))</f>
        <v>-175427.5323460951</v>
      </c>
      <c r="U87" s="256">
        <f>IF(U$2&gt;Inputs!$G$52,0,PPMT(Inputs!$G$53,U$2,Inputs!$G$52,$F$82))</f>
        <v>-187707.45961032179</v>
      </c>
      <c r="V87" s="256">
        <f>IF(V$2&gt;Inputs!$G$52,0,PPMT(Inputs!$G$53,V$2,Inputs!$G$52,$F$82))</f>
        <v>-200846.98178304429</v>
      </c>
      <c r="W87" s="256">
        <f>IF(W$2&gt;Inputs!$G$52,0,PPMT(Inputs!$G$53,W$2,Inputs!$G$52,$F$82))</f>
        <v>-214906.27050785741</v>
      </c>
      <c r="X87" s="256">
        <f>IF(X$2&gt;Inputs!$G$52,0,PPMT(Inputs!$G$53,X$2,Inputs!$G$52,$F$82))</f>
        <v>-229949.70944340742</v>
      </c>
      <c r="Y87" s="256">
        <f>IF(Y$2&gt;Inputs!$G$52,0,PPMT(Inputs!$G$53,Y$2,Inputs!$G$52,$F$82))</f>
        <v>0</v>
      </c>
      <c r="Z87" s="256">
        <f>IF(Z$2&gt;Inputs!$G$52,0,PPMT(Inputs!$G$53,Z$2,Inputs!$G$52,$F$82))</f>
        <v>0</v>
      </c>
      <c r="AA87" s="256">
        <f>IF(AA$2&gt;Inputs!$G$52,0,PPMT(Inputs!$G$53,AA$2,Inputs!$G$52,$F$82))</f>
        <v>0</v>
      </c>
      <c r="AB87" s="256">
        <f>IF(AB$2&gt;Inputs!$G$52,0,PPMT(Inputs!$G$53,AB$2,Inputs!$G$52,$F$82))</f>
        <v>0</v>
      </c>
      <c r="AC87" s="256">
        <f>IF(AC$2&gt;Inputs!$G$52,0,PPMT(Inputs!$G$53,AC$2,Inputs!$G$52,$F$82))</f>
        <v>0</v>
      </c>
      <c r="AD87" s="256">
        <f>IF(AD$2&gt;Inputs!$G$52,0,PPMT(Inputs!$G$53,AD$2,Inputs!$G$52,$F$82))</f>
        <v>0</v>
      </c>
      <c r="AE87" s="256">
        <f>IF(AE$2&gt;Inputs!$G$52,0,PPMT(Inputs!$G$53,AE$2,Inputs!$G$52,$F$82))</f>
        <v>0</v>
      </c>
      <c r="AF87" s="256">
        <f>IF(AF$2&gt;Inputs!$G$52,0,PPMT(Inputs!$G$53,AF$2,Inputs!$G$52,$F$82))</f>
        <v>0</v>
      </c>
      <c r="AG87" s="256">
        <f>IF(AG$2&gt;Inputs!$G$52,0,PPMT(Inputs!$G$53,AG$2,Inputs!$G$52,$F$82))</f>
        <v>0</v>
      </c>
      <c r="AH87" s="256">
        <f>IF(AH$2&gt;Inputs!$G$52,0,PPMT(Inputs!$G$53,AH$2,Inputs!$G$52,$F$82))</f>
        <v>0</v>
      </c>
      <c r="AI87" s="256">
        <f>IF(AI$2&gt;Inputs!$G$52,0,PPMT(Inputs!$G$53,AI$2,Inputs!$G$52,$F$82))</f>
        <v>0</v>
      </c>
      <c r="AJ87" s="256">
        <f>IF(AJ$2&gt;Inputs!$G$52,0,PPMT(Inputs!$G$53,AJ$2,Inputs!$G$52,$F$82))</f>
        <v>0</v>
      </c>
    </row>
    <row r="88" spans="2:36" s="1" customFormat="1" ht="15.75" x14ac:dyDescent="0.25">
      <c r="B88" s="246"/>
      <c r="C88" s="246"/>
      <c r="D88" s="246"/>
      <c r="E88" s="246"/>
      <c r="F88" s="253"/>
      <c r="G88" s="249"/>
      <c r="H88" s="249"/>
      <c r="I88" s="249"/>
      <c r="J88" s="249"/>
      <c r="K88" s="249"/>
      <c r="L88" s="249"/>
      <c r="M88" s="249"/>
      <c r="N88" s="249"/>
      <c r="O88" s="249"/>
      <c r="P88" s="249"/>
      <c r="Q88" s="249"/>
      <c r="R88" s="249"/>
      <c r="S88" s="249"/>
      <c r="T88" s="249"/>
      <c r="U88" s="249"/>
      <c r="V88" s="249"/>
      <c r="W88" s="249"/>
      <c r="X88" s="249"/>
      <c r="Y88" s="249"/>
      <c r="Z88" s="249"/>
      <c r="AA88" s="249"/>
      <c r="AB88" s="249"/>
      <c r="AC88" s="249"/>
      <c r="AD88" s="249"/>
      <c r="AE88" s="249"/>
      <c r="AF88" s="249"/>
      <c r="AG88" s="249"/>
      <c r="AH88" s="249"/>
      <c r="AI88" s="249"/>
      <c r="AJ88" s="249"/>
    </row>
    <row r="89" spans="2:36" s="1" customFormat="1" ht="15.75" x14ac:dyDescent="0.25">
      <c r="B89" s="246" t="s">
        <v>126</v>
      </c>
      <c r="C89" s="246"/>
      <c r="D89" s="246"/>
      <c r="E89" s="247"/>
      <c r="F89" s="257"/>
      <c r="G89" s="257"/>
      <c r="H89" s="257"/>
      <c r="I89" s="257"/>
      <c r="J89" s="257"/>
      <c r="K89" s="257"/>
      <c r="L89" s="257"/>
      <c r="M89" s="257"/>
      <c r="N89" s="257"/>
      <c r="O89" s="257"/>
      <c r="P89" s="257"/>
      <c r="Q89" s="257"/>
      <c r="R89" s="257"/>
      <c r="S89" s="257"/>
      <c r="T89" s="257"/>
      <c r="U89" s="257"/>
      <c r="V89" s="257"/>
      <c r="W89" s="257"/>
      <c r="X89" s="257"/>
      <c r="Y89" s="257"/>
      <c r="Z89" s="257"/>
      <c r="AA89" s="257"/>
      <c r="AB89" s="257"/>
      <c r="AC89" s="257"/>
      <c r="AD89" s="257"/>
      <c r="AE89" s="257"/>
      <c r="AF89" s="257"/>
      <c r="AG89" s="257"/>
      <c r="AH89" s="257"/>
      <c r="AI89" s="257"/>
      <c r="AJ89" s="257"/>
    </row>
    <row r="90" spans="2:36" s="1" customFormat="1" ht="15.75" x14ac:dyDescent="0.25">
      <c r="B90" s="254" t="s">
        <v>93</v>
      </c>
      <c r="C90" s="254"/>
      <c r="D90" s="254"/>
      <c r="E90" s="254"/>
      <c r="F90" s="255">
        <v>0</v>
      </c>
      <c r="G90" s="248">
        <f t="shared" ref="G90:AJ90" si="22">F93</f>
        <v>2475000</v>
      </c>
      <c r="H90" s="248">
        <f t="shared" si="22"/>
        <v>2402203.8108955543</v>
      </c>
      <c r="I90" s="248">
        <f t="shared" si="22"/>
        <v>2324311.8885537973</v>
      </c>
      <c r="J90" s="248">
        <f t="shared" si="22"/>
        <v>2240967.5316481171</v>
      </c>
      <c r="K90" s="248">
        <f t="shared" si="22"/>
        <v>2151789.0697590392</v>
      </c>
      <c r="L90" s="248">
        <f t="shared" si="22"/>
        <v>2056368.1155377261</v>
      </c>
      <c r="M90" s="248">
        <f t="shared" si="22"/>
        <v>1954267.694520921</v>
      </c>
      <c r="N90" s="248">
        <f t="shared" si="22"/>
        <v>1845020.2440329394</v>
      </c>
      <c r="O90" s="248">
        <f t="shared" si="22"/>
        <v>1728125.4720107992</v>
      </c>
      <c r="P90" s="248">
        <f t="shared" si="22"/>
        <v>1603048.0659471091</v>
      </c>
      <c r="Q90" s="248">
        <f t="shared" si="22"/>
        <v>1469215.2414589608</v>
      </c>
      <c r="R90" s="248">
        <f t="shared" si="22"/>
        <v>1326014.1192566422</v>
      </c>
      <c r="S90" s="248">
        <f t="shared" si="22"/>
        <v>1172788.9185001613</v>
      </c>
      <c r="T90" s="248">
        <f t="shared" si="22"/>
        <v>1008837.9536907265</v>
      </c>
      <c r="U90" s="248">
        <f t="shared" si="22"/>
        <v>833410.42134463147</v>
      </c>
      <c r="V90" s="248">
        <f t="shared" si="22"/>
        <v>645702.96173430968</v>
      </c>
      <c r="W90" s="248">
        <f t="shared" si="22"/>
        <v>444855.97995126538</v>
      </c>
      <c r="X90" s="248">
        <f t="shared" si="22"/>
        <v>229949.70944340798</v>
      </c>
      <c r="Y90" s="248">
        <f t="shared" si="22"/>
        <v>5.5297277867794037E-10</v>
      </c>
      <c r="Z90" s="248">
        <f t="shared" si="22"/>
        <v>5.5297277867794037E-10</v>
      </c>
      <c r="AA90" s="248">
        <f t="shared" si="22"/>
        <v>5.5297277867794037E-10</v>
      </c>
      <c r="AB90" s="248">
        <f t="shared" si="22"/>
        <v>5.5297277867794037E-10</v>
      </c>
      <c r="AC90" s="248">
        <f t="shared" si="22"/>
        <v>5.5297277867794037E-10</v>
      </c>
      <c r="AD90" s="248">
        <f t="shared" si="22"/>
        <v>5.5297277867794037E-10</v>
      </c>
      <c r="AE90" s="248">
        <f t="shared" si="22"/>
        <v>5.5297277867794037E-10</v>
      </c>
      <c r="AF90" s="248">
        <f t="shared" si="22"/>
        <v>5.5297277867794037E-10</v>
      </c>
      <c r="AG90" s="248">
        <f t="shared" si="22"/>
        <v>5.5297277867794037E-10</v>
      </c>
      <c r="AH90" s="248">
        <f t="shared" si="22"/>
        <v>5.5297277867794037E-10</v>
      </c>
      <c r="AI90" s="248">
        <f t="shared" si="22"/>
        <v>5.5297277867794037E-10</v>
      </c>
      <c r="AJ90" s="248">
        <f t="shared" si="22"/>
        <v>5.5297277867794037E-10</v>
      </c>
    </row>
    <row r="91" spans="2:36" s="1" customFormat="1" ht="15.75" x14ac:dyDescent="0.25">
      <c r="B91" s="254" t="s">
        <v>94</v>
      </c>
      <c r="C91" s="254"/>
      <c r="D91" s="254"/>
      <c r="E91" s="254"/>
      <c r="F91" s="248">
        <f>$F$82</f>
        <v>2475000</v>
      </c>
      <c r="G91" s="255">
        <v>0</v>
      </c>
      <c r="H91" s="255">
        <v>0</v>
      </c>
      <c r="I91" s="255">
        <v>0</v>
      </c>
      <c r="J91" s="255">
        <v>0</v>
      </c>
      <c r="K91" s="255">
        <v>0</v>
      </c>
      <c r="L91" s="255">
        <v>0</v>
      </c>
      <c r="M91" s="255">
        <v>0</v>
      </c>
      <c r="N91" s="255">
        <v>0</v>
      </c>
      <c r="O91" s="255">
        <v>0</v>
      </c>
      <c r="P91" s="255">
        <v>0</v>
      </c>
      <c r="Q91" s="255">
        <v>0</v>
      </c>
      <c r="R91" s="255">
        <v>0</v>
      </c>
      <c r="S91" s="255">
        <v>0</v>
      </c>
      <c r="T91" s="255">
        <v>0</v>
      </c>
      <c r="U91" s="255">
        <v>0</v>
      </c>
      <c r="V91" s="255">
        <v>0</v>
      </c>
      <c r="W91" s="255">
        <v>0</v>
      </c>
      <c r="X91" s="255">
        <v>0</v>
      </c>
      <c r="Y91" s="255">
        <v>0</v>
      </c>
      <c r="Z91" s="255">
        <v>0</v>
      </c>
      <c r="AA91" s="255">
        <v>0</v>
      </c>
      <c r="AB91" s="255">
        <v>0</v>
      </c>
      <c r="AC91" s="255">
        <v>0</v>
      </c>
      <c r="AD91" s="255">
        <v>0</v>
      </c>
      <c r="AE91" s="255">
        <v>0</v>
      </c>
      <c r="AF91" s="255">
        <v>0</v>
      </c>
      <c r="AG91" s="255">
        <v>0</v>
      </c>
      <c r="AH91" s="255">
        <v>0</v>
      </c>
      <c r="AI91" s="255">
        <v>0</v>
      </c>
      <c r="AJ91" s="255">
        <v>0</v>
      </c>
    </row>
    <row r="92" spans="2:36" s="1" customFormat="1" ht="15.75" x14ac:dyDescent="0.25">
      <c r="B92" s="254" t="s">
        <v>125</v>
      </c>
      <c r="C92" s="254"/>
      <c r="D92" s="254"/>
      <c r="E92" s="254"/>
      <c r="F92" s="258">
        <v>0</v>
      </c>
      <c r="G92" s="259">
        <f t="shared" ref="G92:AJ92" si="23">G87</f>
        <v>-72796.189104445948</v>
      </c>
      <c r="H92" s="259">
        <f t="shared" si="23"/>
        <v>-77891.922341757148</v>
      </c>
      <c r="I92" s="259">
        <f t="shared" si="23"/>
        <v>-83344.356905680164</v>
      </c>
      <c r="J92" s="259">
        <f t="shared" si="23"/>
        <v>-89178.461889077778</v>
      </c>
      <c r="K92" s="259">
        <f t="shared" si="23"/>
        <v>-95420.954221313223</v>
      </c>
      <c r="L92" s="259">
        <f t="shared" si="23"/>
        <v>-102100.42101680515</v>
      </c>
      <c r="M92" s="259">
        <f t="shared" si="23"/>
        <v>-109247.45048798151</v>
      </c>
      <c r="N92" s="259">
        <f t="shared" si="23"/>
        <v>-116894.77202214021</v>
      </c>
      <c r="O92" s="259">
        <f t="shared" si="23"/>
        <v>-125077.40606369002</v>
      </c>
      <c r="P92" s="259">
        <f t="shared" si="23"/>
        <v>-133832.82448814833</v>
      </c>
      <c r="Q92" s="259">
        <f t="shared" si="23"/>
        <v>-143201.12220231871</v>
      </c>
      <c r="R92" s="259">
        <f t="shared" si="23"/>
        <v>-153225.20075648103</v>
      </c>
      <c r="S92" s="259">
        <f t="shared" si="23"/>
        <v>-163950.96480943469</v>
      </c>
      <c r="T92" s="259">
        <f t="shared" si="23"/>
        <v>-175427.5323460951</v>
      </c>
      <c r="U92" s="259">
        <f t="shared" si="23"/>
        <v>-187707.45961032179</v>
      </c>
      <c r="V92" s="259">
        <f t="shared" si="23"/>
        <v>-200846.98178304429</v>
      </c>
      <c r="W92" s="259">
        <f t="shared" si="23"/>
        <v>-214906.27050785741</v>
      </c>
      <c r="X92" s="259">
        <f t="shared" si="23"/>
        <v>-229949.70944340742</v>
      </c>
      <c r="Y92" s="259">
        <f t="shared" si="23"/>
        <v>0</v>
      </c>
      <c r="Z92" s="259">
        <f t="shared" si="23"/>
        <v>0</v>
      </c>
      <c r="AA92" s="259">
        <f t="shared" si="23"/>
        <v>0</v>
      </c>
      <c r="AB92" s="259">
        <f t="shared" si="23"/>
        <v>0</v>
      </c>
      <c r="AC92" s="259">
        <f t="shared" si="23"/>
        <v>0</v>
      </c>
      <c r="AD92" s="259">
        <f t="shared" si="23"/>
        <v>0</v>
      </c>
      <c r="AE92" s="259">
        <f t="shared" si="23"/>
        <v>0</v>
      </c>
      <c r="AF92" s="259">
        <f t="shared" si="23"/>
        <v>0</v>
      </c>
      <c r="AG92" s="259">
        <f t="shared" si="23"/>
        <v>0</v>
      </c>
      <c r="AH92" s="259">
        <f t="shared" si="23"/>
        <v>0</v>
      </c>
      <c r="AI92" s="259">
        <f t="shared" si="23"/>
        <v>0</v>
      </c>
      <c r="AJ92" s="259">
        <f t="shared" si="23"/>
        <v>0</v>
      </c>
    </row>
    <row r="93" spans="2:36" s="1" customFormat="1" x14ac:dyDescent="0.2">
      <c r="B93" s="254" t="s">
        <v>95</v>
      </c>
      <c r="C93" s="254"/>
      <c r="D93" s="254"/>
      <c r="E93" s="254"/>
      <c r="F93" s="248">
        <f t="shared" ref="F93:AJ93" si="24">SUM(F90:F92)</f>
        <v>2475000</v>
      </c>
      <c r="G93" s="248">
        <f t="shared" si="24"/>
        <v>2402203.8108955543</v>
      </c>
      <c r="H93" s="248">
        <f t="shared" si="24"/>
        <v>2324311.8885537973</v>
      </c>
      <c r="I93" s="248">
        <f t="shared" si="24"/>
        <v>2240967.5316481171</v>
      </c>
      <c r="J93" s="248">
        <f t="shared" si="24"/>
        <v>2151789.0697590392</v>
      </c>
      <c r="K93" s="248">
        <f t="shared" si="24"/>
        <v>2056368.1155377261</v>
      </c>
      <c r="L93" s="248">
        <f t="shared" si="24"/>
        <v>1954267.694520921</v>
      </c>
      <c r="M93" s="248">
        <f t="shared" si="24"/>
        <v>1845020.2440329394</v>
      </c>
      <c r="N93" s="248">
        <f t="shared" si="24"/>
        <v>1728125.4720107992</v>
      </c>
      <c r="O93" s="248">
        <f t="shared" si="24"/>
        <v>1603048.0659471091</v>
      </c>
      <c r="P93" s="248">
        <f t="shared" si="24"/>
        <v>1469215.2414589608</v>
      </c>
      <c r="Q93" s="248">
        <f t="shared" si="24"/>
        <v>1326014.1192566422</v>
      </c>
      <c r="R93" s="248">
        <f t="shared" si="24"/>
        <v>1172788.9185001613</v>
      </c>
      <c r="S93" s="248">
        <f t="shared" si="24"/>
        <v>1008837.9536907265</v>
      </c>
      <c r="T93" s="248">
        <f t="shared" si="24"/>
        <v>833410.42134463147</v>
      </c>
      <c r="U93" s="248">
        <f t="shared" si="24"/>
        <v>645702.96173430968</v>
      </c>
      <c r="V93" s="248">
        <f t="shared" si="24"/>
        <v>444855.97995126538</v>
      </c>
      <c r="W93" s="248">
        <f t="shared" si="24"/>
        <v>229949.70944340798</v>
      </c>
      <c r="X93" s="248">
        <f t="shared" si="24"/>
        <v>5.5297277867794037E-10</v>
      </c>
      <c r="Y93" s="248">
        <f t="shared" si="24"/>
        <v>5.5297277867794037E-10</v>
      </c>
      <c r="Z93" s="248">
        <f t="shared" si="24"/>
        <v>5.5297277867794037E-10</v>
      </c>
      <c r="AA93" s="248">
        <f t="shared" si="24"/>
        <v>5.5297277867794037E-10</v>
      </c>
      <c r="AB93" s="248">
        <f t="shared" si="24"/>
        <v>5.5297277867794037E-10</v>
      </c>
      <c r="AC93" s="248">
        <f t="shared" si="24"/>
        <v>5.5297277867794037E-10</v>
      </c>
      <c r="AD93" s="248">
        <f t="shared" si="24"/>
        <v>5.5297277867794037E-10</v>
      </c>
      <c r="AE93" s="248">
        <f t="shared" si="24"/>
        <v>5.5297277867794037E-10</v>
      </c>
      <c r="AF93" s="248">
        <f t="shared" si="24"/>
        <v>5.5297277867794037E-10</v>
      </c>
      <c r="AG93" s="248">
        <f t="shared" si="24"/>
        <v>5.5297277867794037E-10</v>
      </c>
      <c r="AH93" s="248">
        <f t="shared" si="24"/>
        <v>5.5297277867794037E-10</v>
      </c>
      <c r="AI93" s="248">
        <f t="shared" si="24"/>
        <v>5.5297277867794037E-10</v>
      </c>
      <c r="AJ93" s="248">
        <f t="shared" si="24"/>
        <v>5.5297277867794037E-10</v>
      </c>
    </row>
    <row r="94" spans="2:36" s="1" customFormat="1" ht="15.75" thickBot="1" x14ac:dyDescent="0.25">
      <c r="B94" s="241"/>
      <c r="C94" s="241"/>
      <c r="D94" s="241"/>
      <c r="E94" s="241"/>
      <c r="F94" s="241"/>
      <c r="G94" s="241"/>
      <c r="H94" s="241"/>
      <c r="I94" s="241"/>
      <c r="J94" s="241"/>
      <c r="K94" s="241"/>
      <c r="L94" s="241"/>
      <c r="M94" s="241"/>
      <c r="N94" s="241"/>
      <c r="O94" s="241"/>
      <c r="P94" s="241"/>
      <c r="Q94" s="241"/>
      <c r="R94" s="241"/>
      <c r="S94" s="241"/>
      <c r="T94" s="241"/>
      <c r="U94" s="241"/>
      <c r="V94" s="241"/>
      <c r="W94" s="241"/>
      <c r="X94" s="241"/>
      <c r="Y94" s="241"/>
      <c r="Z94" s="241"/>
      <c r="AA94" s="241"/>
      <c r="AB94" s="241"/>
      <c r="AC94" s="241"/>
      <c r="AD94" s="241"/>
      <c r="AE94" s="241"/>
      <c r="AF94" s="241"/>
      <c r="AG94" s="241"/>
      <c r="AH94" s="241"/>
      <c r="AI94" s="241"/>
      <c r="AJ94" s="241"/>
    </row>
    <row r="95" spans="2:36" x14ac:dyDescent="0.25">
      <c r="B95" s="260"/>
      <c r="C95" s="260"/>
      <c r="D95" s="260"/>
      <c r="E95" s="260"/>
      <c r="F95" s="260"/>
      <c r="G95" s="260"/>
      <c r="H95" s="260"/>
      <c r="I95" s="260"/>
      <c r="J95" s="260"/>
      <c r="K95" s="260"/>
      <c r="L95" s="260"/>
      <c r="M95" s="260"/>
      <c r="N95" s="260"/>
      <c r="O95" s="260"/>
      <c r="P95" s="260"/>
      <c r="Q95" s="260"/>
      <c r="R95" s="260"/>
      <c r="S95" s="260"/>
      <c r="T95" s="260"/>
      <c r="U95" s="260"/>
      <c r="V95" s="260"/>
      <c r="W95" s="260"/>
      <c r="X95" s="260"/>
      <c r="Y95" s="260"/>
      <c r="Z95" s="260"/>
      <c r="AA95" s="260"/>
      <c r="AB95" s="260"/>
      <c r="AC95" s="260"/>
      <c r="AD95" s="260"/>
      <c r="AE95" s="260"/>
      <c r="AF95" s="260"/>
      <c r="AG95" s="260"/>
      <c r="AH95" s="260"/>
      <c r="AI95" s="260"/>
      <c r="AJ95" s="260"/>
    </row>
    <row r="96" spans="2:36" s="1" customFormat="1" ht="15.75" x14ac:dyDescent="0.25">
      <c r="B96" s="220" t="s">
        <v>155</v>
      </c>
      <c r="C96" s="730" t="s">
        <v>358</v>
      </c>
      <c r="D96" s="730"/>
      <c r="E96" s="730"/>
      <c r="F96" s="221"/>
      <c r="G96" s="221"/>
      <c r="H96" s="221"/>
      <c r="I96" s="221"/>
      <c r="J96" s="221"/>
      <c r="K96" s="221"/>
      <c r="L96" s="221"/>
      <c r="M96" s="221"/>
      <c r="N96" s="221"/>
      <c r="O96" s="221"/>
      <c r="P96" s="221"/>
      <c r="Q96" s="221"/>
      <c r="R96" s="221"/>
      <c r="S96" s="221"/>
      <c r="T96" s="221"/>
      <c r="U96" s="221"/>
      <c r="V96" s="221"/>
      <c r="W96" s="221"/>
      <c r="X96" s="221"/>
      <c r="Y96" s="221"/>
      <c r="Z96" s="221"/>
      <c r="AA96" s="221"/>
      <c r="AB96" s="221"/>
      <c r="AC96" s="221"/>
      <c r="AD96" s="221"/>
      <c r="AE96" s="221"/>
      <c r="AF96" s="221"/>
      <c r="AG96" s="221"/>
      <c r="AH96" s="221"/>
      <c r="AI96" s="221"/>
      <c r="AJ96" s="221"/>
    </row>
    <row r="97" spans="2:36" s="1" customFormat="1" x14ac:dyDescent="0.2">
      <c r="B97" s="221" t="s">
        <v>131</v>
      </c>
      <c r="C97" s="222" t="s">
        <v>359</v>
      </c>
      <c r="D97" s="222" t="s">
        <v>365</v>
      </c>
      <c r="E97" s="222" t="s">
        <v>360</v>
      </c>
      <c r="F97" s="222">
        <v>0</v>
      </c>
      <c r="G97" s="222">
        <v>1</v>
      </c>
      <c r="H97" s="222">
        <v>2</v>
      </c>
      <c r="I97" s="222">
        <v>3</v>
      </c>
      <c r="J97" s="222">
        <v>4</v>
      </c>
      <c r="K97" s="222">
        <v>5</v>
      </c>
      <c r="L97" s="222">
        <v>6</v>
      </c>
      <c r="M97" s="222">
        <v>7</v>
      </c>
      <c r="N97" s="222">
        <v>8</v>
      </c>
      <c r="O97" s="222">
        <v>9</v>
      </c>
      <c r="P97" s="222">
        <v>10</v>
      </c>
      <c r="Q97" s="222">
        <v>11</v>
      </c>
      <c r="R97" s="222">
        <v>12</v>
      </c>
      <c r="S97" s="222">
        <v>13</v>
      </c>
      <c r="T97" s="222">
        <v>14</v>
      </c>
      <c r="U97" s="222">
        <v>15</v>
      </c>
      <c r="V97" s="222">
        <v>16</v>
      </c>
      <c r="W97" s="222">
        <v>17</v>
      </c>
      <c r="X97" s="222">
        <v>18</v>
      </c>
      <c r="Y97" s="222">
        <v>19</v>
      </c>
      <c r="Z97" s="222">
        <v>20</v>
      </c>
      <c r="AA97" s="222">
        <v>21</v>
      </c>
      <c r="AB97" s="222">
        <v>22</v>
      </c>
      <c r="AC97" s="222">
        <v>23</v>
      </c>
      <c r="AD97" s="222">
        <v>24</v>
      </c>
      <c r="AE97" s="222">
        <v>25</v>
      </c>
      <c r="AF97" s="222">
        <v>26</v>
      </c>
      <c r="AG97" s="222">
        <v>27</v>
      </c>
      <c r="AH97" s="222">
        <v>28</v>
      </c>
      <c r="AI97" s="222">
        <v>29</v>
      </c>
      <c r="AJ97" s="222">
        <v>30</v>
      </c>
    </row>
    <row r="98" spans="2:36" s="1" customFormat="1" ht="15.75" x14ac:dyDescent="0.25">
      <c r="B98" s="223" t="s">
        <v>132</v>
      </c>
      <c r="C98" s="224" t="s">
        <v>361</v>
      </c>
      <c r="D98" s="224" t="s">
        <v>140</v>
      </c>
      <c r="E98" s="224" t="s">
        <v>361</v>
      </c>
      <c r="F98" s="221"/>
      <c r="G98" s="221"/>
      <c r="H98" s="221"/>
      <c r="I98" s="221"/>
      <c r="J98" s="221"/>
      <c r="K98" s="221"/>
      <c r="L98" s="221"/>
      <c r="M98" s="221"/>
      <c r="N98" s="221"/>
      <c r="O98" s="221"/>
      <c r="P98" s="221"/>
      <c r="Q98" s="221"/>
      <c r="R98" s="221"/>
      <c r="S98" s="221"/>
      <c r="T98" s="221"/>
      <c r="U98" s="221"/>
      <c r="V98" s="221"/>
      <c r="W98" s="221"/>
      <c r="X98" s="221"/>
      <c r="Y98" s="221"/>
      <c r="Z98" s="221"/>
      <c r="AA98" s="221"/>
      <c r="AB98" s="221"/>
      <c r="AC98" s="221"/>
      <c r="AD98" s="221"/>
      <c r="AE98" s="221"/>
      <c r="AF98" s="221"/>
      <c r="AG98" s="221"/>
      <c r="AH98" s="221"/>
      <c r="AI98" s="221"/>
      <c r="AJ98" s="221"/>
    </row>
    <row r="99" spans="2:36" s="1" customFormat="1" ht="15.75" x14ac:dyDescent="0.25">
      <c r="B99" s="221" t="s">
        <v>81</v>
      </c>
      <c r="C99" s="225">
        <f>IF(Inputs!$G$18="Simple",Inputs!$G$26*Inputs!$P$73,IF(Inputs!$G$18="Intermediate",SUMPRODUCT(Inputs!$G$20:$G$24,Inputs!$P$74:$P$78),'Complex Inputs'!$F$121))</f>
        <v>3720000</v>
      </c>
      <c r="D99" s="460">
        <f t="shared" ref="D99:D106" si="25">C99/$C$110</f>
        <v>0.63623985601389299</v>
      </c>
      <c r="E99" s="225">
        <f>($C$110-$C$112)*IF(Inputs!$P$70="No",1,(1-Inputs!$P$71))*D99</f>
        <v>1706157.2028158407</v>
      </c>
      <c r="F99" s="226"/>
      <c r="G99" s="227">
        <v>0.2</v>
      </c>
      <c r="H99" s="227">
        <v>0.32</v>
      </c>
      <c r="I99" s="227">
        <v>0.192</v>
      </c>
      <c r="J99" s="227">
        <v>0.1152</v>
      </c>
      <c r="K99" s="227">
        <v>0.1152</v>
      </c>
      <c r="L99" s="227">
        <v>5.7599999999999998E-2</v>
      </c>
      <c r="M99" s="227">
        <v>0</v>
      </c>
      <c r="N99" s="227">
        <v>0</v>
      </c>
      <c r="O99" s="227">
        <v>0</v>
      </c>
      <c r="P99" s="227">
        <v>0</v>
      </c>
      <c r="Q99" s="227">
        <v>0</v>
      </c>
      <c r="R99" s="227">
        <v>0</v>
      </c>
      <c r="S99" s="227">
        <v>0</v>
      </c>
      <c r="T99" s="227">
        <v>0</v>
      </c>
      <c r="U99" s="227">
        <v>0</v>
      </c>
      <c r="V99" s="227">
        <v>0</v>
      </c>
      <c r="W99" s="227">
        <v>0</v>
      </c>
      <c r="X99" s="227">
        <v>0</v>
      </c>
      <c r="Y99" s="227">
        <v>0</v>
      </c>
      <c r="Z99" s="227">
        <v>0</v>
      </c>
      <c r="AA99" s="227">
        <v>0</v>
      </c>
      <c r="AB99" s="227">
        <v>0</v>
      </c>
      <c r="AC99" s="227">
        <v>0</v>
      </c>
      <c r="AD99" s="227">
        <v>0</v>
      </c>
      <c r="AE99" s="227">
        <v>0</v>
      </c>
      <c r="AF99" s="227">
        <v>0</v>
      </c>
      <c r="AG99" s="227">
        <v>0</v>
      </c>
      <c r="AH99" s="227">
        <v>0</v>
      </c>
      <c r="AI99" s="227">
        <v>0</v>
      </c>
      <c r="AJ99" s="227">
        <v>0</v>
      </c>
    </row>
    <row r="100" spans="2:36" s="1" customFormat="1" ht="15.75" x14ac:dyDescent="0.25">
      <c r="B100" s="221" t="s">
        <v>133</v>
      </c>
      <c r="C100" s="225">
        <f>IF(Inputs!$G$18="Simple",Inputs!$G$26*Inputs!$Q$73,IF(Inputs!$G$18="Intermediate",SUMPRODUCT(Inputs!$G$20:$G$24,Inputs!$Q$74:$Q$78),'Complex Inputs'!$G$121))</f>
        <v>0</v>
      </c>
      <c r="D100" s="460">
        <f t="shared" si="25"/>
        <v>0</v>
      </c>
      <c r="E100" s="225">
        <f>($C$110-$C$112)*IF(Inputs!$P$70="No",1,(1-Inputs!$P$71))*D100</f>
        <v>0</v>
      </c>
      <c r="F100" s="221"/>
      <c r="G100" s="227">
        <v>0.1429</v>
      </c>
      <c r="H100" s="227">
        <v>0.24490000000000001</v>
      </c>
      <c r="I100" s="227">
        <v>0.1749</v>
      </c>
      <c r="J100" s="227">
        <v>0.1249</v>
      </c>
      <c r="K100" s="227">
        <v>8.9300000000000004E-2</v>
      </c>
      <c r="L100" s="227">
        <v>8.9200000000000002E-2</v>
      </c>
      <c r="M100" s="227">
        <v>8.9300000000000004E-2</v>
      </c>
      <c r="N100" s="227">
        <v>4.4600000000000001E-2</v>
      </c>
      <c r="O100" s="227">
        <v>0</v>
      </c>
      <c r="P100" s="227">
        <v>0</v>
      </c>
      <c r="Q100" s="227">
        <v>0</v>
      </c>
      <c r="R100" s="227">
        <v>0</v>
      </c>
      <c r="S100" s="227">
        <v>0</v>
      </c>
      <c r="T100" s="227">
        <v>0</v>
      </c>
      <c r="U100" s="227">
        <v>0</v>
      </c>
      <c r="V100" s="227">
        <v>0</v>
      </c>
      <c r="W100" s="227">
        <v>0</v>
      </c>
      <c r="X100" s="227">
        <v>0</v>
      </c>
      <c r="Y100" s="227">
        <v>0</v>
      </c>
      <c r="Z100" s="227">
        <v>0</v>
      </c>
      <c r="AA100" s="227">
        <v>0</v>
      </c>
      <c r="AB100" s="227">
        <v>0</v>
      </c>
      <c r="AC100" s="227">
        <v>0</v>
      </c>
      <c r="AD100" s="227">
        <v>0</v>
      </c>
      <c r="AE100" s="227">
        <v>0</v>
      </c>
      <c r="AF100" s="227">
        <v>0</v>
      </c>
      <c r="AG100" s="227">
        <v>0</v>
      </c>
      <c r="AH100" s="227">
        <v>0</v>
      </c>
      <c r="AI100" s="227">
        <v>0</v>
      </c>
      <c r="AJ100" s="227">
        <v>0</v>
      </c>
    </row>
    <row r="101" spans="2:36" s="1" customFormat="1" ht="15.75" x14ac:dyDescent="0.25">
      <c r="B101" s="221" t="s">
        <v>82</v>
      </c>
      <c r="C101" s="225">
        <f>IF(Inputs!$G$18="Simple",Inputs!$G$26*Inputs!$R$73,IF(Inputs!$G$18="Intermediate",SUMPRODUCT(Inputs!$G$20:$G$24,Inputs!$R$74:$R$78),'Complex Inputs'!$H$121))</f>
        <v>540000</v>
      </c>
      <c r="D101" s="460">
        <f t="shared" si="25"/>
        <v>9.2357398453629627E-2</v>
      </c>
      <c r="E101" s="225">
        <f>($C$110-$C$112)*IF(Inputs!$P$70="No",1,(1-Inputs!$P$71))*D101</f>
        <v>247667.98105391234</v>
      </c>
      <c r="F101" s="221"/>
      <c r="G101" s="227">
        <v>0.05</v>
      </c>
      <c r="H101" s="227">
        <v>9.5000000000000001E-2</v>
      </c>
      <c r="I101" s="227">
        <v>8.5500000000000007E-2</v>
      </c>
      <c r="J101" s="227">
        <v>7.6999999999999999E-2</v>
      </c>
      <c r="K101" s="227">
        <v>6.93E-2</v>
      </c>
      <c r="L101" s="227">
        <v>6.2300000000000001E-2</v>
      </c>
      <c r="M101" s="227">
        <v>5.8999999999999997E-2</v>
      </c>
      <c r="N101" s="227">
        <v>5.8999999999999997E-2</v>
      </c>
      <c r="O101" s="227">
        <v>5.91E-2</v>
      </c>
      <c r="P101" s="227">
        <v>5.8999999999999997E-2</v>
      </c>
      <c r="Q101" s="227">
        <v>5.91E-2</v>
      </c>
      <c r="R101" s="227">
        <v>5.8999999999999997E-2</v>
      </c>
      <c r="S101" s="227">
        <v>5.91E-2</v>
      </c>
      <c r="T101" s="227">
        <v>5.8999999999999997E-2</v>
      </c>
      <c r="U101" s="227">
        <v>5.91E-2</v>
      </c>
      <c r="V101" s="227">
        <v>2.9499999999999998E-2</v>
      </c>
      <c r="W101" s="227">
        <v>0</v>
      </c>
      <c r="X101" s="227">
        <v>0</v>
      </c>
      <c r="Y101" s="227">
        <v>0</v>
      </c>
      <c r="Z101" s="227">
        <v>0</v>
      </c>
      <c r="AA101" s="227">
        <v>0</v>
      </c>
      <c r="AB101" s="227">
        <v>0</v>
      </c>
      <c r="AC101" s="227">
        <v>0</v>
      </c>
      <c r="AD101" s="227">
        <v>0</v>
      </c>
      <c r="AE101" s="227">
        <v>0</v>
      </c>
      <c r="AF101" s="227">
        <v>0</v>
      </c>
      <c r="AG101" s="227">
        <v>0</v>
      </c>
      <c r="AH101" s="227">
        <v>0</v>
      </c>
      <c r="AI101" s="227">
        <v>0</v>
      </c>
      <c r="AJ101" s="227">
        <v>0</v>
      </c>
    </row>
    <row r="102" spans="2:36" s="1" customFormat="1" ht="15.75" x14ac:dyDescent="0.25">
      <c r="B102" s="221" t="s">
        <v>83</v>
      </c>
      <c r="C102" s="225">
        <f>IF(Inputs!$G$18="Simple",Inputs!$G$26*Inputs!$U$73,IF(Inputs!$G$18="Intermediate",SUMPRODUCT(Inputs!$G$20:$G$24,Inputs!$U$74:$U$78),'Complex Inputs'!$I$121))</f>
        <v>0</v>
      </c>
      <c r="D102" s="460">
        <f t="shared" si="25"/>
        <v>0</v>
      </c>
      <c r="E102" s="225">
        <f>($C$110-$C$112)*IF(Inputs!$P$70="No",1,(1-Inputs!$P$71))*D102</f>
        <v>0</v>
      </c>
      <c r="F102" s="221"/>
      <c r="G102" s="227">
        <v>3.7499999999999999E-2</v>
      </c>
      <c r="H102" s="227">
        <v>7.2190000000000004E-2</v>
      </c>
      <c r="I102" s="227">
        <v>6.6769999999999996E-2</v>
      </c>
      <c r="J102" s="227">
        <v>6.1769999999999999E-2</v>
      </c>
      <c r="K102" s="227">
        <v>5.713E-2</v>
      </c>
      <c r="L102" s="227">
        <v>5.2850000000000001E-2</v>
      </c>
      <c r="M102" s="227">
        <v>4.888E-2</v>
      </c>
      <c r="N102" s="227">
        <v>4.5220000000000003E-2</v>
      </c>
      <c r="O102" s="227">
        <v>4.462E-2</v>
      </c>
      <c r="P102" s="227">
        <v>4.4609999999999997E-2</v>
      </c>
      <c r="Q102" s="227">
        <v>4.462E-2</v>
      </c>
      <c r="R102" s="227">
        <v>4.4609999999999997E-2</v>
      </c>
      <c r="S102" s="227">
        <v>4.462E-2</v>
      </c>
      <c r="T102" s="227">
        <v>4.4609999999999997E-2</v>
      </c>
      <c r="U102" s="227">
        <v>4.462E-2</v>
      </c>
      <c r="V102" s="227">
        <v>4.4609999999999997E-2</v>
      </c>
      <c r="W102" s="227">
        <v>4.462E-2</v>
      </c>
      <c r="X102" s="227">
        <v>4.4609999999999997E-2</v>
      </c>
      <c r="Y102" s="227">
        <v>4.462E-2</v>
      </c>
      <c r="Z102" s="227">
        <v>4.4609999999999997E-2</v>
      </c>
      <c r="AA102" s="227">
        <v>2.231E-2</v>
      </c>
      <c r="AB102" s="227">
        <v>0</v>
      </c>
      <c r="AC102" s="227">
        <v>0</v>
      </c>
      <c r="AD102" s="227">
        <v>0</v>
      </c>
      <c r="AE102" s="227">
        <v>0</v>
      </c>
      <c r="AF102" s="227">
        <v>0</v>
      </c>
      <c r="AG102" s="227">
        <v>0</v>
      </c>
      <c r="AH102" s="227">
        <v>0</v>
      </c>
      <c r="AI102" s="227">
        <v>0</v>
      </c>
      <c r="AJ102" s="227">
        <v>0</v>
      </c>
    </row>
    <row r="103" spans="2:36" s="1" customFormat="1" ht="15.75" x14ac:dyDescent="0.25">
      <c r="B103" s="221" t="s">
        <v>134</v>
      </c>
      <c r="C103" s="225">
        <f>IF(Inputs!$G$18="Simple",Inputs!$G$26*Inputs!$V$73,IF(Inputs!$G$18="Intermediate",SUMPRODUCT(Inputs!$G$20:$G$24,Inputs!$V$74:$V$78),'Complex Inputs'!$J$121))</f>
        <v>0</v>
      </c>
      <c r="D103" s="460">
        <f t="shared" si="25"/>
        <v>0</v>
      </c>
      <c r="E103" s="225">
        <f>($C$110-$C$112)*IF(Inputs!$P$70="No",1,(1-Inputs!$P$71))*D103</f>
        <v>0</v>
      </c>
      <c r="F103" s="221"/>
      <c r="G103" s="227">
        <v>0.1</v>
      </c>
      <c r="H103" s="227">
        <v>0.2</v>
      </c>
      <c r="I103" s="227">
        <v>0.2</v>
      </c>
      <c r="J103" s="227">
        <v>0.2</v>
      </c>
      <c r="K103" s="227">
        <v>0.2</v>
      </c>
      <c r="L103" s="227">
        <v>0.1</v>
      </c>
      <c r="M103" s="227">
        <f t="shared" ref="M103:AJ103" si="26">IF(M$97&lt;=5, 1/5,0)</f>
        <v>0</v>
      </c>
      <c r="N103" s="227">
        <f t="shared" si="26"/>
        <v>0</v>
      </c>
      <c r="O103" s="227">
        <f t="shared" si="26"/>
        <v>0</v>
      </c>
      <c r="P103" s="227">
        <f t="shared" si="26"/>
        <v>0</v>
      </c>
      <c r="Q103" s="227">
        <f t="shared" si="26"/>
        <v>0</v>
      </c>
      <c r="R103" s="227">
        <f t="shared" si="26"/>
        <v>0</v>
      </c>
      <c r="S103" s="227">
        <f t="shared" si="26"/>
        <v>0</v>
      </c>
      <c r="T103" s="227">
        <f t="shared" si="26"/>
        <v>0</v>
      </c>
      <c r="U103" s="227">
        <f t="shared" si="26"/>
        <v>0</v>
      </c>
      <c r="V103" s="227">
        <f t="shared" si="26"/>
        <v>0</v>
      </c>
      <c r="W103" s="227">
        <f t="shared" si="26"/>
        <v>0</v>
      </c>
      <c r="X103" s="227">
        <f t="shared" si="26"/>
        <v>0</v>
      </c>
      <c r="Y103" s="227">
        <f t="shared" si="26"/>
        <v>0</v>
      </c>
      <c r="Z103" s="227">
        <f t="shared" si="26"/>
        <v>0</v>
      </c>
      <c r="AA103" s="227">
        <f t="shared" si="26"/>
        <v>0</v>
      </c>
      <c r="AB103" s="227">
        <f t="shared" si="26"/>
        <v>0</v>
      </c>
      <c r="AC103" s="227">
        <f t="shared" si="26"/>
        <v>0</v>
      </c>
      <c r="AD103" s="227">
        <f t="shared" si="26"/>
        <v>0</v>
      </c>
      <c r="AE103" s="227">
        <f t="shared" si="26"/>
        <v>0</v>
      </c>
      <c r="AF103" s="227">
        <f t="shared" si="26"/>
        <v>0</v>
      </c>
      <c r="AG103" s="227">
        <f t="shared" si="26"/>
        <v>0</v>
      </c>
      <c r="AH103" s="227">
        <f t="shared" si="26"/>
        <v>0</v>
      </c>
      <c r="AI103" s="227">
        <f t="shared" si="26"/>
        <v>0</v>
      </c>
      <c r="AJ103" s="227">
        <f t="shared" si="26"/>
        <v>0</v>
      </c>
    </row>
    <row r="104" spans="2:36" s="1" customFormat="1" ht="15.75" x14ac:dyDescent="0.25">
      <c r="B104" s="221" t="s">
        <v>135</v>
      </c>
      <c r="C104" s="225">
        <f>IF(Inputs!$G$18="Simple",Inputs!$G$26*Inputs!$W$73,IF(Inputs!$G$18="Intermediate",SUMPRODUCT(Inputs!$G$20:$G$24,Inputs!$W$74:$W$78),'Complex Inputs'!$K$121))</f>
        <v>1050000</v>
      </c>
      <c r="D104" s="460">
        <f t="shared" si="25"/>
        <v>0.17958383032650205</v>
      </c>
      <c r="E104" s="225">
        <f>($C$110-$C$112)*IF(Inputs!$P$70="No",1,(1-Inputs!$P$71))*D104</f>
        <v>481576.62982705177</v>
      </c>
      <c r="F104" s="221"/>
      <c r="G104" s="227">
        <v>3.3300000000000003E-2</v>
      </c>
      <c r="H104" s="227">
        <v>6.6699999999999995E-2</v>
      </c>
      <c r="I104" s="227">
        <v>6.6699999999999995E-2</v>
      </c>
      <c r="J104" s="227">
        <v>6.6699999999999995E-2</v>
      </c>
      <c r="K104" s="227">
        <v>6.6699999999999995E-2</v>
      </c>
      <c r="L104" s="227">
        <v>6.6699999999999995E-2</v>
      </c>
      <c r="M104" s="227">
        <v>6.6699999999999995E-2</v>
      </c>
      <c r="N104" s="227">
        <v>6.6699999999999995E-2</v>
      </c>
      <c r="O104" s="227">
        <v>6.6699999999999995E-2</v>
      </c>
      <c r="P104" s="227">
        <v>6.6699999999999995E-2</v>
      </c>
      <c r="Q104" s="227">
        <v>6.6699999999999995E-2</v>
      </c>
      <c r="R104" s="227">
        <v>6.6600000000000006E-2</v>
      </c>
      <c r="S104" s="227">
        <v>6.6600000000000006E-2</v>
      </c>
      <c r="T104" s="227">
        <v>6.6600000000000006E-2</v>
      </c>
      <c r="U104" s="227">
        <v>6.6600000000000006E-2</v>
      </c>
      <c r="V104" s="227">
        <v>3.3300000000000003E-2</v>
      </c>
      <c r="W104" s="227">
        <f t="shared" ref="W104:AJ104" si="27">IF(W$97&lt;=15, 1/15,0)</f>
        <v>0</v>
      </c>
      <c r="X104" s="227">
        <f t="shared" si="27"/>
        <v>0</v>
      </c>
      <c r="Y104" s="227">
        <f t="shared" si="27"/>
        <v>0</v>
      </c>
      <c r="Z104" s="227">
        <f t="shared" si="27"/>
        <v>0</v>
      </c>
      <c r="AA104" s="227">
        <f t="shared" si="27"/>
        <v>0</v>
      </c>
      <c r="AB104" s="227">
        <f t="shared" si="27"/>
        <v>0</v>
      </c>
      <c r="AC104" s="227">
        <f t="shared" si="27"/>
        <v>0</v>
      </c>
      <c r="AD104" s="227">
        <f t="shared" si="27"/>
        <v>0</v>
      </c>
      <c r="AE104" s="227">
        <f t="shared" si="27"/>
        <v>0</v>
      </c>
      <c r="AF104" s="227">
        <f t="shared" si="27"/>
        <v>0</v>
      </c>
      <c r="AG104" s="227">
        <f t="shared" si="27"/>
        <v>0</v>
      </c>
      <c r="AH104" s="227">
        <f t="shared" si="27"/>
        <v>0</v>
      </c>
      <c r="AI104" s="227">
        <f t="shared" si="27"/>
        <v>0</v>
      </c>
      <c r="AJ104" s="227">
        <f t="shared" si="27"/>
        <v>0</v>
      </c>
    </row>
    <row r="105" spans="2:36" s="1" customFormat="1" ht="15.75" x14ac:dyDescent="0.25">
      <c r="B105" s="221" t="s">
        <v>84</v>
      </c>
      <c r="C105" s="225">
        <f>IF(Inputs!$G$18="Simple",Inputs!$G$26*Inputs!$X$73,IF(Inputs!$G$18="Intermediate",SUMPRODUCT(Inputs!$G$20:$G$24,Inputs!$X$74:$X$78),'Complex Inputs'!$L$121))</f>
        <v>263425.784189453</v>
      </c>
      <c r="D105" s="460">
        <f t="shared" si="25"/>
        <v>4.505429650619474E-2</v>
      </c>
      <c r="E105" s="225">
        <f>($C$110-$C$112)*IF(Inputs!$P$70="No",1,(1-Inputs!$P$71))*D105</f>
        <v>120818.76319952862</v>
      </c>
      <c r="F105" s="221"/>
      <c r="G105" s="227">
        <v>2.5000000000000001E-2</v>
      </c>
      <c r="H105" s="227">
        <v>0.05</v>
      </c>
      <c r="I105" s="227">
        <v>0.05</v>
      </c>
      <c r="J105" s="227">
        <v>0.05</v>
      </c>
      <c r="K105" s="227">
        <v>0.05</v>
      </c>
      <c r="L105" s="227">
        <v>0.05</v>
      </c>
      <c r="M105" s="227">
        <v>0.05</v>
      </c>
      <c r="N105" s="227">
        <v>0.05</v>
      </c>
      <c r="O105" s="227">
        <v>0.05</v>
      </c>
      <c r="P105" s="227">
        <v>0.05</v>
      </c>
      <c r="Q105" s="227">
        <v>0.05</v>
      </c>
      <c r="R105" s="227">
        <v>0.05</v>
      </c>
      <c r="S105" s="227">
        <v>0.05</v>
      </c>
      <c r="T105" s="227">
        <v>0.05</v>
      </c>
      <c r="U105" s="227">
        <v>0.05</v>
      </c>
      <c r="V105" s="227">
        <v>0.05</v>
      </c>
      <c r="W105" s="227">
        <v>0.05</v>
      </c>
      <c r="X105" s="227">
        <v>0.05</v>
      </c>
      <c r="Y105" s="227">
        <v>0.05</v>
      </c>
      <c r="Z105" s="227">
        <v>0.05</v>
      </c>
      <c r="AA105" s="227">
        <v>2.5000000000000001E-2</v>
      </c>
      <c r="AB105" s="227">
        <f t="shared" ref="AB105:AJ105" si="28">IF(AB$97&lt;=20, 1/20,0)</f>
        <v>0</v>
      </c>
      <c r="AC105" s="227">
        <f t="shared" si="28"/>
        <v>0</v>
      </c>
      <c r="AD105" s="227">
        <f t="shared" si="28"/>
        <v>0</v>
      </c>
      <c r="AE105" s="227">
        <f t="shared" si="28"/>
        <v>0</v>
      </c>
      <c r="AF105" s="227">
        <f t="shared" si="28"/>
        <v>0</v>
      </c>
      <c r="AG105" s="227">
        <f t="shared" si="28"/>
        <v>0</v>
      </c>
      <c r="AH105" s="227">
        <f t="shared" si="28"/>
        <v>0</v>
      </c>
      <c r="AI105" s="227">
        <f t="shared" si="28"/>
        <v>0</v>
      </c>
      <c r="AJ105" s="227">
        <f t="shared" si="28"/>
        <v>0</v>
      </c>
    </row>
    <row r="106" spans="2:36" s="1" customFormat="1" ht="15.75" x14ac:dyDescent="0.25">
      <c r="B106" s="221" t="s">
        <v>85</v>
      </c>
      <c r="C106" s="225">
        <f>IF(Inputs!$G$18="Simple",Inputs!$G$26*Inputs!$Y$73,IF(Inputs!$G$18="Intermediate",SUMPRODUCT(Inputs!$G$20:$G$24,Inputs!$Y$74:$Y$78),'Complex Inputs'!$M$121))</f>
        <v>0</v>
      </c>
      <c r="D106" s="460">
        <f t="shared" si="25"/>
        <v>0</v>
      </c>
      <c r="E106" s="225">
        <f>($C$110-$C$112)*IF(Inputs!$P$70="No",1,(1-Inputs!$P$71))*D106</f>
        <v>0</v>
      </c>
      <c r="F106" s="221"/>
      <c r="G106" s="227">
        <v>1.2800000000000001E-2</v>
      </c>
      <c r="H106" s="227">
        <v>2.5600000000000001E-2</v>
      </c>
      <c r="I106" s="227">
        <v>2.5600000000000001E-2</v>
      </c>
      <c r="J106" s="227">
        <v>2.5600000000000001E-2</v>
      </c>
      <c r="K106" s="227">
        <v>2.5600000000000001E-2</v>
      </c>
      <c r="L106" s="227">
        <v>2.5600000000000001E-2</v>
      </c>
      <c r="M106" s="227">
        <v>2.5600000000000001E-2</v>
      </c>
      <c r="N106" s="227">
        <v>2.5600000000000001E-2</v>
      </c>
      <c r="O106" s="227">
        <v>2.5600000000000001E-2</v>
      </c>
      <c r="P106" s="227">
        <v>2.5600000000000001E-2</v>
      </c>
      <c r="Q106" s="227">
        <v>2.5600000000000001E-2</v>
      </c>
      <c r="R106" s="227">
        <v>2.5600000000000001E-2</v>
      </c>
      <c r="S106" s="227">
        <v>2.5600000000000001E-2</v>
      </c>
      <c r="T106" s="227">
        <v>2.5600000000000001E-2</v>
      </c>
      <c r="U106" s="227">
        <v>2.5600000000000001E-2</v>
      </c>
      <c r="V106" s="227">
        <v>2.5600000000000001E-2</v>
      </c>
      <c r="W106" s="227">
        <v>2.5600000000000001E-2</v>
      </c>
      <c r="X106" s="227">
        <v>2.5600000000000001E-2</v>
      </c>
      <c r="Y106" s="227">
        <v>2.5600000000000001E-2</v>
      </c>
      <c r="Z106" s="227">
        <v>2.5600000000000001E-2</v>
      </c>
      <c r="AA106" s="227">
        <v>2.5600000000000001E-2</v>
      </c>
      <c r="AB106" s="227">
        <v>2.5600000000000001E-2</v>
      </c>
      <c r="AC106" s="227">
        <v>2.5600000000000001E-2</v>
      </c>
      <c r="AD106" s="227">
        <v>2.5600000000000001E-2</v>
      </c>
      <c r="AE106" s="227">
        <v>2.5600000000000001E-2</v>
      </c>
      <c r="AF106" s="227">
        <v>2.5600000000000001E-2</v>
      </c>
      <c r="AG106" s="227">
        <v>2.5600000000000001E-2</v>
      </c>
      <c r="AH106" s="227">
        <v>2.5600000000000001E-2</v>
      </c>
      <c r="AI106" s="227">
        <v>2.5600000000000001E-2</v>
      </c>
      <c r="AJ106" s="227">
        <v>2.5600000000000001E-2</v>
      </c>
    </row>
    <row r="107" spans="2:36" s="1" customFormat="1" ht="15.75" x14ac:dyDescent="0.25">
      <c r="B107" s="221" t="s">
        <v>356</v>
      </c>
      <c r="C107" s="221"/>
      <c r="D107" s="460"/>
      <c r="E107" s="225">
        <f>($C$110-$C$112)*IF(Inputs!$P$70="No",0,Inputs!$P$71)</f>
        <v>2681625.7841894533</v>
      </c>
      <c r="F107" s="221"/>
      <c r="G107" s="227">
        <v>1</v>
      </c>
      <c r="H107" s="227">
        <v>0</v>
      </c>
      <c r="I107" s="227">
        <v>0</v>
      </c>
      <c r="J107" s="227">
        <v>0</v>
      </c>
      <c r="K107" s="227">
        <v>0</v>
      </c>
      <c r="L107" s="227">
        <v>0</v>
      </c>
      <c r="M107" s="227">
        <v>0</v>
      </c>
      <c r="N107" s="227">
        <v>0</v>
      </c>
      <c r="O107" s="227">
        <v>0</v>
      </c>
      <c r="P107" s="227">
        <v>0</v>
      </c>
      <c r="Q107" s="227">
        <v>0</v>
      </c>
      <c r="R107" s="227">
        <v>0</v>
      </c>
      <c r="S107" s="227">
        <v>0</v>
      </c>
      <c r="T107" s="227">
        <v>0</v>
      </c>
      <c r="U107" s="227">
        <v>0</v>
      </c>
      <c r="V107" s="227">
        <v>0</v>
      </c>
      <c r="W107" s="227">
        <v>0</v>
      </c>
      <c r="X107" s="227">
        <v>0</v>
      </c>
      <c r="Y107" s="227">
        <v>0</v>
      </c>
      <c r="Z107" s="227">
        <v>0</v>
      </c>
      <c r="AA107" s="227">
        <v>0</v>
      </c>
      <c r="AB107" s="227">
        <v>0</v>
      </c>
      <c r="AC107" s="227">
        <v>0</v>
      </c>
      <c r="AD107" s="227">
        <v>0</v>
      </c>
      <c r="AE107" s="227">
        <v>0</v>
      </c>
      <c r="AF107" s="227">
        <v>0</v>
      </c>
      <c r="AG107" s="227">
        <v>0</v>
      </c>
      <c r="AH107" s="227">
        <v>0</v>
      </c>
      <c r="AI107" s="227">
        <v>0</v>
      </c>
      <c r="AJ107" s="227">
        <v>0</v>
      </c>
    </row>
    <row r="108" spans="2:36" s="1" customFormat="1" x14ac:dyDescent="0.2">
      <c r="B108" s="233" t="s">
        <v>26</v>
      </c>
      <c r="C108" s="471">
        <f>IF(Inputs!$G$18="Simple",Inputs!$G$26*Inputs!$Z$73,IF(Inputs!$G$18="Intermediate",SUMPRODUCT(Inputs!$G$20:$G$24,Inputs!$Z$74:$Z$78),'Complex Inputs'!$N$121))</f>
        <v>273425.784189453</v>
      </c>
      <c r="D108" s="472">
        <f>C108/$C$110</f>
        <v>4.6764618699780471E-2</v>
      </c>
      <c r="E108" s="471">
        <f>($C$110-$C$112)*IF(Inputs!$P$70="No",1,(1-Inputs!$P$71))*D108</f>
        <v>125405.20729311957</v>
      </c>
      <c r="F108" s="221"/>
      <c r="G108" s="228"/>
      <c r="H108" s="228"/>
      <c r="I108" s="228"/>
      <c r="J108" s="228"/>
      <c r="K108" s="228"/>
      <c r="L108" s="228"/>
      <c r="M108" s="228"/>
      <c r="N108" s="228"/>
      <c r="O108" s="228"/>
      <c r="P108" s="228"/>
      <c r="Q108" s="228"/>
      <c r="R108" s="228"/>
      <c r="S108" s="228"/>
      <c r="T108" s="228"/>
      <c r="U108" s="228"/>
      <c r="V108" s="228"/>
      <c r="W108" s="228"/>
      <c r="X108" s="228"/>
      <c r="Y108" s="228"/>
      <c r="Z108" s="228"/>
      <c r="AA108" s="228"/>
      <c r="AB108" s="228"/>
      <c r="AC108" s="228"/>
      <c r="AD108" s="228"/>
      <c r="AE108" s="228"/>
      <c r="AF108" s="228"/>
      <c r="AG108" s="228"/>
      <c r="AH108" s="228"/>
      <c r="AI108" s="228"/>
      <c r="AJ108" s="228"/>
    </row>
    <row r="109" spans="2:36" s="1" customFormat="1" ht="15.75" x14ac:dyDescent="0.25">
      <c r="B109" s="221"/>
      <c r="C109" s="461" t="s">
        <v>363</v>
      </c>
      <c r="D109" s="461"/>
      <c r="E109" s="461" t="s">
        <v>362</v>
      </c>
      <c r="F109" s="221"/>
      <c r="G109" s="228"/>
      <c r="H109" s="228"/>
      <c r="I109" s="228"/>
      <c r="J109" s="228"/>
      <c r="K109" s="228"/>
      <c r="L109" s="228"/>
      <c r="M109" s="228"/>
      <c r="N109" s="228"/>
      <c r="O109" s="228"/>
      <c r="P109" s="228"/>
      <c r="Q109" s="228"/>
      <c r="R109" s="228"/>
      <c r="S109" s="228"/>
      <c r="T109" s="228"/>
      <c r="U109" s="228"/>
      <c r="V109" s="228"/>
      <c r="W109" s="228"/>
      <c r="X109" s="228"/>
      <c r="Y109" s="228"/>
      <c r="Z109" s="228"/>
      <c r="AA109" s="228"/>
      <c r="AB109" s="228"/>
      <c r="AC109" s="228"/>
      <c r="AD109" s="228"/>
      <c r="AE109" s="228"/>
      <c r="AF109" s="228"/>
      <c r="AG109" s="228"/>
      <c r="AH109" s="228"/>
      <c r="AI109" s="228"/>
      <c r="AJ109" s="228"/>
    </row>
    <row r="110" spans="2:36" s="1" customFormat="1" ht="15.75" x14ac:dyDescent="0.25">
      <c r="B110" s="220" t="s">
        <v>364</v>
      </c>
      <c r="C110" s="230">
        <f>SUM(C99:C108)</f>
        <v>5846851.5683789067</v>
      </c>
      <c r="D110" s="460">
        <f>SUM(D99:D108)</f>
        <v>0.99999999999999989</v>
      </c>
      <c r="E110" s="230">
        <f>SUM(E99:E108)</f>
        <v>5363251.5683789067</v>
      </c>
      <c r="F110" s="221"/>
      <c r="G110" s="228"/>
      <c r="H110" s="228"/>
      <c r="I110" s="228"/>
      <c r="J110" s="228"/>
      <c r="K110" s="228"/>
      <c r="L110" s="228"/>
      <c r="M110" s="228"/>
      <c r="N110" s="228"/>
      <c r="O110" s="228"/>
      <c r="P110" s="228"/>
      <c r="Q110" s="228"/>
      <c r="R110" s="228"/>
      <c r="S110" s="228"/>
      <c r="T110" s="228"/>
      <c r="U110" s="228"/>
      <c r="V110" s="228"/>
      <c r="W110" s="228"/>
      <c r="X110" s="228"/>
      <c r="Y110" s="228"/>
      <c r="Z110" s="228"/>
      <c r="AA110" s="228"/>
      <c r="AB110" s="228"/>
      <c r="AC110" s="228"/>
      <c r="AD110" s="228"/>
      <c r="AE110" s="228"/>
      <c r="AF110" s="228"/>
      <c r="AG110" s="228"/>
      <c r="AH110" s="228"/>
      <c r="AI110" s="228"/>
      <c r="AJ110" s="228"/>
    </row>
    <row r="111" spans="2:36" s="1" customFormat="1" x14ac:dyDescent="0.2">
      <c r="B111" s="221"/>
      <c r="C111" s="459" t="str">
        <f>IF(C110=Inputs!$G$26,"OK","error")</f>
        <v>OK</v>
      </c>
      <c r="D111" s="459" t="str">
        <f>IF(D110=100%,"OK","error")</f>
        <v>OK</v>
      </c>
      <c r="E111" s="459" t="str">
        <f>IF(E110=(C110-C112),"OK","error")</f>
        <v>OK</v>
      </c>
      <c r="F111" s="221"/>
      <c r="G111" s="228"/>
      <c r="H111" s="228"/>
      <c r="I111" s="228"/>
      <c r="J111" s="228"/>
      <c r="K111" s="228"/>
      <c r="L111" s="228"/>
      <c r="M111" s="228"/>
      <c r="N111" s="228"/>
      <c r="O111" s="228"/>
      <c r="P111" s="228"/>
      <c r="Q111" s="228"/>
      <c r="R111" s="228"/>
      <c r="S111" s="228"/>
      <c r="T111" s="228"/>
      <c r="U111" s="228"/>
      <c r="V111" s="228"/>
      <c r="W111" s="228"/>
      <c r="X111" s="228"/>
      <c r="Y111" s="228"/>
      <c r="Z111" s="228"/>
      <c r="AA111" s="228"/>
      <c r="AB111" s="228"/>
      <c r="AC111" s="228"/>
      <c r="AD111" s="228"/>
      <c r="AE111" s="228"/>
      <c r="AF111" s="228"/>
      <c r="AG111" s="228"/>
      <c r="AH111" s="228"/>
      <c r="AI111" s="228"/>
      <c r="AJ111" s="228"/>
    </row>
    <row r="112" spans="2:36" s="1" customFormat="1" x14ac:dyDescent="0.2">
      <c r="B112" s="221" t="s">
        <v>366</v>
      </c>
      <c r="C112" s="225">
        <f>IF(OR(Inputs!$Q$19="Performance-Based",Inputs!$Q$19="Neither"),0,50%*Inputs!$Q$23)+IF(Inputs!$Q$30="Yes",0,Inputs!$Q$29)+IF(Inputs!$Q$47="Yes",0,IF(Inputs!$Q$46=0,Inputs!$Q$45*1000*Inputs!$G$8,MIN(Inputs!$Q$46,Inputs!$Q$45*1000*Inputs!$G$8)))</f>
        <v>483600</v>
      </c>
      <c r="D112" s="225"/>
      <c r="E112" s="225"/>
      <c r="F112" s="221"/>
      <c r="G112" s="228"/>
      <c r="H112" s="228"/>
      <c r="I112" s="228"/>
      <c r="J112" s="228"/>
      <c r="K112" s="228"/>
      <c r="L112" s="228"/>
      <c r="M112" s="228"/>
      <c r="N112" s="228"/>
      <c r="O112" s="228"/>
      <c r="P112" s="228"/>
      <c r="Q112" s="228"/>
      <c r="R112" s="228"/>
      <c r="S112" s="228"/>
      <c r="T112" s="228"/>
      <c r="U112" s="228"/>
      <c r="V112" s="228"/>
      <c r="W112" s="228"/>
      <c r="X112" s="228"/>
      <c r="Y112" s="228"/>
      <c r="Z112" s="228"/>
      <c r="AA112" s="228"/>
      <c r="AB112" s="228"/>
      <c r="AC112" s="228"/>
      <c r="AD112" s="228"/>
      <c r="AE112" s="228"/>
      <c r="AF112" s="228"/>
      <c r="AG112" s="228"/>
      <c r="AH112" s="228"/>
      <c r="AI112" s="228"/>
      <c r="AJ112" s="228"/>
    </row>
    <row r="113" spans="2:36" s="1" customFormat="1" x14ac:dyDescent="0.2">
      <c r="B113" s="221"/>
      <c r="C113" s="459"/>
      <c r="D113" s="459"/>
      <c r="E113" s="225"/>
      <c r="F113" s="221"/>
      <c r="G113" s="228"/>
      <c r="H113" s="228"/>
      <c r="I113" s="228"/>
      <c r="J113" s="228"/>
      <c r="K113" s="228"/>
      <c r="L113" s="228"/>
      <c r="M113" s="228"/>
      <c r="N113" s="228"/>
      <c r="O113" s="228"/>
      <c r="P113" s="228"/>
      <c r="Q113" s="228"/>
      <c r="R113" s="228"/>
      <c r="S113" s="228"/>
      <c r="T113" s="228"/>
      <c r="U113" s="228"/>
      <c r="V113" s="228"/>
      <c r="W113" s="228"/>
      <c r="X113" s="228"/>
      <c r="Y113" s="228"/>
      <c r="Z113" s="228"/>
      <c r="AA113" s="228"/>
      <c r="AB113" s="228"/>
      <c r="AC113" s="228"/>
      <c r="AD113" s="228"/>
      <c r="AE113" s="228"/>
      <c r="AF113" s="228"/>
      <c r="AG113" s="228"/>
      <c r="AH113" s="228"/>
      <c r="AI113" s="228"/>
      <c r="AJ113" s="228"/>
    </row>
    <row r="114" spans="2:36" s="1" customFormat="1" ht="15.75" x14ac:dyDescent="0.25">
      <c r="B114" s="223" t="s">
        <v>156</v>
      </c>
      <c r="C114" s="223"/>
      <c r="D114" s="223"/>
      <c r="E114" s="221"/>
      <c r="F114" s="221"/>
      <c r="G114" s="228"/>
      <c r="H114" s="228"/>
      <c r="I114" s="228"/>
      <c r="J114" s="228"/>
      <c r="K114" s="228"/>
      <c r="L114" s="228"/>
      <c r="M114" s="228"/>
      <c r="N114" s="228"/>
      <c r="O114" s="228"/>
      <c r="P114" s="228"/>
      <c r="Q114" s="228"/>
      <c r="R114" s="228"/>
      <c r="S114" s="228"/>
      <c r="T114" s="228"/>
      <c r="U114" s="228"/>
      <c r="V114" s="228"/>
      <c r="W114" s="228"/>
      <c r="X114" s="228"/>
      <c r="Y114" s="228"/>
      <c r="Z114" s="228"/>
      <c r="AA114" s="228"/>
      <c r="AB114" s="228"/>
      <c r="AC114" s="228"/>
      <c r="AD114" s="228"/>
      <c r="AE114" s="228"/>
      <c r="AF114" s="228"/>
      <c r="AG114" s="228"/>
      <c r="AH114" s="228"/>
      <c r="AI114" s="228"/>
      <c r="AJ114" s="228"/>
    </row>
    <row r="115" spans="2:36" s="1" customFormat="1" x14ac:dyDescent="0.2">
      <c r="B115" s="221" t="s">
        <v>86</v>
      </c>
      <c r="C115" s="221"/>
      <c r="D115" s="221"/>
      <c r="E115" s="229" t="s">
        <v>142</v>
      </c>
      <c r="F115" s="230"/>
      <c r="G115" s="221"/>
      <c r="H115" s="221"/>
      <c r="I115" s="221"/>
      <c r="J115" s="221"/>
      <c r="K115" s="221"/>
      <c r="L115" s="221"/>
      <c r="M115" s="221"/>
      <c r="N115" s="221"/>
      <c r="O115" s="221"/>
      <c r="P115" s="221"/>
      <c r="Q115" s="221"/>
      <c r="R115" s="221"/>
      <c r="S115" s="221"/>
      <c r="T115" s="221"/>
      <c r="U115" s="221"/>
      <c r="V115" s="221"/>
      <c r="W115" s="221"/>
      <c r="X115" s="221"/>
      <c r="Y115" s="221"/>
      <c r="Z115" s="221"/>
      <c r="AA115" s="221"/>
      <c r="AB115" s="221"/>
      <c r="AC115" s="221"/>
      <c r="AD115" s="221"/>
      <c r="AE115" s="221"/>
      <c r="AF115" s="221"/>
      <c r="AG115" s="221"/>
      <c r="AH115" s="221"/>
      <c r="AI115" s="221"/>
      <c r="AJ115" s="221"/>
    </row>
    <row r="116" spans="2:36" s="1" customFormat="1" x14ac:dyDescent="0.2">
      <c r="B116" s="221" t="s">
        <v>81</v>
      </c>
      <c r="C116" s="221"/>
      <c r="D116" s="221"/>
      <c r="E116" s="230">
        <f>SUM(G116:AJ116)</f>
        <v>1706157.2028158405</v>
      </c>
      <c r="F116" s="230"/>
      <c r="G116" s="231">
        <f>$E99*G99</f>
        <v>341231.44056316814</v>
      </c>
      <c r="H116" s="231">
        <f t="shared" ref="H116:AJ116" si="29">$E99*H99</f>
        <v>545970.30490106903</v>
      </c>
      <c r="I116" s="231">
        <f t="shared" si="29"/>
        <v>327582.18294064142</v>
      </c>
      <c r="J116" s="231">
        <f t="shared" si="29"/>
        <v>196549.30976438485</v>
      </c>
      <c r="K116" s="231">
        <f t="shared" si="29"/>
        <v>196549.30976438485</v>
      </c>
      <c r="L116" s="231">
        <f t="shared" si="29"/>
        <v>98274.654882192423</v>
      </c>
      <c r="M116" s="231">
        <f t="shared" si="29"/>
        <v>0</v>
      </c>
      <c r="N116" s="231">
        <f t="shared" si="29"/>
        <v>0</v>
      </c>
      <c r="O116" s="231">
        <f t="shared" si="29"/>
        <v>0</v>
      </c>
      <c r="P116" s="231">
        <f t="shared" si="29"/>
        <v>0</v>
      </c>
      <c r="Q116" s="231">
        <f t="shared" si="29"/>
        <v>0</v>
      </c>
      <c r="R116" s="231">
        <f t="shared" si="29"/>
        <v>0</v>
      </c>
      <c r="S116" s="231">
        <f t="shared" si="29"/>
        <v>0</v>
      </c>
      <c r="T116" s="231">
        <f t="shared" si="29"/>
        <v>0</v>
      </c>
      <c r="U116" s="231">
        <f t="shared" si="29"/>
        <v>0</v>
      </c>
      <c r="V116" s="231">
        <f t="shared" si="29"/>
        <v>0</v>
      </c>
      <c r="W116" s="231">
        <f t="shared" si="29"/>
        <v>0</v>
      </c>
      <c r="X116" s="231">
        <f t="shared" si="29"/>
        <v>0</v>
      </c>
      <c r="Y116" s="231">
        <f t="shared" si="29"/>
        <v>0</v>
      </c>
      <c r="Z116" s="231">
        <f t="shared" si="29"/>
        <v>0</v>
      </c>
      <c r="AA116" s="231">
        <f t="shared" si="29"/>
        <v>0</v>
      </c>
      <c r="AB116" s="231">
        <f t="shared" si="29"/>
        <v>0</v>
      </c>
      <c r="AC116" s="231">
        <f t="shared" si="29"/>
        <v>0</v>
      </c>
      <c r="AD116" s="231">
        <f t="shared" si="29"/>
        <v>0</v>
      </c>
      <c r="AE116" s="231">
        <f t="shared" si="29"/>
        <v>0</v>
      </c>
      <c r="AF116" s="231">
        <f t="shared" si="29"/>
        <v>0</v>
      </c>
      <c r="AG116" s="231">
        <f t="shared" si="29"/>
        <v>0</v>
      </c>
      <c r="AH116" s="231">
        <f t="shared" si="29"/>
        <v>0</v>
      </c>
      <c r="AI116" s="231">
        <f t="shared" si="29"/>
        <v>0</v>
      </c>
      <c r="AJ116" s="231">
        <f t="shared" si="29"/>
        <v>0</v>
      </c>
    </row>
    <row r="117" spans="2:36" s="1" customFormat="1" x14ac:dyDescent="0.2">
      <c r="B117" s="221" t="s">
        <v>133</v>
      </c>
      <c r="C117" s="221"/>
      <c r="D117" s="221"/>
      <c r="E117" s="230">
        <f t="shared" ref="E117:E124" si="30">SUM(G117:AJ117)</f>
        <v>0</v>
      </c>
      <c r="F117" s="230"/>
      <c r="G117" s="231">
        <f t="shared" ref="G117:AJ117" si="31">$E100*G100</f>
        <v>0</v>
      </c>
      <c r="H117" s="231">
        <f t="shared" si="31"/>
        <v>0</v>
      </c>
      <c r="I117" s="231">
        <f t="shared" si="31"/>
        <v>0</v>
      </c>
      <c r="J117" s="231">
        <f t="shared" si="31"/>
        <v>0</v>
      </c>
      <c r="K117" s="231">
        <f t="shared" si="31"/>
        <v>0</v>
      </c>
      <c r="L117" s="231">
        <f t="shared" si="31"/>
        <v>0</v>
      </c>
      <c r="M117" s="231">
        <f t="shared" si="31"/>
        <v>0</v>
      </c>
      <c r="N117" s="231">
        <f t="shared" si="31"/>
        <v>0</v>
      </c>
      <c r="O117" s="231">
        <f t="shared" si="31"/>
        <v>0</v>
      </c>
      <c r="P117" s="231">
        <f t="shared" si="31"/>
        <v>0</v>
      </c>
      <c r="Q117" s="231">
        <f t="shared" si="31"/>
        <v>0</v>
      </c>
      <c r="R117" s="231">
        <f t="shared" si="31"/>
        <v>0</v>
      </c>
      <c r="S117" s="231">
        <f t="shared" si="31"/>
        <v>0</v>
      </c>
      <c r="T117" s="231">
        <f t="shared" si="31"/>
        <v>0</v>
      </c>
      <c r="U117" s="231">
        <f t="shared" si="31"/>
        <v>0</v>
      </c>
      <c r="V117" s="231">
        <f t="shared" si="31"/>
        <v>0</v>
      </c>
      <c r="W117" s="231">
        <f t="shared" si="31"/>
        <v>0</v>
      </c>
      <c r="X117" s="231">
        <f t="shared" si="31"/>
        <v>0</v>
      </c>
      <c r="Y117" s="231">
        <f t="shared" si="31"/>
        <v>0</v>
      </c>
      <c r="Z117" s="231">
        <f t="shared" si="31"/>
        <v>0</v>
      </c>
      <c r="AA117" s="231">
        <f t="shared" si="31"/>
        <v>0</v>
      </c>
      <c r="AB117" s="231">
        <f t="shared" si="31"/>
        <v>0</v>
      </c>
      <c r="AC117" s="231">
        <f t="shared" si="31"/>
        <v>0</v>
      </c>
      <c r="AD117" s="231">
        <f t="shared" si="31"/>
        <v>0</v>
      </c>
      <c r="AE117" s="231">
        <f t="shared" si="31"/>
        <v>0</v>
      </c>
      <c r="AF117" s="231">
        <f t="shared" si="31"/>
        <v>0</v>
      </c>
      <c r="AG117" s="231">
        <f t="shared" si="31"/>
        <v>0</v>
      </c>
      <c r="AH117" s="231">
        <f t="shared" si="31"/>
        <v>0</v>
      </c>
      <c r="AI117" s="231">
        <f t="shared" si="31"/>
        <v>0</v>
      </c>
      <c r="AJ117" s="231">
        <f t="shared" si="31"/>
        <v>0</v>
      </c>
    </row>
    <row r="118" spans="2:36" s="1" customFormat="1" x14ac:dyDescent="0.2">
      <c r="B118" s="221" t="s">
        <v>82</v>
      </c>
      <c r="C118" s="221"/>
      <c r="D118" s="221"/>
      <c r="E118" s="230">
        <f t="shared" si="30"/>
        <v>247667.98105391237</v>
      </c>
      <c r="F118" s="230"/>
      <c r="G118" s="231">
        <f t="shared" ref="G118:AJ118" si="32">$E101*G101</f>
        <v>12383.399052695619</v>
      </c>
      <c r="H118" s="231">
        <f t="shared" si="32"/>
        <v>23528.458200121673</v>
      </c>
      <c r="I118" s="231">
        <f t="shared" si="32"/>
        <v>21175.612380109505</v>
      </c>
      <c r="J118" s="231">
        <f t="shared" si="32"/>
        <v>19070.434541151251</v>
      </c>
      <c r="K118" s="231">
        <f t="shared" si="32"/>
        <v>17163.391087036125</v>
      </c>
      <c r="L118" s="231">
        <f t="shared" si="32"/>
        <v>15429.715219658739</v>
      </c>
      <c r="M118" s="231">
        <f t="shared" si="32"/>
        <v>14612.410882180828</v>
      </c>
      <c r="N118" s="231">
        <f t="shared" si="32"/>
        <v>14612.410882180828</v>
      </c>
      <c r="O118" s="231">
        <f t="shared" si="32"/>
        <v>14637.177680286219</v>
      </c>
      <c r="P118" s="231">
        <f t="shared" si="32"/>
        <v>14612.410882180828</v>
      </c>
      <c r="Q118" s="231">
        <f t="shared" si="32"/>
        <v>14637.177680286219</v>
      </c>
      <c r="R118" s="231">
        <f t="shared" si="32"/>
        <v>14612.410882180828</v>
      </c>
      <c r="S118" s="231">
        <f t="shared" si="32"/>
        <v>14637.177680286219</v>
      </c>
      <c r="T118" s="231">
        <f t="shared" si="32"/>
        <v>14612.410882180828</v>
      </c>
      <c r="U118" s="231">
        <f t="shared" si="32"/>
        <v>14637.177680286219</v>
      </c>
      <c r="V118" s="231">
        <f t="shared" si="32"/>
        <v>7306.2054410904138</v>
      </c>
      <c r="W118" s="231">
        <f t="shared" si="32"/>
        <v>0</v>
      </c>
      <c r="X118" s="231">
        <f t="shared" si="32"/>
        <v>0</v>
      </c>
      <c r="Y118" s="231">
        <f t="shared" si="32"/>
        <v>0</v>
      </c>
      <c r="Z118" s="231">
        <f t="shared" si="32"/>
        <v>0</v>
      </c>
      <c r="AA118" s="231">
        <f t="shared" si="32"/>
        <v>0</v>
      </c>
      <c r="AB118" s="231">
        <f t="shared" si="32"/>
        <v>0</v>
      </c>
      <c r="AC118" s="231">
        <f t="shared" si="32"/>
        <v>0</v>
      </c>
      <c r="AD118" s="231">
        <f t="shared" si="32"/>
        <v>0</v>
      </c>
      <c r="AE118" s="231">
        <f t="shared" si="32"/>
        <v>0</v>
      </c>
      <c r="AF118" s="231">
        <f t="shared" si="32"/>
        <v>0</v>
      </c>
      <c r="AG118" s="231">
        <f t="shared" si="32"/>
        <v>0</v>
      </c>
      <c r="AH118" s="231">
        <f t="shared" si="32"/>
        <v>0</v>
      </c>
      <c r="AI118" s="231">
        <f t="shared" si="32"/>
        <v>0</v>
      </c>
      <c r="AJ118" s="231">
        <f t="shared" si="32"/>
        <v>0</v>
      </c>
    </row>
    <row r="119" spans="2:36" s="1" customFormat="1" x14ac:dyDescent="0.2">
      <c r="B119" s="221" t="s">
        <v>83</v>
      </c>
      <c r="C119" s="221"/>
      <c r="D119" s="221"/>
      <c r="E119" s="230">
        <f t="shared" si="30"/>
        <v>0</v>
      </c>
      <c r="F119" s="230"/>
      <c r="G119" s="231">
        <f t="shared" ref="G119:AJ119" si="33">$E102*G102</f>
        <v>0</v>
      </c>
      <c r="H119" s="231">
        <f t="shared" si="33"/>
        <v>0</v>
      </c>
      <c r="I119" s="231">
        <f t="shared" si="33"/>
        <v>0</v>
      </c>
      <c r="J119" s="231">
        <f t="shared" si="33"/>
        <v>0</v>
      </c>
      <c r="K119" s="231">
        <f t="shared" si="33"/>
        <v>0</v>
      </c>
      <c r="L119" s="231">
        <f t="shared" si="33"/>
        <v>0</v>
      </c>
      <c r="M119" s="231">
        <f t="shared" si="33"/>
        <v>0</v>
      </c>
      <c r="N119" s="231">
        <f t="shared" si="33"/>
        <v>0</v>
      </c>
      <c r="O119" s="231">
        <f t="shared" si="33"/>
        <v>0</v>
      </c>
      <c r="P119" s="231">
        <f t="shared" si="33"/>
        <v>0</v>
      </c>
      <c r="Q119" s="231">
        <f t="shared" si="33"/>
        <v>0</v>
      </c>
      <c r="R119" s="231">
        <f t="shared" si="33"/>
        <v>0</v>
      </c>
      <c r="S119" s="231">
        <f t="shared" si="33"/>
        <v>0</v>
      </c>
      <c r="T119" s="231">
        <f t="shared" si="33"/>
        <v>0</v>
      </c>
      <c r="U119" s="231">
        <f t="shared" si="33"/>
        <v>0</v>
      </c>
      <c r="V119" s="231">
        <f t="shared" si="33"/>
        <v>0</v>
      </c>
      <c r="W119" s="231">
        <f t="shared" si="33"/>
        <v>0</v>
      </c>
      <c r="X119" s="231">
        <f t="shared" si="33"/>
        <v>0</v>
      </c>
      <c r="Y119" s="231">
        <f t="shared" si="33"/>
        <v>0</v>
      </c>
      <c r="Z119" s="231">
        <f t="shared" si="33"/>
        <v>0</v>
      </c>
      <c r="AA119" s="231">
        <f t="shared" si="33"/>
        <v>0</v>
      </c>
      <c r="AB119" s="231">
        <f t="shared" si="33"/>
        <v>0</v>
      </c>
      <c r="AC119" s="231">
        <f t="shared" si="33"/>
        <v>0</v>
      </c>
      <c r="AD119" s="231">
        <f t="shared" si="33"/>
        <v>0</v>
      </c>
      <c r="AE119" s="231">
        <f t="shared" si="33"/>
        <v>0</v>
      </c>
      <c r="AF119" s="231">
        <f t="shared" si="33"/>
        <v>0</v>
      </c>
      <c r="AG119" s="231">
        <f t="shared" si="33"/>
        <v>0</v>
      </c>
      <c r="AH119" s="231">
        <f t="shared" si="33"/>
        <v>0</v>
      </c>
      <c r="AI119" s="231">
        <f t="shared" si="33"/>
        <v>0</v>
      </c>
      <c r="AJ119" s="231">
        <f t="shared" si="33"/>
        <v>0</v>
      </c>
    </row>
    <row r="120" spans="2:36" s="1" customFormat="1" x14ac:dyDescent="0.2">
      <c r="B120" s="221" t="s">
        <v>134</v>
      </c>
      <c r="C120" s="221"/>
      <c r="D120" s="221"/>
      <c r="E120" s="230">
        <f t="shared" si="30"/>
        <v>0</v>
      </c>
      <c r="F120" s="230"/>
      <c r="G120" s="231">
        <f t="shared" ref="G120:AJ120" si="34">$E103*G103</f>
        <v>0</v>
      </c>
      <c r="H120" s="231">
        <f t="shared" si="34"/>
        <v>0</v>
      </c>
      <c r="I120" s="231">
        <f t="shared" si="34"/>
        <v>0</v>
      </c>
      <c r="J120" s="231">
        <f t="shared" si="34"/>
        <v>0</v>
      </c>
      <c r="K120" s="231">
        <f t="shared" si="34"/>
        <v>0</v>
      </c>
      <c r="L120" s="231">
        <f t="shared" si="34"/>
        <v>0</v>
      </c>
      <c r="M120" s="231">
        <f t="shared" si="34"/>
        <v>0</v>
      </c>
      <c r="N120" s="231">
        <f t="shared" si="34"/>
        <v>0</v>
      </c>
      <c r="O120" s="231">
        <f t="shared" si="34"/>
        <v>0</v>
      </c>
      <c r="P120" s="231">
        <f t="shared" si="34"/>
        <v>0</v>
      </c>
      <c r="Q120" s="231">
        <f t="shared" si="34"/>
        <v>0</v>
      </c>
      <c r="R120" s="231">
        <f t="shared" si="34"/>
        <v>0</v>
      </c>
      <c r="S120" s="231">
        <f t="shared" si="34"/>
        <v>0</v>
      </c>
      <c r="T120" s="231">
        <f t="shared" si="34"/>
        <v>0</v>
      </c>
      <c r="U120" s="231">
        <f t="shared" si="34"/>
        <v>0</v>
      </c>
      <c r="V120" s="231">
        <f t="shared" si="34"/>
        <v>0</v>
      </c>
      <c r="W120" s="231">
        <f t="shared" si="34"/>
        <v>0</v>
      </c>
      <c r="X120" s="231">
        <f t="shared" si="34"/>
        <v>0</v>
      </c>
      <c r="Y120" s="231">
        <f t="shared" si="34"/>
        <v>0</v>
      </c>
      <c r="Z120" s="231">
        <f t="shared" si="34"/>
        <v>0</v>
      </c>
      <c r="AA120" s="231">
        <f t="shared" si="34"/>
        <v>0</v>
      </c>
      <c r="AB120" s="231">
        <f t="shared" si="34"/>
        <v>0</v>
      </c>
      <c r="AC120" s="231">
        <f t="shared" si="34"/>
        <v>0</v>
      </c>
      <c r="AD120" s="231">
        <f t="shared" si="34"/>
        <v>0</v>
      </c>
      <c r="AE120" s="231">
        <f t="shared" si="34"/>
        <v>0</v>
      </c>
      <c r="AF120" s="231">
        <f t="shared" si="34"/>
        <v>0</v>
      </c>
      <c r="AG120" s="231">
        <f t="shared" si="34"/>
        <v>0</v>
      </c>
      <c r="AH120" s="231">
        <f t="shared" si="34"/>
        <v>0</v>
      </c>
      <c r="AI120" s="231">
        <f t="shared" si="34"/>
        <v>0</v>
      </c>
      <c r="AJ120" s="231">
        <f t="shared" si="34"/>
        <v>0</v>
      </c>
    </row>
    <row r="121" spans="2:36" s="1" customFormat="1" x14ac:dyDescent="0.2">
      <c r="B121" s="221" t="s">
        <v>135</v>
      </c>
      <c r="C121" s="221"/>
      <c r="D121" s="221"/>
      <c r="E121" s="230">
        <f t="shared" si="30"/>
        <v>481576.62982705183</v>
      </c>
      <c r="F121" s="230"/>
      <c r="G121" s="231">
        <f t="shared" ref="G121:AJ121" si="35">$E104*G104</f>
        <v>16036.501773240825</v>
      </c>
      <c r="H121" s="231">
        <f t="shared" si="35"/>
        <v>32121.16120946435</v>
      </c>
      <c r="I121" s="231">
        <f t="shared" si="35"/>
        <v>32121.16120946435</v>
      </c>
      <c r="J121" s="231">
        <f t="shared" si="35"/>
        <v>32121.16120946435</v>
      </c>
      <c r="K121" s="231">
        <f t="shared" si="35"/>
        <v>32121.16120946435</v>
      </c>
      <c r="L121" s="231">
        <f t="shared" si="35"/>
        <v>32121.16120946435</v>
      </c>
      <c r="M121" s="231">
        <f t="shared" si="35"/>
        <v>32121.16120946435</v>
      </c>
      <c r="N121" s="231">
        <f t="shared" si="35"/>
        <v>32121.16120946435</v>
      </c>
      <c r="O121" s="231">
        <f t="shared" si="35"/>
        <v>32121.16120946435</v>
      </c>
      <c r="P121" s="231">
        <f t="shared" si="35"/>
        <v>32121.16120946435</v>
      </c>
      <c r="Q121" s="231">
        <f t="shared" si="35"/>
        <v>32121.16120946435</v>
      </c>
      <c r="R121" s="231">
        <f t="shared" si="35"/>
        <v>32073.00354648165</v>
      </c>
      <c r="S121" s="231">
        <f t="shared" si="35"/>
        <v>32073.00354648165</v>
      </c>
      <c r="T121" s="231">
        <f t="shared" si="35"/>
        <v>32073.00354648165</v>
      </c>
      <c r="U121" s="231">
        <f t="shared" si="35"/>
        <v>32073.00354648165</v>
      </c>
      <c r="V121" s="231">
        <f t="shared" si="35"/>
        <v>16036.501773240825</v>
      </c>
      <c r="W121" s="231">
        <f t="shared" si="35"/>
        <v>0</v>
      </c>
      <c r="X121" s="231">
        <f t="shared" si="35"/>
        <v>0</v>
      </c>
      <c r="Y121" s="231">
        <f t="shared" si="35"/>
        <v>0</v>
      </c>
      <c r="Z121" s="231">
        <f t="shared" si="35"/>
        <v>0</v>
      </c>
      <c r="AA121" s="231">
        <f t="shared" si="35"/>
        <v>0</v>
      </c>
      <c r="AB121" s="231">
        <f t="shared" si="35"/>
        <v>0</v>
      </c>
      <c r="AC121" s="231">
        <f t="shared" si="35"/>
        <v>0</v>
      </c>
      <c r="AD121" s="231">
        <f t="shared" si="35"/>
        <v>0</v>
      </c>
      <c r="AE121" s="231">
        <f t="shared" si="35"/>
        <v>0</v>
      </c>
      <c r="AF121" s="231">
        <f t="shared" si="35"/>
        <v>0</v>
      </c>
      <c r="AG121" s="231">
        <f t="shared" si="35"/>
        <v>0</v>
      </c>
      <c r="AH121" s="231">
        <f t="shared" si="35"/>
        <v>0</v>
      </c>
      <c r="AI121" s="231">
        <f t="shared" si="35"/>
        <v>0</v>
      </c>
      <c r="AJ121" s="231">
        <f t="shared" si="35"/>
        <v>0</v>
      </c>
    </row>
    <row r="122" spans="2:36" s="1" customFormat="1" x14ac:dyDescent="0.2">
      <c r="B122" s="221" t="s">
        <v>84</v>
      </c>
      <c r="C122" s="221"/>
      <c r="D122" s="221"/>
      <c r="E122" s="230">
        <f t="shared" si="30"/>
        <v>120818.76319952862</v>
      </c>
      <c r="F122" s="230"/>
      <c r="G122" s="231">
        <f t="shared" ref="G122:AJ122" si="36">$E105*G105</f>
        <v>3020.4690799882155</v>
      </c>
      <c r="H122" s="231">
        <f t="shared" si="36"/>
        <v>6040.9381599764311</v>
      </c>
      <c r="I122" s="231">
        <f t="shared" si="36"/>
        <v>6040.9381599764311</v>
      </c>
      <c r="J122" s="231">
        <f t="shared" si="36"/>
        <v>6040.9381599764311</v>
      </c>
      <c r="K122" s="231">
        <f t="shared" si="36"/>
        <v>6040.9381599764311</v>
      </c>
      <c r="L122" s="231">
        <f t="shared" si="36"/>
        <v>6040.9381599764311</v>
      </c>
      <c r="M122" s="231">
        <f t="shared" si="36"/>
        <v>6040.9381599764311</v>
      </c>
      <c r="N122" s="231">
        <f t="shared" si="36"/>
        <v>6040.9381599764311</v>
      </c>
      <c r="O122" s="231">
        <f t="shared" si="36"/>
        <v>6040.9381599764311</v>
      </c>
      <c r="P122" s="231">
        <f t="shared" si="36"/>
        <v>6040.9381599764311</v>
      </c>
      <c r="Q122" s="231">
        <f t="shared" si="36"/>
        <v>6040.9381599764311</v>
      </c>
      <c r="R122" s="231">
        <f t="shared" si="36"/>
        <v>6040.9381599764311</v>
      </c>
      <c r="S122" s="231">
        <f t="shared" si="36"/>
        <v>6040.9381599764311</v>
      </c>
      <c r="T122" s="231">
        <f t="shared" si="36"/>
        <v>6040.9381599764311</v>
      </c>
      <c r="U122" s="231">
        <f t="shared" si="36"/>
        <v>6040.9381599764311</v>
      </c>
      <c r="V122" s="231">
        <f t="shared" si="36"/>
        <v>6040.9381599764311</v>
      </c>
      <c r="W122" s="231">
        <f t="shared" si="36"/>
        <v>6040.9381599764311</v>
      </c>
      <c r="X122" s="231">
        <f t="shared" si="36"/>
        <v>6040.9381599764311</v>
      </c>
      <c r="Y122" s="231">
        <f t="shared" si="36"/>
        <v>6040.9381599764311</v>
      </c>
      <c r="Z122" s="231">
        <f t="shared" si="36"/>
        <v>6040.9381599764311</v>
      </c>
      <c r="AA122" s="231">
        <f t="shared" si="36"/>
        <v>3020.4690799882155</v>
      </c>
      <c r="AB122" s="231">
        <f t="shared" si="36"/>
        <v>0</v>
      </c>
      <c r="AC122" s="231">
        <f t="shared" si="36"/>
        <v>0</v>
      </c>
      <c r="AD122" s="231">
        <f t="shared" si="36"/>
        <v>0</v>
      </c>
      <c r="AE122" s="231">
        <f t="shared" si="36"/>
        <v>0</v>
      </c>
      <c r="AF122" s="231">
        <f t="shared" si="36"/>
        <v>0</v>
      </c>
      <c r="AG122" s="231">
        <f t="shared" si="36"/>
        <v>0</v>
      </c>
      <c r="AH122" s="231">
        <f t="shared" si="36"/>
        <v>0</v>
      </c>
      <c r="AI122" s="231">
        <f t="shared" si="36"/>
        <v>0</v>
      </c>
      <c r="AJ122" s="231">
        <f t="shared" si="36"/>
        <v>0</v>
      </c>
    </row>
    <row r="123" spans="2:36" s="1" customFormat="1" x14ac:dyDescent="0.2">
      <c r="B123" s="221" t="s">
        <v>85</v>
      </c>
      <c r="C123" s="221"/>
      <c r="D123" s="221"/>
      <c r="E123" s="230">
        <f t="shared" si="30"/>
        <v>0</v>
      </c>
      <c r="F123" s="230"/>
      <c r="G123" s="231">
        <f t="shared" ref="G123:AJ124" si="37">$E106*G106</f>
        <v>0</v>
      </c>
      <c r="H123" s="231">
        <f t="shared" si="37"/>
        <v>0</v>
      </c>
      <c r="I123" s="231">
        <f t="shared" si="37"/>
        <v>0</v>
      </c>
      <c r="J123" s="231">
        <f t="shared" si="37"/>
        <v>0</v>
      </c>
      <c r="K123" s="231">
        <f t="shared" si="37"/>
        <v>0</v>
      </c>
      <c r="L123" s="231">
        <f t="shared" si="37"/>
        <v>0</v>
      </c>
      <c r="M123" s="231">
        <f t="shared" si="37"/>
        <v>0</v>
      </c>
      <c r="N123" s="231">
        <f t="shared" si="37"/>
        <v>0</v>
      </c>
      <c r="O123" s="231">
        <f t="shared" si="37"/>
        <v>0</v>
      </c>
      <c r="P123" s="231">
        <f t="shared" si="37"/>
        <v>0</v>
      </c>
      <c r="Q123" s="231">
        <f t="shared" si="37"/>
        <v>0</v>
      </c>
      <c r="R123" s="231">
        <f t="shared" si="37"/>
        <v>0</v>
      </c>
      <c r="S123" s="231">
        <f t="shared" si="37"/>
        <v>0</v>
      </c>
      <c r="T123" s="231">
        <f t="shared" si="37"/>
        <v>0</v>
      </c>
      <c r="U123" s="231">
        <f t="shared" si="37"/>
        <v>0</v>
      </c>
      <c r="V123" s="231">
        <f t="shared" si="37"/>
        <v>0</v>
      </c>
      <c r="W123" s="231">
        <f t="shared" si="37"/>
        <v>0</v>
      </c>
      <c r="X123" s="231">
        <f t="shared" si="37"/>
        <v>0</v>
      </c>
      <c r="Y123" s="231">
        <f t="shared" si="37"/>
        <v>0</v>
      </c>
      <c r="Z123" s="231">
        <f t="shared" si="37"/>
        <v>0</v>
      </c>
      <c r="AA123" s="231">
        <f t="shared" si="37"/>
        <v>0</v>
      </c>
      <c r="AB123" s="231">
        <f t="shared" si="37"/>
        <v>0</v>
      </c>
      <c r="AC123" s="231">
        <f t="shared" si="37"/>
        <v>0</v>
      </c>
      <c r="AD123" s="231">
        <f t="shared" si="37"/>
        <v>0</v>
      </c>
      <c r="AE123" s="231">
        <f t="shared" si="37"/>
        <v>0</v>
      </c>
      <c r="AF123" s="231">
        <f t="shared" si="37"/>
        <v>0</v>
      </c>
      <c r="AG123" s="231">
        <f t="shared" si="37"/>
        <v>0</v>
      </c>
      <c r="AH123" s="231">
        <f t="shared" si="37"/>
        <v>0</v>
      </c>
      <c r="AI123" s="231">
        <f t="shared" si="37"/>
        <v>0</v>
      </c>
      <c r="AJ123" s="231">
        <f t="shared" si="37"/>
        <v>0</v>
      </c>
    </row>
    <row r="124" spans="2:36" s="1" customFormat="1" x14ac:dyDescent="0.2">
      <c r="B124" s="221" t="s">
        <v>356</v>
      </c>
      <c r="C124" s="221"/>
      <c r="D124" s="221"/>
      <c r="E124" s="230">
        <f t="shared" si="30"/>
        <v>2681625.7841894533</v>
      </c>
      <c r="F124" s="230"/>
      <c r="G124" s="231">
        <f t="shared" si="37"/>
        <v>2681625.7841894533</v>
      </c>
      <c r="H124" s="231">
        <f t="shared" si="37"/>
        <v>0</v>
      </c>
      <c r="I124" s="231">
        <f t="shared" si="37"/>
        <v>0</v>
      </c>
      <c r="J124" s="231">
        <f t="shared" si="37"/>
        <v>0</v>
      </c>
      <c r="K124" s="231">
        <f t="shared" si="37"/>
        <v>0</v>
      </c>
      <c r="L124" s="231">
        <f t="shared" si="37"/>
        <v>0</v>
      </c>
      <c r="M124" s="231">
        <f t="shared" si="37"/>
        <v>0</v>
      </c>
      <c r="N124" s="231">
        <f t="shared" si="37"/>
        <v>0</v>
      </c>
      <c r="O124" s="231">
        <f t="shared" si="37"/>
        <v>0</v>
      </c>
      <c r="P124" s="231">
        <f t="shared" si="37"/>
        <v>0</v>
      </c>
      <c r="Q124" s="231">
        <f t="shared" si="37"/>
        <v>0</v>
      </c>
      <c r="R124" s="231">
        <f t="shared" si="37"/>
        <v>0</v>
      </c>
      <c r="S124" s="231">
        <f t="shared" si="37"/>
        <v>0</v>
      </c>
      <c r="T124" s="231">
        <f t="shared" si="37"/>
        <v>0</v>
      </c>
      <c r="U124" s="231">
        <f t="shared" si="37"/>
        <v>0</v>
      </c>
      <c r="V124" s="231">
        <f t="shared" si="37"/>
        <v>0</v>
      </c>
      <c r="W124" s="231">
        <f t="shared" si="37"/>
        <v>0</v>
      </c>
      <c r="X124" s="231">
        <f t="shared" si="37"/>
        <v>0</v>
      </c>
      <c r="Y124" s="231">
        <f t="shared" si="37"/>
        <v>0</v>
      </c>
      <c r="Z124" s="231">
        <f t="shared" si="37"/>
        <v>0</v>
      </c>
      <c r="AA124" s="231">
        <f t="shared" si="37"/>
        <v>0</v>
      </c>
      <c r="AB124" s="231">
        <f t="shared" si="37"/>
        <v>0</v>
      </c>
      <c r="AC124" s="231">
        <f t="shared" si="37"/>
        <v>0</v>
      </c>
      <c r="AD124" s="231">
        <f t="shared" si="37"/>
        <v>0</v>
      </c>
      <c r="AE124" s="231">
        <f t="shared" si="37"/>
        <v>0</v>
      </c>
      <c r="AF124" s="231">
        <f t="shared" si="37"/>
        <v>0</v>
      </c>
      <c r="AG124" s="231">
        <f t="shared" si="37"/>
        <v>0</v>
      </c>
      <c r="AH124" s="231">
        <f t="shared" si="37"/>
        <v>0</v>
      </c>
      <c r="AI124" s="231">
        <f t="shared" si="37"/>
        <v>0</v>
      </c>
      <c r="AJ124" s="231">
        <f t="shared" si="37"/>
        <v>0</v>
      </c>
    </row>
    <row r="125" spans="2:36" s="1" customFormat="1" x14ac:dyDescent="0.2">
      <c r="B125" s="233" t="s">
        <v>26</v>
      </c>
      <c r="C125" s="233"/>
      <c r="D125" s="233"/>
      <c r="E125" s="234">
        <f>E108</f>
        <v>125405.20729311957</v>
      </c>
      <c r="F125" s="230"/>
      <c r="G125" s="232"/>
      <c r="H125" s="232"/>
      <c r="I125" s="232"/>
      <c r="J125" s="232"/>
      <c r="K125" s="232"/>
      <c r="L125" s="232"/>
      <c r="M125" s="232"/>
      <c r="N125" s="232"/>
      <c r="O125" s="232"/>
      <c r="P125" s="232"/>
      <c r="Q125" s="232"/>
      <c r="R125" s="232"/>
      <c r="S125" s="232"/>
      <c r="T125" s="232"/>
      <c r="U125" s="232"/>
      <c r="V125" s="232"/>
      <c r="W125" s="232"/>
      <c r="X125" s="232"/>
      <c r="Y125" s="232"/>
      <c r="Z125" s="232"/>
      <c r="AA125" s="232"/>
      <c r="AB125" s="232"/>
      <c r="AC125" s="232"/>
      <c r="AD125" s="232"/>
      <c r="AE125" s="232"/>
      <c r="AF125" s="232"/>
      <c r="AG125" s="232"/>
      <c r="AH125" s="232"/>
      <c r="AI125" s="232"/>
      <c r="AJ125" s="232"/>
    </row>
    <row r="126" spans="2:36" s="1" customFormat="1" x14ac:dyDescent="0.2">
      <c r="B126" s="221" t="s">
        <v>87</v>
      </c>
      <c r="C126" s="221"/>
      <c r="D126" s="221"/>
      <c r="E126" s="230">
        <f>SUM(E116:E125)</f>
        <v>5363251.5683789058</v>
      </c>
      <c r="F126" s="235" t="str">
        <f>IF(ROUND(E126,0)=ROUND(E110,0),"OK","error")</f>
        <v>OK</v>
      </c>
      <c r="G126" s="232"/>
      <c r="H126" s="232"/>
      <c r="I126" s="232"/>
      <c r="J126" s="232"/>
      <c r="K126" s="232"/>
      <c r="L126" s="232"/>
      <c r="M126" s="232"/>
      <c r="N126" s="232"/>
      <c r="O126" s="232"/>
      <c r="P126" s="232"/>
      <c r="Q126" s="232"/>
      <c r="R126" s="232"/>
      <c r="S126" s="232"/>
      <c r="T126" s="232"/>
      <c r="U126" s="232"/>
      <c r="V126" s="232"/>
      <c r="W126" s="232"/>
      <c r="X126" s="232"/>
      <c r="Y126" s="232"/>
      <c r="Z126" s="232"/>
      <c r="AA126" s="232"/>
      <c r="AB126" s="232"/>
      <c r="AC126" s="232"/>
      <c r="AD126" s="232"/>
      <c r="AE126" s="232"/>
      <c r="AF126" s="232"/>
      <c r="AG126" s="232"/>
      <c r="AH126" s="232"/>
      <c r="AI126" s="232"/>
      <c r="AJ126" s="232"/>
    </row>
    <row r="127" spans="2:36" s="1" customFormat="1" x14ac:dyDescent="0.2">
      <c r="B127" s="221"/>
      <c r="C127" s="221"/>
      <c r="D127" s="221"/>
      <c r="E127" s="230"/>
      <c r="F127" s="235"/>
      <c r="G127" s="232"/>
      <c r="H127" s="232"/>
      <c r="I127" s="232"/>
      <c r="J127" s="232"/>
      <c r="K127" s="232"/>
      <c r="L127" s="232"/>
      <c r="M127" s="232"/>
      <c r="N127" s="232"/>
      <c r="O127" s="232"/>
      <c r="P127" s="232"/>
      <c r="Q127" s="232"/>
      <c r="R127" s="232"/>
      <c r="S127" s="232"/>
      <c r="T127" s="232"/>
      <c r="U127" s="232"/>
      <c r="V127" s="232"/>
      <c r="W127" s="232"/>
      <c r="X127" s="232"/>
      <c r="Y127" s="232"/>
      <c r="Z127" s="232"/>
      <c r="AA127" s="232"/>
      <c r="AB127" s="232"/>
      <c r="AC127" s="232"/>
      <c r="AD127" s="232"/>
      <c r="AE127" s="232"/>
      <c r="AF127" s="232"/>
      <c r="AG127" s="232"/>
      <c r="AH127" s="232"/>
      <c r="AI127" s="232"/>
      <c r="AJ127" s="232"/>
    </row>
    <row r="128" spans="2:36" s="1" customFormat="1" ht="15.75" x14ac:dyDescent="0.25">
      <c r="B128" s="223" t="s">
        <v>157</v>
      </c>
      <c r="C128" s="223"/>
      <c r="D128" s="223"/>
      <c r="E128" s="230"/>
      <c r="F128" s="235"/>
      <c r="G128" s="232"/>
      <c r="H128" s="232"/>
      <c r="I128" s="232"/>
      <c r="J128" s="232"/>
      <c r="K128" s="232"/>
      <c r="L128" s="232"/>
      <c r="M128" s="232"/>
      <c r="N128" s="232"/>
      <c r="O128" s="232"/>
      <c r="P128" s="232"/>
      <c r="Q128" s="232"/>
      <c r="R128" s="232"/>
      <c r="S128" s="232"/>
      <c r="T128" s="232"/>
      <c r="U128" s="232"/>
      <c r="V128" s="232"/>
      <c r="W128" s="232"/>
      <c r="X128" s="232"/>
      <c r="Y128" s="232"/>
      <c r="Z128" s="232"/>
      <c r="AA128" s="232"/>
      <c r="AB128" s="232"/>
      <c r="AC128" s="232"/>
      <c r="AD128" s="232"/>
      <c r="AE128" s="232"/>
      <c r="AF128" s="232"/>
      <c r="AG128" s="232"/>
      <c r="AH128" s="232"/>
      <c r="AI128" s="232"/>
      <c r="AJ128" s="232"/>
    </row>
    <row r="129" spans="2:36" s="1" customFormat="1" x14ac:dyDescent="0.2">
      <c r="B129" s="221" t="s">
        <v>158</v>
      </c>
      <c r="C129" s="221"/>
      <c r="D129" s="221"/>
      <c r="E129" s="230">
        <f>Inputs!$Q$51*Inputs!$G$8*1000</f>
        <v>517000</v>
      </c>
      <c r="F129" s="235"/>
      <c r="G129" s="232">
        <f>IF(G$2=Inputs!$Q$50,'Cash Flow'!$E$129,0)</f>
        <v>0</v>
      </c>
      <c r="H129" s="232">
        <f>IF(H$2=Inputs!$Q$50,'Cash Flow'!$E$129,0)</f>
        <v>0</v>
      </c>
      <c r="I129" s="232">
        <f>IF(I$2=Inputs!$Q$50,'Cash Flow'!$E$129,0)</f>
        <v>0</v>
      </c>
      <c r="J129" s="232">
        <f>IF(J$2=Inputs!$Q$50,'Cash Flow'!$E$129,0)</f>
        <v>0</v>
      </c>
      <c r="K129" s="232">
        <f>IF(K$2=Inputs!$Q$50,'Cash Flow'!$E$129,0)</f>
        <v>0</v>
      </c>
      <c r="L129" s="232">
        <f>IF(L$2=Inputs!$Q$50,'Cash Flow'!$E$129,0)</f>
        <v>0</v>
      </c>
      <c r="M129" s="232">
        <f>IF(M$2=Inputs!$Q$50,'Cash Flow'!$E$129,0)</f>
        <v>0</v>
      </c>
      <c r="N129" s="232">
        <f>IF(N$2=Inputs!$Q$50,'Cash Flow'!$E$129,0)</f>
        <v>0</v>
      </c>
      <c r="O129" s="232">
        <f>IF(O$2=Inputs!$Q$50,'Cash Flow'!$E$129,0)</f>
        <v>0</v>
      </c>
      <c r="P129" s="232">
        <f>IF(P$2=Inputs!$Q$50,'Cash Flow'!$E$129,0)</f>
        <v>517000</v>
      </c>
      <c r="Q129" s="232">
        <f>IF(Q$2=Inputs!$Q$50,'Cash Flow'!$E$129,0)</f>
        <v>0</v>
      </c>
      <c r="R129" s="232">
        <f>IF(R$2=Inputs!$Q$50,'Cash Flow'!$E$129,0)</f>
        <v>0</v>
      </c>
      <c r="S129" s="232">
        <f>IF(S$2=Inputs!$Q$50,'Cash Flow'!$E$129,0)</f>
        <v>0</v>
      </c>
      <c r="T129" s="232">
        <f>IF(T$2=Inputs!$Q$50,'Cash Flow'!$E$129,0)</f>
        <v>0</v>
      </c>
      <c r="U129" s="232">
        <f>IF(U$2=Inputs!$Q$50,'Cash Flow'!$E$129,0)</f>
        <v>0</v>
      </c>
      <c r="V129" s="232">
        <f>IF(V$2=Inputs!$Q$50,'Cash Flow'!$E$129,0)</f>
        <v>0</v>
      </c>
      <c r="W129" s="232">
        <f>IF(W$2=Inputs!$Q$50,'Cash Flow'!$E$129,0)</f>
        <v>0</v>
      </c>
      <c r="X129" s="232">
        <f>IF(X$2=Inputs!$Q$50,'Cash Flow'!$E$129,0)</f>
        <v>0</v>
      </c>
      <c r="Y129" s="232">
        <f>IF(Y$2=Inputs!$Q$50,'Cash Flow'!$E$129,0)</f>
        <v>0</v>
      </c>
      <c r="Z129" s="232">
        <f>IF(Z$2=Inputs!$Q$50,'Cash Flow'!$E$129,0)</f>
        <v>0</v>
      </c>
      <c r="AA129" s="232">
        <f>IF(AA$2=Inputs!$Q$50,'Cash Flow'!$E$129,0)</f>
        <v>0</v>
      </c>
      <c r="AB129" s="232">
        <f>IF(AB$2=Inputs!$Q$50,'Cash Flow'!$E$129,0)</f>
        <v>0</v>
      </c>
      <c r="AC129" s="232">
        <f>IF(AC$2=Inputs!$Q$50,'Cash Flow'!$E$129,0)</f>
        <v>0</v>
      </c>
      <c r="AD129" s="232">
        <f>IF(AD$2=Inputs!$Q$50,'Cash Flow'!$E$129,0)</f>
        <v>0</v>
      </c>
      <c r="AE129" s="232">
        <f>IF(AE$2=Inputs!$Q$50,'Cash Flow'!$E$129,0)</f>
        <v>0</v>
      </c>
      <c r="AF129" s="232">
        <f>IF(AF$2=Inputs!$Q$50,'Cash Flow'!$E$129,0)</f>
        <v>0</v>
      </c>
      <c r="AG129" s="232">
        <f>IF(AG$2=Inputs!$Q$50,'Cash Flow'!$E$129,0)</f>
        <v>0</v>
      </c>
      <c r="AH129" s="232">
        <f>IF(AH$2=Inputs!$Q$50,'Cash Flow'!$E$129,0)</f>
        <v>0</v>
      </c>
      <c r="AI129" s="232">
        <f>IF(AI$2=Inputs!$Q$50,'Cash Flow'!$E$129,0)</f>
        <v>0</v>
      </c>
      <c r="AJ129" s="232">
        <f>IF(AJ$2=Inputs!$Q$50,'Cash Flow'!$E$129,0)</f>
        <v>0</v>
      </c>
    </row>
    <row r="130" spans="2:36" s="1" customFormat="1" x14ac:dyDescent="0.2">
      <c r="B130" s="221" t="s">
        <v>160</v>
      </c>
      <c r="C130" s="221"/>
      <c r="D130" s="221"/>
      <c r="E130" s="230"/>
      <c r="F130" s="235"/>
      <c r="G130" s="236">
        <f>IF(G129&gt;0,1,IF(F130&gt;0,F130+1,0))</f>
        <v>0</v>
      </c>
      <c r="H130" s="236">
        <f t="shared" ref="H130:AJ130" si="38">IF(H129&gt;0,1,IF(G130&gt;0,G130+1,0))</f>
        <v>0</v>
      </c>
      <c r="I130" s="236">
        <f t="shared" si="38"/>
        <v>0</v>
      </c>
      <c r="J130" s="236">
        <f t="shared" si="38"/>
        <v>0</v>
      </c>
      <c r="K130" s="236">
        <f t="shared" si="38"/>
        <v>0</v>
      </c>
      <c r="L130" s="236">
        <f t="shared" si="38"/>
        <v>0</v>
      </c>
      <c r="M130" s="236">
        <f t="shared" si="38"/>
        <v>0</v>
      </c>
      <c r="N130" s="236">
        <f t="shared" si="38"/>
        <v>0</v>
      </c>
      <c r="O130" s="236">
        <f t="shared" si="38"/>
        <v>0</v>
      </c>
      <c r="P130" s="236">
        <f t="shared" si="38"/>
        <v>1</v>
      </c>
      <c r="Q130" s="236">
        <f t="shared" si="38"/>
        <v>2</v>
      </c>
      <c r="R130" s="236">
        <f t="shared" si="38"/>
        <v>3</v>
      </c>
      <c r="S130" s="236">
        <f t="shared" si="38"/>
        <v>4</v>
      </c>
      <c r="T130" s="236">
        <f t="shared" si="38"/>
        <v>5</v>
      </c>
      <c r="U130" s="236">
        <f t="shared" si="38"/>
        <v>6</v>
      </c>
      <c r="V130" s="236">
        <f t="shared" si="38"/>
        <v>7</v>
      </c>
      <c r="W130" s="236">
        <f t="shared" si="38"/>
        <v>8</v>
      </c>
      <c r="X130" s="236">
        <f t="shared" si="38"/>
        <v>9</v>
      </c>
      <c r="Y130" s="236">
        <f t="shared" si="38"/>
        <v>10</v>
      </c>
      <c r="Z130" s="236">
        <f t="shared" si="38"/>
        <v>11</v>
      </c>
      <c r="AA130" s="236">
        <f t="shared" si="38"/>
        <v>12</v>
      </c>
      <c r="AB130" s="236">
        <f t="shared" si="38"/>
        <v>13</v>
      </c>
      <c r="AC130" s="236">
        <f t="shared" si="38"/>
        <v>14</v>
      </c>
      <c r="AD130" s="236">
        <f t="shared" si="38"/>
        <v>15</v>
      </c>
      <c r="AE130" s="236">
        <f t="shared" si="38"/>
        <v>16</v>
      </c>
      <c r="AF130" s="236">
        <f t="shared" si="38"/>
        <v>17</v>
      </c>
      <c r="AG130" s="236">
        <f t="shared" si="38"/>
        <v>18</v>
      </c>
      <c r="AH130" s="236">
        <f t="shared" si="38"/>
        <v>19</v>
      </c>
      <c r="AI130" s="236">
        <f t="shared" si="38"/>
        <v>20</v>
      </c>
      <c r="AJ130" s="236">
        <f t="shared" si="38"/>
        <v>21</v>
      </c>
    </row>
    <row r="131" spans="2:36" s="1" customFormat="1" x14ac:dyDescent="0.2">
      <c r="B131" s="221" t="s">
        <v>161</v>
      </c>
      <c r="C131" s="221"/>
      <c r="D131" s="221"/>
      <c r="E131" s="230"/>
      <c r="F131" s="235"/>
      <c r="G131" s="232">
        <f t="shared" ref="G131:AJ131" si="39">IF(G130=0,0,$E$129*LOOKUP(G130,$G$97:$AJ$97,$G$99:$AJ$99))</f>
        <v>0</v>
      </c>
      <c r="H131" s="232">
        <f t="shared" si="39"/>
        <v>0</v>
      </c>
      <c r="I131" s="232">
        <f t="shared" si="39"/>
        <v>0</v>
      </c>
      <c r="J131" s="232">
        <f t="shared" si="39"/>
        <v>0</v>
      </c>
      <c r="K131" s="232">
        <f t="shared" si="39"/>
        <v>0</v>
      </c>
      <c r="L131" s="232">
        <f t="shared" si="39"/>
        <v>0</v>
      </c>
      <c r="M131" s="232">
        <f t="shared" si="39"/>
        <v>0</v>
      </c>
      <c r="N131" s="232">
        <f t="shared" si="39"/>
        <v>0</v>
      </c>
      <c r="O131" s="232">
        <f t="shared" si="39"/>
        <v>0</v>
      </c>
      <c r="P131" s="232">
        <f t="shared" si="39"/>
        <v>103400</v>
      </c>
      <c r="Q131" s="232">
        <f t="shared" si="39"/>
        <v>165440</v>
      </c>
      <c r="R131" s="232">
        <f t="shared" si="39"/>
        <v>99264</v>
      </c>
      <c r="S131" s="232">
        <f t="shared" si="39"/>
        <v>59558.400000000001</v>
      </c>
      <c r="T131" s="232">
        <f t="shared" si="39"/>
        <v>59558.400000000001</v>
      </c>
      <c r="U131" s="232">
        <f t="shared" si="39"/>
        <v>29779.200000000001</v>
      </c>
      <c r="V131" s="232">
        <f t="shared" si="39"/>
        <v>0</v>
      </c>
      <c r="W131" s="232">
        <f t="shared" si="39"/>
        <v>0</v>
      </c>
      <c r="X131" s="232">
        <f t="shared" si="39"/>
        <v>0</v>
      </c>
      <c r="Y131" s="232">
        <f t="shared" si="39"/>
        <v>0</v>
      </c>
      <c r="Z131" s="232">
        <f t="shared" si="39"/>
        <v>0</v>
      </c>
      <c r="AA131" s="232">
        <f t="shared" si="39"/>
        <v>0</v>
      </c>
      <c r="AB131" s="232">
        <f t="shared" si="39"/>
        <v>0</v>
      </c>
      <c r="AC131" s="232">
        <f t="shared" si="39"/>
        <v>0</v>
      </c>
      <c r="AD131" s="232">
        <f t="shared" si="39"/>
        <v>0</v>
      </c>
      <c r="AE131" s="232">
        <f t="shared" si="39"/>
        <v>0</v>
      </c>
      <c r="AF131" s="232">
        <f t="shared" si="39"/>
        <v>0</v>
      </c>
      <c r="AG131" s="232">
        <f t="shared" si="39"/>
        <v>0</v>
      </c>
      <c r="AH131" s="232">
        <f t="shared" si="39"/>
        <v>0</v>
      </c>
      <c r="AI131" s="232">
        <f t="shared" si="39"/>
        <v>0</v>
      </c>
      <c r="AJ131" s="232">
        <f t="shared" si="39"/>
        <v>0</v>
      </c>
    </row>
    <row r="132" spans="2:36" s="1" customFormat="1" x14ac:dyDescent="0.2">
      <c r="B132" s="221" t="s">
        <v>159</v>
      </c>
      <c r="C132" s="221"/>
      <c r="D132" s="221"/>
      <c r="E132" s="230">
        <f>Inputs!$Q$53*Inputs!$G$8*1000</f>
        <v>539000</v>
      </c>
      <c r="F132" s="235"/>
      <c r="G132" s="232">
        <f>IF(G$2=Inputs!$Q$52,'Cash Flow'!$E$132,0)</f>
        <v>0</v>
      </c>
      <c r="H132" s="232">
        <f>IF(H$2=Inputs!$Q$52,'Cash Flow'!$E$132,0)</f>
        <v>0</v>
      </c>
      <c r="I132" s="232">
        <f>IF(I$2=Inputs!$Q$52,'Cash Flow'!$E$132,0)</f>
        <v>0</v>
      </c>
      <c r="J132" s="232">
        <f>IF(J$2=Inputs!$Q$52,'Cash Flow'!$E$132,0)</f>
        <v>0</v>
      </c>
      <c r="K132" s="232">
        <f>IF(K$2=Inputs!$Q$52,'Cash Flow'!$E$132,0)</f>
        <v>0</v>
      </c>
      <c r="L132" s="232">
        <f>IF(L$2=Inputs!$Q$52,'Cash Flow'!$E$132,0)</f>
        <v>0</v>
      </c>
      <c r="M132" s="232">
        <f>IF(M$2=Inputs!$Q$52,'Cash Flow'!$E$132,0)</f>
        <v>0</v>
      </c>
      <c r="N132" s="232">
        <f>IF(N$2=Inputs!$Q$52,'Cash Flow'!$E$132,0)</f>
        <v>0</v>
      </c>
      <c r="O132" s="232">
        <f>IF(O$2=Inputs!$Q$52,'Cash Flow'!$E$132,0)</f>
        <v>0</v>
      </c>
      <c r="P132" s="232">
        <f>IF(P$2=Inputs!$Q$52,'Cash Flow'!$E$132,0)</f>
        <v>0</v>
      </c>
      <c r="Q132" s="232">
        <f>IF(Q$2=Inputs!$Q$52,'Cash Flow'!$E$132,0)</f>
        <v>0</v>
      </c>
      <c r="R132" s="232">
        <f>IF(R$2=Inputs!$Q$52,'Cash Flow'!$E$132,0)</f>
        <v>0</v>
      </c>
      <c r="S132" s="232">
        <f>IF(S$2=Inputs!$Q$52,'Cash Flow'!$E$132,0)</f>
        <v>0</v>
      </c>
      <c r="T132" s="232">
        <f>IF(T$2=Inputs!$Q$52,'Cash Flow'!$E$132,0)</f>
        <v>0</v>
      </c>
      <c r="U132" s="232">
        <f>IF(U$2=Inputs!$Q$52,'Cash Flow'!$E$132,0)</f>
        <v>0</v>
      </c>
      <c r="V132" s="232">
        <f>IF(V$2=Inputs!$Q$52,'Cash Flow'!$E$132,0)</f>
        <v>0</v>
      </c>
      <c r="W132" s="232">
        <f>IF(W$2=Inputs!$Q$52,'Cash Flow'!$E$132,0)</f>
        <v>0</v>
      </c>
      <c r="X132" s="232">
        <f>IF(X$2=Inputs!$Q$52,'Cash Flow'!$E$132,0)</f>
        <v>0</v>
      </c>
      <c r="Y132" s="232">
        <f>IF(Y$2=Inputs!$Q$52,'Cash Flow'!$E$132,0)</f>
        <v>0</v>
      </c>
      <c r="Z132" s="232">
        <f>IF(Z$2=Inputs!$Q$52,'Cash Flow'!$E$132,0)</f>
        <v>539000</v>
      </c>
      <c r="AA132" s="232">
        <f>IF(AA$2=Inputs!$Q$52,'Cash Flow'!$E$132,0)</f>
        <v>0</v>
      </c>
      <c r="AB132" s="232">
        <f>IF(AB$2=Inputs!$Q$52,'Cash Flow'!$E$132,0)</f>
        <v>0</v>
      </c>
      <c r="AC132" s="232">
        <f>IF(AC$2=Inputs!$Q$52,'Cash Flow'!$E$132,0)</f>
        <v>0</v>
      </c>
      <c r="AD132" s="232">
        <f>IF(AD$2=Inputs!$Q$52,'Cash Flow'!$E$132,0)</f>
        <v>0</v>
      </c>
      <c r="AE132" s="232">
        <f>IF(AE$2=Inputs!$Q$52,'Cash Flow'!$E$132,0)</f>
        <v>0</v>
      </c>
      <c r="AF132" s="232">
        <f>IF(AF$2=Inputs!$Q$52,'Cash Flow'!$E$132,0)</f>
        <v>0</v>
      </c>
      <c r="AG132" s="232">
        <f>IF(AG$2=Inputs!$Q$52,'Cash Flow'!$E$132,0)</f>
        <v>0</v>
      </c>
      <c r="AH132" s="232">
        <f>IF(AH$2=Inputs!$Q$52,'Cash Flow'!$E$132,0)</f>
        <v>0</v>
      </c>
      <c r="AI132" s="232">
        <f>IF(AI$2=Inputs!$Q$52,'Cash Flow'!$E$132,0)</f>
        <v>0</v>
      </c>
      <c r="AJ132" s="232">
        <f>IF(AJ$2=Inputs!$Q$52,'Cash Flow'!$E$132,0)</f>
        <v>0</v>
      </c>
    </row>
    <row r="133" spans="2:36" s="1" customFormat="1" x14ac:dyDescent="0.2">
      <c r="B133" s="221" t="s">
        <v>160</v>
      </c>
      <c r="C133" s="221"/>
      <c r="D133" s="221"/>
      <c r="E133" s="230"/>
      <c r="F133" s="235"/>
      <c r="G133" s="236">
        <f t="shared" ref="G133:AJ133" si="40">IF(G132&gt;0,1,IF(F133&gt;0,F133+1,0))</f>
        <v>0</v>
      </c>
      <c r="H133" s="236">
        <f t="shared" si="40"/>
        <v>0</v>
      </c>
      <c r="I133" s="236">
        <f t="shared" si="40"/>
        <v>0</v>
      </c>
      <c r="J133" s="236">
        <f t="shared" si="40"/>
        <v>0</v>
      </c>
      <c r="K133" s="236">
        <f t="shared" si="40"/>
        <v>0</v>
      </c>
      <c r="L133" s="236">
        <f t="shared" si="40"/>
        <v>0</v>
      </c>
      <c r="M133" s="236">
        <f t="shared" si="40"/>
        <v>0</v>
      </c>
      <c r="N133" s="236">
        <f t="shared" si="40"/>
        <v>0</v>
      </c>
      <c r="O133" s="236">
        <f t="shared" si="40"/>
        <v>0</v>
      </c>
      <c r="P133" s="236">
        <f t="shared" si="40"/>
        <v>0</v>
      </c>
      <c r="Q133" s="236">
        <f t="shared" si="40"/>
        <v>0</v>
      </c>
      <c r="R133" s="236">
        <f t="shared" si="40"/>
        <v>0</v>
      </c>
      <c r="S133" s="236">
        <f t="shared" si="40"/>
        <v>0</v>
      </c>
      <c r="T133" s="236">
        <f t="shared" si="40"/>
        <v>0</v>
      </c>
      <c r="U133" s="236">
        <f t="shared" si="40"/>
        <v>0</v>
      </c>
      <c r="V133" s="236">
        <f t="shared" si="40"/>
        <v>0</v>
      </c>
      <c r="W133" s="236">
        <f t="shared" si="40"/>
        <v>0</v>
      </c>
      <c r="X133" s="236">
        <f t="shared" si="40"/>
        <v>0</v>
      </c>
      <c r="Y133" s="236">
        <f t="shared" si="40"/>
        <v>0</v>
      </c>
      <c r="Z133" s="236">
        <f t="shared" si="40"/>
        <v>1</v>
      </c>
      <c r="AA133" s="236">
        <f t="shared" si="40"/>
        <v>2</v>
      </c>
      <c r="AB133" s="236">
        <f t="shared" si="40"/>
        <v>3</v>
      </c>
      <c r="AC133" s="236">
        <f t="shared" si="40"/>
        <v>4</v>
      </c>
      <c r="AD133" s="236">
        <f t="shared" si="40"/>
        <v>5</v>
      </c>
      <c r="AE133" s="236">
        <f t="shared" si="40"/>
        <v>6</v>
      </c>
      <c r="AF133" s="236">
        <f t="shared" si="40"/>
        <v>7</v>
      </c>
      <c r="AG133" s="236">
        <f t="shared" si="40"/>
        <v>8</v>
      </c>
      <c r="AH133" s="236">
        <f t="shared" si="40"/>
        <v>9</v>
      </c>
      <c r="AI133" s="236">
        <f t="shared" si="40"/>
        <v>10</v>
      </c>
      <c r="AJ133" s="236">
        <f t="shared" si="40"/>
        <v>11</v>
      </c>
    </row>
    <row r="134" spans="2:36" s="1" customFormat="1" x14ac:dyDescent="0.2">
      <c r="B134" s="221" t="s">
        <v>161</v>
      </c>
      <c r="C134" s="221"/>
      <c r="D134" s="221"/>
      <c r="E134" s="230"/>
      <c r="F134" s="235"/>
      <c r="G134" s="232">
        <f t="shared" ref="G134:AJ134" si="41">IF(G133=0,0,$E$132*LOOKUP(G133,$G$97:$AJ$97,$G$99:$AJ$99))</f>
        <v>0</v>
      </c>
      <c r="H134" s="232">
        <f t="shared" si="41"/>
        <v>0</v>
      </c>
      <c r="I134" s="232">
        <f t="shared" si="41"/>
        <v>0</v>
      </c>
      <c r="J134" s="232">
        <f t="shared" si="41"/>
        <v>0</v>
      </c>
      <c r="K134" s="232">
        <f t="shared" si="41"/>
        <v>0</v>
      </c>
      <c r="L134" s="232">
        <f t="shared" si="41"/>
        <v>0</v>
      </c>
      <c r="M134" s="232">
        <f t="shared" si="41"/>
        <v>0</v>
      </c>
      <c r="N134" s="232">
        <f t="shared" si="41"/>
        <v>0</v>
      </c>
      <c r="O134" s="232">
        <f t="shared" si="41"/>
        <v>0</v>
      </c>
      <c r="P134" s="232">
        <f t="shared" si="41"/>
        <v>0</v>
      </c>
      <c r="Q134" s="232">
        <f t="shared" si="41"/>
        <v>0</v>
      </c>
      <c r="R134" s="232">
        <f t="shared" si="41"/>
        <v>0</v>
      </c>
      <c r="S134" s="232">
        <f t="shared" si="41"/>
        <v>0</v>
      </c>
      <c r="T134" s="232">
        <f t="shared" si="41"/>
        <v>0</v>
      </c>
      <c r="U134" s="232">
        <f t="shared" si="41"/>
        <v>0</v>
      </c>
      <c r="V134" s="232">
        <f t="shared" si="41"/>
        <v>0</v>
      </c>
      <c r="W134" s="232">
        <f t="shared" si="41"/>
        <v>0</v>
      </c>
      <c r="X134" s="232">
        <f t="shared" si="41"/>
        <v>0</v>
      </c>
      <c r="Y134" s="232">
        <f t="shared" si="41"/>
        <v>0</v>
      </c>
      <c r="Z134" s="232">
        <f t="shared" si="41"/>
        <v>107800</v>
      </c>
      <c r="AA134" s="232">
        <f t="shared" si="41"/>
        <v>172480</v>
      </c>
      <c r="AB134" s="232">
        <f t="shared" si="41"/>
        <v>103488</v>
      </c>
      <c r="AC134" s="232">
        <f t="shared" si="41"/>
        <v>62092.799999999996</v>
      </c>
      <c r="AD134" s="232">
        <f t="shared" si="41"/>
        <v>62092.799999999996</v>
      </c>
      <c r="AE134" s="232">
        <f t="shared" si="41"/>
        <v>31046.399999999998</v>
      </c>
      <c r="AF134" s="232">
        <f t="shared" si="41"/>
        <v>0</v>
      </c>
      <c r="AG134" s="232">
        <f t="shared" si="41"/>
        <v>0</v>
      </c>
      <c r="AH134" s="232">
        <f t="shared" si="41"/>
        <v>0</v>
      </c>
      <c r="AI134" s="232">
        <f t="shared" si="41"/>
        <v>0</v>
      </c>
      <c r="AJ134" s="232">
        <f t="shared" si="41"/>
        <v>0</v>
      </c>
    </row>
    <row r="135" spans="2:36" s="1" customFormat="1" x14ac:dyDescent="0.2">
      <c r="B135" s="221"/>
      <c r="C135" s="221"/>
      <c r="D135" s="221"/>
      <c r="E135" s="230"/>
      <c r="F135" s="235"/>
      <c r="G135" s="232"/>
      <c r="H135" s="232"/>
      <c r="I135" s="232"/>
      <c r="J135" s="232"/>
      <c r="K135" s="232"/>
      <c r="L135" s="232"/>
      <c r="M135" s="232"/>
      <c r="N135" s="232"/>
      <c r="O135" s="232"/>
      <c r="P135" s="232"/>
      <c r="Q135" s="232"/>
      <c r="R135" s="232"/>
      <c r="S135" s="232"/>
      <c r="T135" s="232"/>
      <c r="U135" s="232"/>
      <c r="V135" s="232"/>
      <c r="W135" s="232"/>
      <c r="X135" s="232"/>
      <c r="Y135" s="232"/>
      <c r="Z135" s="232"/>
      <c r="AA135" s="232"/>
      <c r="AB135" s="232"/>
      <c r="AC135" s="232"/>
      <c r="AD135" s="232"/>
      <c r="AE135" s="232"/>
      <c r="AF135" s="232"/>
      <c r="AG135" s="232"/>
      <c r="AH135" s="232"/>
      <c r="AI135" s="232"/>
      <c r="AJ135" s="232"/>
    </row>
    <row r="136" spans="2:36" s="1" customFormat="1" x14ac:dyDescent="0.2">
      <c r="B136" s="221" t="s">
        <v>260</v>
      </c>
      <c r="C136" s="221"/>
      <c r="D136" s="221"/>
      <c r="E136" s="230"/>
      <c r="F136" s="264"/>
      <c r="G136" s="237">
        <f>IF(AND(Inputs!$G$73="Yes",G$2&lt;=Inputs!$G$15),SUM('Cash Flow'!G116:G124)+G131+G134,0)</f>
        <v>3054297.5946585461</v>
      </c>
      <c r="H136" s="237">
        <f>IF(AND(Inputs!$G$73="Yes",H$2&lt;=Inputs!$G$15),SUM('Cash Flow'!H116:H124)+H131+H134,0)</f>
        <v>607660.86247063137</v>
      </c>
      <c r="I136" s="237">
        <f>IF(AND(Inputs!$G$73="Yes",I$2&lt;=Inputs!$G$15),SUM('Cash Flow'!I116:I124)+I131+I134,0)</f>
        <v>386919.89469019172</v>
      </c>
      <c r="J136" s="237">
        <f>IF(AND(Inputs!$G$73="Yes",J$2&lt;=Inputs!$G$15),SUM('Cash Flow'!J116:J124)+J131+J134,0)</f>
        <v>253781.8436749769</v>
      </c>
      <c r="K136" s="237">
        <f>IF(AND(Inputs!$G$73="Yes",K$2&lt;=Inputs!$G$15),SUM('Cash Flow'!K116:K124)+K131+K134,0)</f>
        <v>251874.80022086174</v>
      </c>
      <c r="L136" s="237">
        <f>IF(AND(Inputs!$G$73="Yes",L$2&lt;=Inputs!$G$15),SUM('Cash Flow'!L116:L124)+L131+L134,0)</f>
        <v>151866.46947129193</v>
      </c>
      <c r="M136" s="237">
        <f>IF(AND(Inputs!$G$73="Yes",M$2&lt;=Inputs!$G$15),SUM('Cash Flow'!M116:M124)+M131+M134,0)</f>
        <v>52774.510251621607</v>
      </c>
      <c r="N136" s="237">
        <f>IF(AND(Inputs!$G$73="Yes",N$2&lt;=Inputs!$G$15),SUM('Cash Flow'!N116:N124)+N131+N134,0)</f>
        <v>52774.510251621607</v>
      </c>
      <c r="O136" s="237">
        <f>IF(AND(Inputs!$G$73="Yes",O$2&lt;=Inputs!$G$15),SUM('Cash Flow'!O116:O124)+O131+O134,0)</f>
        <v>52799.277049726996</v>
      </c>
      <c r="P136" s="237">
        <f>IF(AND(Inputs!$G$73="Yes",P$2&lt;=Inputs!$G$15),SUM('Cash Flow'!P116:P124)+P131+P134,0)</f>
        <v>156174.5102516216</v>
      </c>
      <c r="Q136" s="237">
        <f>IF(AND(Inputs!$G$73="Yes",Q$2&lt;=Inputs!$G$15),SUM('Cash Flow'!Q116:Q124)+Q131+Q134,0)</f>
        <v>218239.27704972698</v>
      </c>
      <c r="R136" s="237">
        <f>IF(AND(Inputs!$G$73="Yes",R$2&lt;=Inputs!$G$15),SUM('Cash Flow'!R116:R124)+R131+R134,0)</f>
        <v>151990.3525886389</v>
      </c>
      <c r="S136" s="237">
        <f>IF(AND(Inputs!$G$73="Yes",S$2&lt;=Inputs!$G$15),SUM('Cash Flow'!S116:S124)+S131+S134,0)</f>
        <v>112309.5193867443</v>
      </c>
      <c r="T136" s="237">
        <f>IF(AND(Inputs!$G$73="Yes",T$2&lt;=Inputs!$G$15),SUM('Cash Flow'!T116:T124)+T131+T134,0)</f>
        <v>112284.75258863892</v>
      </c>
      <c r="U136" s="237">
        <f>IF(AND(Inputs!$G$73="Yes",U$2&lt;=Inputs!$G$15),SUM('Cash Flow'!U116:U124)+U131+U134,0)</f>
        <v>82530.319386744304</v>
      </c>
      <c r="V136" s="237">
        <f>IF(AND(Inputs!$G$73="Yes",V$2&lt;=Inputs!$G$15),SUM('Cash Flow'!V116:V124)+V131+V134,0)</f>
        <v>29383.645374307671</v>
      </c>
      <c r="W136" s="237">
        <f>IF(AND(Inputs!$G$73="Yes",W$2&lt;=Inputs!$G$15),SUM('Cash Flow'!W116:W124)+W131+W134,0)</f>
        <v>6040.9381599764311</v>
      </c>
      <c r="X136" s="237">
        <f>IF(AND(Inputs!$G$73="Yes",X$2&lt;=Inputs!$G$15),SUM('Cash Flow'!X116:X124)+X131+X134,0)</f>
        <v>6040.9381599764311</v>
      </c>
      <c r="Y136" s="237">
        <f>IF(AND(Inputs!$G$73="Yes",Y$2&lt;=Inputs!$G$15),SUM('Cash Flow'!Y116:Y124)+Y131+Y134,0)</f>
        <v>6040.9381599764311</v>
      </c>
      <c r="Z136" s="237">
        <f>IF(AND(Inputs!$G$73="Yes",Z$2&lt;=Inputs!$G$15),SUM('Cash Flow'!Z116:Z124)+Z131+Z134,0)</f>
        <v>113840.93815997643</v>
      </c>
      <c r="AA136" s="237">
        <f>IF(AND(Inputs!$G$73="Yes",AA$2&lt;=Inputs!$G$15),SUM('Cash Flow'!AA116:AA124)+AA131+AA134,0)</f>
        <v>175500.46907998822</v>
      </c>
      <c r="AB136" s="237">
        <f>IF(AND(Inputs!$G$73="Yes",AB$2&lt;=Inputs!$G$15),SUM('Cash Flow'!AB116:AB124)+AB131+AB134,0)</f>
        <v>103488</v>
      </c>
      <c r="AC136" s="237">
        <f>IF(AND(Inputs!$G$73="Yes",AC$2&lt;=Inputs!$G$15),SUM('Cash Flow'!AC116:AC124)+AC131+AC134,0)</f>
        <v>62092.799999999996</v>
      </c>
      <c r="AD136" s="237">
        <f>IF(AND(Inputs!$G$73="Yes",AD$2&lt;=Inputs!$G$15),SUM('Cash Flow'!AD116:AD124)+AD131+AD134,0)</f>
        <v>62092.799999999996</v>
      </c>
      <c r="AE136" s="237">
        <f>IF(AND(Inputs!$G$73="Yes",AE$2&lt;=Inputs!$G$15),SUM('Cash Flow'!AE116:AE124)+AE131+AE134,0)</f>
        <v>31046.399999999998</v>
      </c>
      <c r="AF136" s="237">
        <f>IF(AND(Inputs!$G$73="Yes",AF$2&lt;=Inputs!$G$15),SUM('Cash Flow'!AF116:AF124)+AF131+AF134,0)</f>
        <v>0</v>
      </c>
      <c r="AG136" s="237">
        <f>IF(AND(Inputs!$G$73="Yes",AG$2&lt;=Inputs!$G$15),SUM('Cash Flow'!AG116:AG124)+AG131+AG134,0)</f>
        <v>0</v>
      </c>
      <c r="AH136" s="237">
        <f>IF(AND(Inputs!$G$73="Yes",AH$2&lt;=Inputs!$G$15),SUM('Cash Flow'!AH116:AH124)+AH131+AH134,0)</f>
        <v>0</v>
      </c>
      <c r="AI136" s="237">
        <f>IF(AND(Inputs!$G$73="Yes",AI$2&lt;=Inputs!$G$15),SUM('Cash Flow'!AI116:AI124)+AI131+AI134,0)</f>
        <v>0</v>
      </c>
      <c r="AJ136" s="237">
        <f>IF(AND(Inputs!$G$73="Yes",AJ$2&lt;=Inputs!$G$15),SUM('Cash Flow'!AJ116:AJ124)+AJ131+AJ134,0)</f>
        <v>0</v>
      </c>
    </row>
    <row r="137" spans="2:36" s="1" customFormat="1" x14ac:dyDescent="0.2">
      <c r="B137" s="221"/>
      <c r="C137" s="221"/>
      <c r="D137" s="221"/>
      <c r="E137" s="230"/>
      <c r="F137" s="264"/>
      <c r="G137" s="237"/>
      <c r="H137" s="237"/>
      <c r="I137" s="237"/>
      <c r="J137" s="237"/>
      <c r="K137" s="237"/>
      <c r="L137" s="237"/>
      <c r="M137" s="237"/>
      <c r="N137" s="237"/>
      <c r="O137" s="237"/>
      <c r="P137" s="237"/>
      <c r="Q137" s="237"/>
      <c r="R137" s="237"/>
      <c r="S137" s="237"/>
      <c r="T137" s="237"/>
      <c r="U137" s="237"/>
      <c r="V137" s="237"/>
      <c r="W137" s="237"/>
      <c r="X137" s="237"/>
      <c r="Y137" s="237"/>
      <c r="Z137" s="237"/>
      <c r="AA137" s="237"/>
      <c r="AB137" s="237"/>
      <c r="AC137" s="237"/>
      <c r="AD137" s="237"/>
      <c r="AE137" s="237"/>
      <c r="AF137" s="237"/>
      <c r="AG137" s="237"/>
      <c r="AH137" s="237"/>
      <c r="AI137" s="237"/>
      <c r="AJ137" s="237"/>
    </row>
    <row r="138" spans="2:36" s="1" customFormat="1" x14ac:dyDescent="0.2">
      <c r="B138" s="221" t="s">
        <v>213</v>
      </c>
      <c r="C138" s="221"/>
      <c r="D138" s="221"/>
      <c r="E138" s="230"/>
      <c r="F138" s="264"/>
      <c r="G138" s="239">
        <f>G136*Inputs!$G$78</f>
        <v>1237754.1002353758</v>
      </c>
      <c r="H138" s="239">
        <f>H136*Inputs!$G$78</f>
        <v>246254.56451622336</v>
      </c>
      <c r="I138" s="239">
        <f>I136*Inputs!$G$78</f>
        <v>156799.2873232002</v>
      </c>
      <c r="J138" s="239">
        <f>J136*Inputs!$G$78</f>
        <v>102845.09214928439</v>
      </c>
      <c r="K138" s="239">
        <f>K136*Inputs!$G$78</f>
        <v>102072.26278950422</v>
      </c>
      <c r="L138" s="239">
        <f>L136*Inputs!$G$78</f>
        <v>61543.886753241051</v>
      </c>
      <c r="M138" s="239">
        <f>M136*Inputs!$G$78</f>
        <v>21386.870279469655</v>
      </c>
      <c r="N138" s="239">
        <f>N136*Inputs!$G$78</f>
        <v>21386.870279469655</v>
      </c>
      <c r="O138" s="239">
        <f>O136*Inputs!$G$78</f>
        <v>21396.907024401866</v>
      </c>
      <c r="P138" s="239">
        <f>P136*Inputs!$G$78</f>
        <v>63289.72027946965</v>
      </c>
      <c r="Q138" s="239">
        <f>Q136*Inputs!$G$78</f>
        <v>88441.467024401863</v>
      </c>
      <c r="R138" s="239">
        <f>R136*Inputs!$G$78</f>
        <v>61594.090386545911</v>
      </c>
      <c r="S138" s="239">
        <f>S136*Inputs!$G$78</f>
        <v>45513.432731478126</v>
      </c>
      <c r="T138" s="239">
        <f>T136*Inputs!$G$78</f>
        <v>45503.395986545926</v>
      </c>
      <c r="U138" s="239">
        <f>U136*Inputs!$G$78</f>
        <v>33445.411931478127</v>
      </c>
      <c r="V138" s="239">
        <f>V136*Inputs!$G$78</f>
        <v>11907.722287938184</v>
      </c>
      <c r="W138" s="239">
        <f>W136*Inputs!$G$78</f>
        <v>2448.0901893304485</v>
      </c>
      <c r="X138" s="239">
        <f>X136*Inputs!$G$78</f>
        <v>2448.0901893304485</v>
      </c>
      <c r="Y138" s="239">
        <f>Y136*Inputs!$G$78</f>
        <v>2448.0901893304485</v>
      </c>
      <c r="Z138" s="239">
        <f>Z136*Inputs!$G$78</f>
        <v>46134.040189330452</v>
      </c>
      <c r="AA138" s="239">
        <f>AA136*Inputs!$G$78</f>
        <v>71121.565094665231</v>
      </c>
      <c r="AB138" s="239">
        <f>AB136*Inputs!$G$78</f>
        <v>41938.512000000002</v>
      </c>
      <c r="AC138" s="239">
        <f>AC136*Inputs!$G$78</f>
        <v>25163.107199999999</v>
      </c>
      <c r="AD138" s="239">
        <f>AD136*Inputs!$G$78</f>
        <v>25163.107199999999</v>
      </c>
      <c r="AE138" s="239">
        <f>AE136*Inputs!$G$78</f>
        <v>12581.553599999999</v>
      </c>
      <c r="AF138" s="239">
        <f>AF136*Inputs!$G$78</f>
        <v>0</v>
      </c>
      <c r="AG138" s="239">
        <f>AG136*Inputs!$G$78</f>
        <v>0</v>
      </c>
      <c r="AH138" s="239">
        <f>AH136*Inputs!$G$78</f>
        <v>0</v>
      </c>
      <c r="AI138" s="239">
        <f>AI136*Inputs!$G$78</f>
        <v>0</v>
      </c>
      <c r="AJ138" s="239">
        <f>AJ136*Inputs!$G$78</f>
        <v>0</v>
      </c>
    </row>
    <row r="139" spans="2:36" s="1" customFormat="1" ht="16.5" thickBot="1" x14ac:dyDescent="0.3">
      <c r="B139" s="240"/>
      <c r="C139" s="240"/>
      <c r="D139" s="240"/>
      <c r="E139" s="241"/>
      <c r="F139" s="241"/>
      <c r="G139" s="242"/>
      <c r="H139" s="243"/>
      <c r="I139" s="241"/>
      <c r="J139" s="241"/>
      <c r="K139" s="241"/>
      <c r="L139" s="241"/>
      <c r="M139" s="241"/>
      <c r="N139" s="241"/>
      <c r="O139" s="241"/>
      <c r="P139" s="241"/>
      <c r="Q139" s="241"/>
      <c r="R139" s="241"/>
      <c r="S139" s="241"/>
      <c r="T139" s="241"/>
      <c r="U139" s="241"/>
      <c r="V139" s="241"/>
      <c r="W139" s="241"/>
      <c r="X139" s="241"/>
      <c r="Y139" s="241"/>
      <c r="Z139" s="241"/>
      <c r="AA139" s="241"/>
      <c r="AB139" s="241"/>
      <c r="AC139" s="241"/>
      <c r="AD139" s="241"/>
      <c r="AE139" s="241"/>
      <c r="AF139" s="241"/>
      <c r="AG139" s="241"/>
      <c r="AH139" s="241"/>
      <c r="AI139" s="241"/>
      <c r="AJ139" s="241"/>
    </row>
    <row r="140" spans="2:36" x14ac:dyDescent="0.25">
      <c r="B140" s="260"/>
      <c r="C140" s="260"/>
      <c r="D140" s="260"/>
      <c r="E140" s="260"/>
      <c r="F140" s="260"/>
      <c r="G140" s="260"/>
      <c r="H140" s="260"/>
      <c r="I140" s="260"/>
      <c r="J140" s="260"/>
      <c r="K140" s="260"/>
      <c r="L140" s="260"/>
      <c r="M140" s="260"/>
      <c r="N140" s="260"/>
      <c r="O140" s="260"/>
      <c r="P140" s="260"/>
      <c r="Q140" s="260"/>
      <c r="R140" s="260"/>
      <c r="S140" s="260"/>
      <c r="T140" s="260"/>
      <c r="U140" s="260"/>
      <c r="V140" s="260"/>
      <c r="W140" s="260"/>
      <c r="X140" s="260"/>
      <c r="Y140" s="260"/>
      <c r="Z140" s="260"/>
      <c r="AA140" s="260"/>
      <c r="AB140" s="260"/>
      <c r="AC140" s="260"/>
      <c r="AD140" s="260"/>
      <c r="AE140" s="260"/>
      <c r="AF140" s="260"/>
      <c r="AG140" s="260"/>
      <c r="AH140" s="260"/>
      <c r="AI140" s="260"/>
      <c r="AJ140" s="260"/>
    </row>
    <row r="141" spans="2:36" ht="15.75" x14ac:dyDescent="0.25">
      <c r="B141" s="220" t="s">
        <v>254</v>
      </c>
      <c r="C141" s="220"/>
      <c r="D141" s="220"/>
      <c r="E141" s="260"/>
      <c r="F141" s="260"/>
      <c r="G141" s="260"/>
      <c r="H141" s="260"/>
      <c r="I141" s="260"/>
      <c r="J141" s="260"/>
      <c r="K141" s="260"/>
      <c r="L141" s="260"/>
      <c r="M141" s="260"/>
      <c r="N141" s="260"/>
      <c r="O141" s="260"/>
      <c r="P141" s="260"/>
      <c r="Q141" s="260"/>
      <c r="R141" s="260"/>
      <c r="S141" s="260"/>
      <c r="T141" s="260"/>
      <c r="U141" s="260"/>
      <c r="V141" s="260"/>
      <c r="W141" s="260"/>
      <c r="X141" s="260"/>
      <c r="Y141" s="260"/>
      <c r="Z141" s="260"/>
      <c r="AA141" s="260"/>
      <c r="AB141" s="260"/>
      <c r="AC141" s="260"/>
      <c r="AD141" s="260"/>
      <c r="AE141" s="260"/>
      <c r="AF141" s="260"/>
      <c r="AG141" s="260"/>
      <c r="AH141" s="260"/>
      <c r="AI141" s="260"/>
      <c r="AJ141" s="260"/>
    </row>
    <row r="142" spans="2:36" ht="15.75" x14ac:dyDescent="0.25">
      <c r="B142" s="221"/>
      <c r="C142" s="221"/>
      <c r="D142" s="221"/>
      <c r="E142" s="260"/>
      <c r="F142" s="260"/>
      <c r="G142" s="260"/>
      <c r="H142" s="260"/>
      <c r="I142" s="260"/>
      <c r="J142" s="260"/>
      <c r="K142" s="260"/>
      <c r="L142" s="260"/>
      <c r="M142" s="260"/>
      <c r="N142" s="260"/>
      <c r="O142" s="260"/>
      <c r="P142" s="260"/>
      <c r="Q142" s="260"/>
      <c r="R142" s="260"/>
      <c r="S142" s="260"/>
      <c r="T142" s="260"/>
      <c r="U142" s="260"/>
      <c r="V142" s="260"/>
      <c r="W142" s="260"/>
      <c r="X142" s="260"/>
      <c r="Y142" s="260"/>
      <c r="Z142" s="260"/>
      <c r="AA142" s="260"/>
      <c r="AB142" s="260"/>
      <c r="AC142" s="260"/>
      <c r="AD142" s="260"/>
      <c r="AE142" s="260"/>
      <c r="AF142" s="260"/>
      <c r="AG142" s="260"/>
      <c r="AH142" s="260"/>
      <c r="AI142" s="260"/>
      <c r="AJ142" s="260"/>
    </row>
    <row r="143" spans="2:36" ht="15.75" x14ac:dyDescent="0.25">
      <c r="B143" s="221" t="s">
        <v>253</v>
      </c>
      <c r="C143" s="221"/>
      <c r="D143" s="221"/>
      <c r="E143" s="260"/>
      <c r="F143" s="260"/>
      <c r="G143" s="239">
        <f>G58</f>
        <v>-2420498.4179194984</v>
      </c>
      <c r="H143" s="239">
        <f t="shared" ref="H143:AJ143" si="42">H58</f>
        <v>49982.196285661426</v>
      </c>
      <c r="I143" s="239">
        <f t="shared" si="42"/>
        <v>294609.84589722229</v>
      </c>
      <c r="J143" s="239">
        <f t="shared" si="42"/>
        <v>451755.09435321199</v>
      </c>
      <c r="K143" s="239">
        <f t="shared" si="42"/>
        <v>477864.3549964361</v>
      </c>
      <c r="L143" s="239">
        <f t="shared" si="42"/>
        <v>602341.83811041177</v>
      </c>
      <c r="M143" s="239">
        <f t="shared" si="42"/>
        <v>726239.79310359294</v>
      </c>
      <c r="N143" s="239">
        <f t="shared" si="42"/>
        <v>751451.07901824825</v>
      </c>
      <c r="O143" s="239">
        <f t="shared" si="42"/>
        <v>777110.38851202256</v>
      </c>
      <c r="P143" s="239">
        <f t="shared" si="42"/>
        <v>694214.62033165398</v>
      </c>
      <c r="Q143" s="239">
        <f t="shared" si="42"/>
        <v>653260.6490185007</v>
      </c>
      <c r="R143" s="239">
        <f t="shared" si="42"/>
        <v>747063.65674952755</v>
      </c>
      <c r="S143" s="239">
        <f t="shared" si="42"/>
        <v>815041.3813013942</v>
      </c>
      <c r="T143" s="239">
        <f t="shared" si="42"/>
        <v>844175.5791422911</v>
      </c>
      <c r="U143" s="239">
        <f t="shared" si="42"/>
        <v>903923.45644521003</v>
      </c>
      <c r="V143" s="239">
        <f t="shared" si="42"/>
        <v>988021.2184430107</v>
      </c>
      <c r="W143" s="239">
        <f t="shared" si="42"/>
        <v>1043348.8609456287</v>
      </c>
      <c r="X143" s="239">
        <f t="shared" si="42"/>
        <v>1076446.8370262522</v>
      </c>
      <c r="Y143" s="239">
        <f t="shared" si="42"/>
        <v>1109510.2291699508</v>
      </c>
      <c r="Z143" s="239">
        <f t="shared" si="42"/>
        <v>1012843.595735332</v>
      </c>
      <c r="AA143" s="239">
        <f t="shared" si="42"/>
        <v>-33250.987366963906</v>
      </c>
      <c r="AB143" s="239">
        <f t="shared" si="42"/>
        <v>44157.827682888659</v>
      </c>
      <c r="AC143" s="239">
        <f t="shared" si="42"/>
        <v>91025.830855959153</v>
      </c>
      <c r="AD143" s="239">
        <f t="shared" si="42"/>
        <v>96584.872318175127</v>
      </c>
      <c r="AE143" s="239">
        <f t="shared" si="42"/>
        <v>132477.53719850993</v>
      </c>
      <c r="AF143" s="239">
        <f t="shared" si="42"/>
        <v>8.7311491370201108E-13</v>
      </c>
      <c r="AG143" s="239">
        <f t="shared" si="42"/>
        <v>0</v>
      </c>
      <c r="AH143" s="239">
        <f t="shared" si="42"/>
        <v>0</v>
      </c>
      <c r="AI143" s="239">
        <f t="shared" si="42"/>
        <v>0</v>
      </c>
      <c r="AJ143" s="239">
        <f t="shared" si="42"/>
        <v>0</v>
      </c>
    </row>
    <row r="144" spans="2:36" ht="15.75" x14ac:dyDescent="0.25">
      <c r="B144" s="221"/>
      <c r="C144" s="221"/>
      <c r="D144" s="221"/>
      <c r="E144" s="260"/>
      <c r="F144" s="260"/>
      <c r="G144" s="239"/>
      <c r="H144" s="239"/>
      <c r="I144" s="239"/>
      <c r="J144" s="239"/>
      <c r="K144" s="239"/>
      <c r="L144" s="239"/>
      <c r="M144" s="239"/>
      <c r="N144" s="239"/>
      <c r="O144" s="239"/>
      <c r="P144" s="239"/>
      <c r="Q144" s="239"/>
      <c r="R144" s="239"/>
      <c r="S144" s="239"/>
      <c r="T144" s="239"/>
      <c r="U144" s="239"/>
      <c r="V144" s="239"/>
      <c r="W144" s="239"/>
      <c r="X144" s="239"/>
      <c r="Y144" s="239"/>
      <c r="Z144" s="239"/>
      <c r="AA144" s="239"/>
      <c r="AB144" s="239"/>
      <c r="AC144" s="239"/>
      <c r="AD144" s="239"/>
      <c r="AE144" s="239"/>
      <c r="AF144" s="239"/>
      <c r="AG144" s="239"/>
      <c r="AH144" s="239"/>
      <c r="AI144" s="239"/>
      <c r="AJ144" s="239"/>
    </row>
    <row r="145" spans="2:36" ht="15.75" x14ac:dyDescent="0.25">
      <c r="B145" s="299" t="s">
        <v>310</v>
      </c>
      <c r="C145" s="299"/>
      <c r="D145" s="299"/>
      <c r="E145" s="260"/>
      <c r="F145" s="260"/>
      <c r="G145" s="239"/>
      <c r="H145" s="239"/>
      <c r="I145" s="239"/>
      <c r="J145" s="239"/>
      <c r="K145" s="239"/>
      <c r="L145" s="239"/>
      <c r="M145" s="239"/>
      <c r="N145" s="239"/>
      <c r="O145" s="239"/>
      <c r="P145" s="239"/>
      <c r="Q145" s="239"/>
      <c r="R145" s="239"/>
      <c r="S145" s="239"/>
      <c r="T145" s="239"/>
      <c r="U145" s="239"/>
      <c r="V145" s="239"/>
      <c r="W145" s="239"/>
      <c r="X145" s="239"/>
      <c r="Y145" s="239"/>
      <c r="Z145" s="239"/>
      <c r="AA145" s="239"/>
      <c r="AB145" s="239"/>
      <c r="AC145" s="239"/>
      <c r="AD145" s="239"/>
      <c r="AE145" s="239"/>
      <c r="AF145" s="239"/>
      <c r="AG145" s="239"/>
      <c r="AH145" s="239"/>
      <c r="AI145" s="239"/>
      <c r="AJ145" s="239"/>
    </row>
    <row r="146" spans="2:36" ht="15.75" x14ac:dyDescent="0.25">
      <c r="B146" s="221" t="s">
        <v>256</v>
      </c>
      <c r="C146" s="221"/>
      <c r="D146" s="221"/>
      <c r="E146" s="260"/>
      <c r="F146" s="260"/>
      <c r="G146" s="239">
        <v>0</v>
      </c>
      <c r="H146" s="239">
        <f>G149</f>
        <v>2420498.4179194984</v>
      </c>
      <c r="I146" s="239">
        <f t="shared" ref="I146:AJ146" si="43">H149</f>
        <v>2370516.2216338371</v>
      </c>
      <c r="J146" s="239">
        <f t="shared" si="43"/>
        <v>2075906.3757366147</v>
      </c>
      <c r="K146" s="239">
        <f t="shared" si="43"/>
        <v>1624151.2813834026</v>
      </c>
      <c r="L146" s="239">
        <f t="shared" si="43"/>
        <v>1146286.9263869666</v>
      </c>
      <c r="M146" s="239">
        <f t="shared" si="43"/>
        <v>543945.08827655483</v>
      </c>
      <c r="N146" s="239">
        <f t="shared" si="43"/>
        <v>0</v>
      </c>
      <c r="O146" s="239">
        <f t="shared" si="43"/>
        <v>0</v>
      </c>
      <c r="P146" s="239">
        <f t="shared" si="43"/>
        <v>0</v>
      </c>
      <c r="Q146" s="239">
        <f t="shared" si="43"/>
        <v>0</v>
      </c>
      <c r="R146" s="239">
        <f t="shared" si="43"/>
        <v>0</v>
      </c>
      <c r="S146" s="239">
        <f t="shared" si="43"/>
        <v>0</v>
      </c>
      <c r="T146" s="239">
        <f t="shared" si="43"/>
        <v>0</v>
      </c>
      <c r="U146" s="239">
        <f t="shared" si="43"/>
        <v>0</v>
      </c>
      <c r="V146" s="239">
        <f t="shared" si="43"/>
        <v>0</v>
      </c>
      <c r="W146" s="239">
        <f t="shared" si="43"/>
        <v>0</v>
      </c>
      <c r="X146" s="239">
        <f t="shared" si="43"/>
        <v>0</v>
      </c>
      <c r="Y146" s="239">
        <f t="shared" si="43"/>
        <v>0</v>
      </c>
      <c r="Z146" s="239">
        <f t="shared" si="43"/>
        <v>0</v>
      </c>
      <c r="AA146" s="239">
        <f t="shared" si="43"/>
        <v>0</v>
      </c>
      <c r="AB146" s="239">
        <f t="shared" si="43"/>
        <v>33250.987366963906</v>
      </c>
      <c r="AC146" s="239">
        <f t="shared" si="43"/>
        <v>0</v>
      </c>
      <c r="AD146" s="239">
        <f t="shared" si="43"/>
        <v>0</v>
      </c>
      <c r="AE146" s="239">
        <f t="shared" si="43"/>
        <v>0</v>
      </c>
      <c r="AF146" s="239">
        <f t="shared" si="43"/>
        <v>0</v>
      </c>
      <c r="AG146" s="239">
        <f t="shared" si="43"/>
        <v>0</v>
      </c>
      <c r="AH146" s="239">
        <f t="shared" si="43"/>
        <v>0</v>
      </c>
      <c r="AI146" s="239">
        <f t="shared" si="43"/>
        <v>0</v>
      </c>
      <c r="AJ146" s="239">
        <f t="shared" si="43"/>
        <v>0</v>
      </c>
    </row>
    <row r="147" spans="2:36" ht="15.75" x14ac:dyDescent="0.25">
      <c r="B147" s="221" t="s">
        <v>257</v>
      </c>
      <c r="C147" s="221"/>
      <c r="D147" s="221"/>
      <c r="E147" s="260"/>
      <c r="F147" s="260"/>
      <c r="G147" s="239">
        <f>IF(G$143&gt;0,0,-G$143)</f>
        <v>2420498.4179194984</v>
      </c>
      <c r="H147" s="239">
        <f t="shared" ref="H147:AJ147" si="44">IF(H$143&gt;0,0,-H$143)</f>
        <v>0</v>
      </c>
      <c r="I147" s="239">
        <f t="shared" si="44"/>
        <v>0</v>
      </c>
      <c r="J147" s="239">
        <f t="shared" si="44"/>
        <v>0</v>
      </c>
      <c r="K147" s="239">
        <f t="shared" si="44"/>
        <v>0</v>
      </c>
      <c r="L147" s="239">
        <f t="shared" si="44"/>
        <v>0</v>
      </c>
      <c r="M147" s="239">
        <f t="shared" si="44"/>
        <v>0</v>
      </c>
      <c r="N147" s="239">
        <f t="shared" si="44"/>
        <v>0</v>
      </c>
      <c r="O147" s="239">
        <f t="shared" si="44"/>
        <v>0</v>
      </c>
      <c r="P147" s="239">
        <f t="shared" si="44"/>
        <v>0</v>
      </c>
      <c r="Q147" s="239">
        <f t="shared" si="44"/>
        <v>0</v>
      </c>
      <c r="R147" s="239">
        <f t="shared" si="44"/>
        <v>0</v>
      </c>
      <c r="S147" s="239">
        <f t="shared" si="44"/>
        <v>0</v>
      </c>
      <c r="T147" s="239">
        <f t="shared" si="44"/>
        <v>0</v>
      </c>
      <c r="U147" s="239">
        <f t="shared" si="44"/>
        <v>0</v>
      </c>
      <c r="V147" s="239">
        <f t="shared" si="44"/>
        <v>0</v>
      </c>
      <c r="W147" s="239">
        <f t="shared" si="44"/>
        <v>0</v>
      </c>
      <c r="X147" s="239">
        <f t="shared" si="44"/>
        <v>0</v>
      </c>
      <c r="Y147" s="239">
        <f t="shared" si="44"/>
        <v>0</v>
      </c>
      <c r="Z147" s="239">
        <f t="shared" si="44"/>
        <v>0</v>
      </c>
      <c r="AA147" s="239">
        <f t="shared" si="44"/>
        <v>33250.987366963906</v>
      </c>
      <c r="AB147" s="239">
        <f t="shared" si="44"/>
        <v>0</v>
      </c>
      <c r="AC147" s="239">
        <f t="shared" si="44"/>
        <v>0</v>
      </c>
      <c r="AD147" s="239">
        <f t="shared" si="44"/>
        <v>0</v>
      </c>
      <c r="AE147" s="239">
        <f t="shared" si="44"/>
        <v>0</v>
      </c>
      <c r="AF147" s="239">
        <f t="shared" si="44"/>
        <v>0</v>
      </c>
      <c r="AG147" s="239">
        <f t="shared" si="44"/>
        <v>0</v>
      </c>
      <c r="AH147" s="239">
        <f t="shared" si="44"/>
        <v>0</v>
      </c>
      <c r="AI147" s="239">
        <f t="shared" si="44"/>
        <v>0</v>
      </c>
      <c r="AJ147" s="239">
        <f t="shared" si="44"/>
        <v>0</v>
      </c>
    </row>
    <row r="148" spans="2:36" ht="15.75" x14ac:dyDescent="0.25">
      <c r="B148" s="221" t="s">
        <v>255</v>
      </c>
      <c r="C148" s="221"/>
      <c r="D148" s="221"/>
      <c r="E148" s="260"/>
      <c r="F148" s="260"/>
      <c r="G148" s="239">
        <f t="shared" ref="G148:L148" si="45">IF(G$143&lt;=0,0,-MIN(G$143,F$149))</f>
        <v>0</v>
      </c>
      <c r="H148" s="239">
        <f t="shared" si="45"/>
        <v>-49982.196285661426</v>
      </c>
      <c r="I148" s="239">
        <f t="shared" si="45"/>
        <v>-294609.84589722229</v>
      </c>
      <c r="J148" s="239">
        <f t="shared" si="45"/>
        <v>-451755.09435321199</v>
      </c>
      <c r="K148" s="239">
        <f t="shared" si="45"/>
        <v>-477864.3549964361</v>
      </c>
      <c r="L148" s="239">
        <f t="shared" si="45"/>
        <v>-602341.83811041177</v>
      </c>
      <c r="M148" s="239">
        <f>IF(M$143&lt;=0,0,-MIN(M$143,L$149))</f>
        <v>-543945.08827655483</v>
      </c>
      <c r="N148" s="239">
        <f t="shared" ref="N148:AJ148" si="46">IF(N$143&lt;=0,0,-MIN(N$143,M$149))</f>
        <v>0</v>
      </c>
      <c r="O148" s="239">
        <f t="shared" si="46"/>
        <v>0</v>
      </c>
      <c r="P148" s="239">
        <f t="shared" si="46"/>
        <v>0</v>
      </c>
      <c r="Q148" s="239">
        <f t="shared" si="46"/>
        <v>0</v>
      </c>
      <c r="R148" s="239">
        <f t="shared" si="46"/>
        <v>0</v>
      </c>
      <c r="S148" s="239">
        <f t="shared" si="46"/>
        <v>0</v>
      </c>
      <c r="T148" s="239">
        <f t="shared" si="46"/>
        <v>0</v>
      </c>
      <c r="U148" s="239">
        <f t="shared" si="46"/>
        <v>0</v>
      </c>
      <c r="V148" s="239">
        <f t="shared" si="46"/>
        <v>0</v>
      </c>
      <c r="W148" s="239">
        <f t="shared" si="46"/>
        <v>0</v>
      </c>
      <c r="X148" s="239">
        <f t="shared" si="46"/>
        <v>0</v>
      </c>
      <c r="Y148" s="239">
        <f t="shared" si="46"/>
        <v>0</v>
      </c>
      <c r="Z148" s="239">
        <f t="shared" si="46"/>
        <v>0</v>
      </c>
      <c r="AA148" s="239">
        <f t="shared" si="46"/>
        <v>0</v>
      </c>
      <c r="AB148" s="239">
        <f t="shared" si="46"/>
        <v>-33250.987366963906</v>
      </c>
      <c r="AC148" s="239">
        <f t="shared" si="46"/>
        <v>0</v>
      </c>
      <c r="AD148" s="239">
        <f t="shared" si="46"/>
        <v>0</v>
      </c>
      <c r="AE148" s="239">
        <f t="shared" si="46"/>
        <v>0</v>
      </c>
      <c r="AF148" s="239">
        <f t="shared" si="46"/>
        <v>0</v>
      </c>
      <c r="AG148" s="239">
        <f t="shared" si="46"/>
        <v>0</v>
      </c>
      <c r="AH148" s="239">
        <f t="shared" si="46"/>
        <v>0</v>
      </c>
      <c r="AI148" s="239">
        <f t="shared" si="46"/>
        <v>0</v>
      </c>
      <c r="AJ148" s="239">
        <f t="shared" si="46"/>
        <v>0</v>
      </c>
    </row>
    <row r="149" spans="2:36" ht="15.75" x14ac:dyDescent="0.25">
      <c r="B149" s="221" t="s">
        <v>258</v>
      </c>
      <c r="C149" s="221"/>
      <c r="D149" s="221"/>
      <c r="E149" s="260"/>
      <c r="F149" s="260"/>
      <c r="G149" s="239">
        <f>SUM(G146:G148)</f>
        <v>2420498.4179194984</v>
      </c>
      <c r="H149" s="239">
        <f t="shared" ref="H149:AJ149" si="47">SUM(H146:H148)</f>
        <v>2370516.2216338371</v>
      </c>
      <c r="I149" s="239">
        <f t="shared" si="47"/>
        <v>2075906.3757366147</v>
      </c>
      <c r="J149" s="239">
        <f t="shared" si="47"/>
        <v>1624151.2813834026</v>
      </c>
      <c r="K149" s="239">
        <f t="shared" si="47"/>
        <v>1146286.9263869666</v>
      </c>
      <c r="L149" s="239">
        <f t="shared" si="47"/>
        <v>543945.08827655483</v>
      </c>
      <c r="M149" s="239">
        <f t="shared" si="47"/>
        <v>0</v>
      </c>
      <c r="N149" s="239">
        <f t="shared" si="47"/>
        <v>0</v>
      </c>
      <c r="O149" s="239">
        <f t="shared" si="47"/>
        <v>0</v>
      </c>
      <c r="P149" s="239">
        <f t="shared" si="47"/>
        <v>0</v>
      </c>
      <c r="Q149" s="239">
        <f t="shared" si="47"/>
        <v>0</v>
      </c>
      <c r="R149" s="239">
        <f t="shared" si="47"/>
        <v>0</v>
      </c>
      <c r="S149" s="239">
        <f t="shared" si="47"/>
        <v>0</v>
      </c>
      <c r="T149" s="239">
        <f t="shared" si="47"/>
        <v>0</v>
      </c>
      <c r="U149" s="239">
        <f t="shared" si="47"/>
        <v>0</v>
      </c>
      <c r="V149" s="239">
        <f t="shared" si="47"/>
        <v>0</v>
      </c>
      <c r="W149" s="239">
        <f t="shared" si="47"/>
        <v>0</v>
      </c>
      <c r="X149" s="239">
        <f t="shared" si="47"/>
        <v>0</v>
      </c>
      <c r="Y149" s="239">
        <f t="shared" si="47"/>
        <v>0</v>
      </c>
      <c r="Z149" s="239">
        <f t="shared" si="47"/>
        <v>0</v>
      </c>
      <c r="AA149" s="239">
        <f t="shared" si="47"/>
        <v>33250.987366963906</v>
      </c>
      <c r="AB149" s="239">
        <f t="shared" si="47"/>
        <v>0</v>
      </c>
      <c r="AC149" s="239">
        <f t="shared" si="47"/>
        <v>0</v>
      </c>
      <c r="AD149" s="239">
        <f t="shared" si="47"/>
        <v>0</v>
      </c>
      <c r="AE149" s="239">
        <f t="shared" si="47"/>
        <v>0</v>
      </c>
      <c r="AF149" s="239">
        <f t="shared" si="47"/>
        <v>0</v>
      </c>
      <c r="AG149" s="239">
        <f t="shared" si="47"/>
        <v>0</v>
      </c>
      <c r="AH149" s="239">
        <f t="shared" si="47"/>
        <v>0</v>
      </c>
      <c r="AI149" s="239">
        <f t="shared" si="47"/>
        <v>0</v>
      </c>
      <c r="AJ149" s="239">
        <f t="shared" si="47"/>
        <v>0</v>
      </c>
    </row>
    <row r="150" spans="2:36" ht="15.75" x14ac:dyDescent="0.25">
      <c r="B150" s="221"/>
      <c r="C150" s="221"/>
      <c r="D150" s="221"/>
      <c r="E150" s="260"/>
      <c r="F150" s="260"/>
      <c r="G150" s="260"/>
      <c r="H150" s="260"/>
      <c r="I150" s="260"/>
      <c r="J150" s="260"/>
      <c r="K150" s="260"/>
      <c r="L150" s="260"/>
      <c r="M150" s="260"/>
      <c r="N150" s="260"/>
      <c r="O150" s="260"/>
      <c r="P150" s="260"/>
      <c r="Q150" s="260"/>
      <c r="R150" s="260"/>
      <c r="S150" s="260"/>
      <c r="T150" s="260"/>
      <c r="U150" s="260"/>
      <c r="V150" s="260"/>
      <c r="W150" s="260"/>
      <c r="X150" s="260"/>
      <c r="Y150" s="260"/>
      <c r="Z150" s="260"/>
      <c r="AA150" s="260"/>
      <c r="AB150" s="260"/>
      <c r="AC150" s="260"/>
      <c r="AD150" s="260"/>
      <c r="AE150" s="260"/>
      <c r="AF150" s="260"/>
      <c r="AG150" s="260"/>
      <c r="AH150" s="260"/>
      <c r="AI150" s="260"/>
      <c r="AJ150" s="260"/>
    </row>
    <row r="151" spans="2:36" ht="15.75" x14ac:dyDescent="0.25">
      <c r="B151" s="221" t="s">
        <v>259</v>
      </c>
      <c r="C151" s="221"/>
      <c r="D151" s="221"/>
      <c r="E151" s="260"/>
      <c r="F151" s="260"/>
      <c r="G151" s="239">
        <f>G143+G147+G148</f>
        <v>0</v>
      </c>
      <c r="H151" s="239">
        <f t="shared" ref="H151:AJ151" si="48">H143+H147+H148</f>
        <v>0</v>
      </c>
      <c r="I151" s="239">
        <f t="shared" si="48"/>
        <v>0</v>
      </c>
      <c r="J151" s="239">
        <f t="shared" si="48"/>
        <v>0</v>
      </c>
      <c r="K151" s="239">
        <f t="shared" si="48"/>
        <v>0</v>
      </c>
      <c r="L151" s="239">
        <f t="shared" si="48"/>
        <v>0</v>
      </c>
      <c r="M151" s="239">
        <f t="shared" si="48"/>
        <v>182294.70482703811</v>
      </c>
      <c r="N151" s="239">
        <f t="shared" si="48"/>
        <v>751451.07901824825</v>
      </c>
      <c r="O151" s="239">
        <f t="shared" si="48"/>
        <v>777110.38851202256</v>
      </c>
      <c r="P151" s="239">
        <f t="shared" si="48"/>
        <v>694214.62033165398</v>
      </c>
      <c r="Q151" s="239">
        <f t="shared" si="48"/>
        <v>653260.6490185007</v>
      </c>
      <c r="R151" s="239">
        <f t="shared" si="48"/>
        <v>747063.65674952755</v>
      </c>
      <c r="S151" s="239">
        <f t="shared" si="48"/>
        <v>815041.3813013942</v>
      </c>
      <c r="T151" s="239">
        <f t="shared" si="48"/>
        <v>844175.5791422911</v>
      </c>
      <c r="U151" s="239">
        <f t="shared" si="48"/>
        <v>903923.45644521003</v>
      </c>
      <c r="V151" s="239">
        <f t="shared" si="48"/>
        <v>988021.2184430107</v>
      </c>
      <c r="W151" s="239">
        <f t="shared" si="48"/>
        <v>1043348.8609456287</v>
      </c>
      <c r="X151" s="239">
        <f t="shared" si="48"/>
        <v>1076446.8370262522</v>
      </c>
      <c r="Y151" s="239">
        <f t="shared" si="48"/>
        <v>1109510.2291699508</v>
      </c>
      <c r="Z151" s="239">
        <f t="shared" si="48"/>
        <v>1012843.595735332</v>
      </c>
      <c r="AA151" s="239">
        <f t="shared" si="48"/>
        <v>0</v>
      </c>
      <c r="AB151" s="239">
        <f t="shared" si="48"/>
        <v>10906.840315924754</v>
      </c>
      <c r="AC151" s="239">
        <f t="shared" si="48"/>
        <v>91025.830855959153</v>
      </c>
      <c r="AD151" s="239">
        <f t="shared" si="48"/>
        <v>96584.872318175127</v>
      </c>
      <c r="AE151" s="239">
        <f t="shared" si="48"/>
        <v>132477.53719850993</v>
      </c>
      <c r="AF151" s="239">
        <f t="shared" si="48"/>
        <v>8.7311491370201108E-13</v>
      </c>
      <c r="AG151" s="239">
        <f t="shared" si="48"/>
        <v>0</v>
      </c>
      <c r="AH151" s="239">
        <f t="shared" si="48"/>
        <v>0</v>
      </c>
      <c r="AI151" s="239">
        <f t="shared" si="48"/>
        <v>0</v>
      </c>
      <c r="AJ151" s="239">
        <f t="shared" si="48"/>
        <v>0</v>
      </c>
    </row>
    <row r="152" spans="2:36" ht="15.75" x14ac:dyDescent="0.25">
      <c r="B152" s="221"/>
      <c r="C152" s="221"/>
      <c r="D152" s="221"/>
      <c r="E152" s="260"/>
      <c r="F152" s="260"/>
      <c r="G152" s="239"/>
      <c r="H152" s="239"/>
      <c r="I152" s="239"/>
      <c r="J152" s="239"/>
      <c r="K152" s="239"/>
      <c r="L152" s="239"/>
      <c r="M152" s="239"/>
      <c r="N152" s="239"/>
      <c r="O152" s="239"/>
      <c r="P152" s="239"/>
      <c r="Q152" s="239"/>
      <c r="R152" s="239"/>
      <c r="S152" s="239"/>
      <c r="T152" s="239"/>
      <c r="U152" s="239"/>
      <c r="V152" s="239"/>
      <c r="W152" s="239"/>
      <c r="X152" s="239"/>
      <c r="Y152" s="239"/>
      <c r="Z152" s="239"/>
      <c r="AA152" s="239"/>
      <c r="AB152" s="239"/>
      <c r="AC152" s="239"/>
      <c r="AD152" s="239"/>
      <c r="AE152" s="239"/>
      <c r="AF152" s="239"/>
      <c r="AG152" s="239"/>
      <c r="AH152" s="239"/>
      <c r="AI152" s="239"/>
      <c r="AJ152" s="239"/>
    </row>
    <row r="153" spans="2:36" ht="15.75" x14ac:dyDescent="0.25">
      <c r="B153" s="299" t="s">
        <v>311</v>
      </c>
      <c r="C153" s="299"/>
      <c r="D153" s="299"/>
      <c r="E153" s="260"/>
      <c r="F153" s="260"/>
      <c r="G153" s="239"/>
      <c r="H153" s="239"/>
      <c r="I153" s="239"/>
      <c r="J153" s="239"/>
      <c r="K153" s="239"/>
      <c r="L153" s="239"/>
      <c r="M153" s="239"/>
      <c r="N153" s="239"/>
      <c r="O153" s="239"/>
      <c r="P153" s="239"/>
      <c r="Q153" s="239"/>
      <c r="R153" s="239"/>
      <c r="S153" s="239"/>
      <c r="T153" s="239"/>
      <c r="U153" s="239"/>
      <c r="V153" s="239"/>
      <c r="W153" s="239"/>
      <c r="X153" s="239"/>
      <c r="Y153" s="239"/>
      <c r="Z153" s="239"/>
      <c r="AA153" s="239"/>
      <c r="AB153" s="239"/>
      <c r="AC153" s="239"/>
      <c r="AD153" s="239"/>
      <c r="AE153" s="239"/>
      <c r="AF153" s="239"/>
      <c r="AG153" s="239"/>
      <c r="AH153" s="239"/>
      <c r="AI153" s="239"/>
      <c r="AJ153" s="239"/>
    </row>
    <row r="154" spans="2:36" ht="15.75" x14ac:dyDescent="0.25">
      <c r="B154" s="221" t="s">
        <v>256</v>
      </c>
      <c r="C154" s="221"/>
      <c r="D154" s="221"/>
      <c r="E154" s="260"/>
      <c r="F154" s="260"/>
      <c r="G154" s="239">
        <v>0</v>
      </c>
      <c r="H154" s="239">
        <f>G157</f>
        <v>2420498.4179194984</v>
      </c>
      <c r="I154" s="239">
        <f t="shared" ref="I154:AJ154" si="49">H157</f>
        <v>2370516.2216338371</v>
      </c>
      <c r="J154" s="239">
        <f t="shared" si="49"/>
        <v>2075906.3757366147</v>
      </c>
      <c r="K154" s="239">
        <f t="shared" si="49"/>
        <v>1624151.2813834026</v>
      </c>
      <c r="L154" s="239">
        <f t="shared" si="49"/>
        <v>1146286.9263869666</v>
      </c>
      <c r="M154" s="239">
        <f t="shared" si="49"/>
        <v>543945.08827655483</v>
      </c>
      <c r="N154" s="239">
        <f t="shared" si="49"/>
        <v>0</v>
      </c>
      <c r="O154" s="239">
        <f t="shared" si="49"/>
        <v>0</v>
      </c>
      <c r="P154" s="239">
        <f t="shared" si="49"/>
        <v>0</v>
      </c>
      <c r="Q154" s="239">
        <f t="shared" si="49"/>
        <v>0</v>
      </c>
      <c r="R154" s="239">
        <f t="shared" si="49"/>
        <v>0</v>
      </c>
      <c r="S154" s="239">
        <f t="shared" si="49"/>
        <v>0</v>
      </c>
      <c r="T154" s="239">
        <f t="shared" si="49"/>
        <v>0</v>
      </c>
      <c r="U154" s="239">
        <f t="shared" si="49"/>
        <v>0</v>
      </c>
      <c r="V154" s="239">
        <f t="shared" si="49"/>
        <v>0</v>
      </c>
      <c r="W154" s="239">
        <f t="shared" si="49"/>
        <v>0</v>
      </c>
      <c r="X154" s="239">
        <f t="shared" si="49"/>
        <v>0</v>
      </c>
      <c r="Y154" s="239">
        <f t="shared" si="49"/>
        <v>0</v>
      </c>
      <c r="Z154" s="239">
        <f t="shared" si="49"/>
        <v>0</v>
      </c>
      <c r="AA154" s="239">
        <f t="shared" si="49"/>
        <v>0</v>
      </c>
      <c r="AB154" s="239">
        <f t="shared" si="49"/>
        <v>33250.987366963906</v>
      </c>
      <c r="AC154" s="239">
        <f t="shared" si="49"/>
        <v>0</v>
      </c>
      <c r="AD154" s="239">
        <f t="shared" si="49"/>
        <v>0</v>
      </c>
      <c r="AE154" s="239">
        <f t="shared" si="49"/>
        <v>0</v>
      </c>
      <c r="AF154" s="239">
        <f t="shared" si="49"/>
        <v>0</v>
      </c>
      <c r="AG154" s="239">
        <f t="shared" si="49"/>
        <v>0</v>
      </c>
      <c r="AH154" s="239">
        <f t="shared" si="49"/>
        <v>0</v>
      </c>
      <c r="AI154" s="239">
        <f t="shared" si="49"/>
        <v>0</v>
      </c>
      <c r="AJ154" s="239">
        <f t="shared" si="49"/>
        <v>0</v>
      </c>
    </row>
    <row r="155" spans="2:36" ht="15.75" x14ac:dyDescent="0.25">
      <c r="B155" s="221" t="s">
        <v>257</v>
      </c>
      <c r="C155" s="221"/>
      <c r="D155" s="221"/>
      <c r="E155" s="260"/>
      <c r="F155" s="260"/>
      <c r="G155" s="239">
        <f>IF(G$143&gt;0,0,-G$143)</f>
        <v>2420498.4179194984</v>
      </c>
      <c r="H155" s="239">
        <f t="shared" ref="H155:AJ155" si="50">IF(H$143&gt;0,0,-H$143)</f>
        <v>0</v>
      </c>
      <c r="I155" s="239">
        <f t="shared" si="50"/>
        <v>0</v>
      </c>
      <c r="J155" s="239">
        <f t="shared" si="50"/>
        <v>0</v>
      </c>
      <c r="K155" s="239">
        <f t="shared" si="50"/>
        <v>0</v>
      </c>
      <c r="L155" s="239">
        <f t="shared" si="50"/>
        <v>0</v>
      </c>
      <c r="M155" s="239">
        <f t="shared" si="50"/>
        <v>0</v>
      </c>
      <c r="N155" s="239">
        <f t="shared" si="50"/>
        <v>0</v>
      </c>
      <c r="O155" s="239">
        <f t="shared" si="50"/>
        <v>0</v>
      </c>
      <c r="P155" s="239">
        <f t="shared" si="50"/>
        <v>0</v>
      </c>
      <c r="Q155" s="239">
        <f t="shared" si="50"/>
        <v>0</v>
      </c>
      <c r="R155" s="239">
        <f t="shared" si="50"/>
        <v>0</v>
      </c>
      <c r="S155" s="239">
        <f t="shared" si="50"/>
        <v>0</v>
      </c>
      <c r="T155" s="239">
        <f t="shared" si="50"/>
        <v>0</v>
      </c>
      <c r="U155" s="239">
        <f t="shared" si="50"/>
        <v>0</v>
      </c>
      <c r="V155" s="239">
        <f t="shared" si="50"/>
        <v>0</v>
      </c>
      <c r="W155" s="239">
        <f t="shared" si="50"/>
        <v>0</v>
      </c>
      <c r="X155" s="239">
        <f t="shared" si="50"/>
        <v>0</v>
      </c>
      <c r="Y155" s="239">
        <f t="shared" si="50"/>
        <v>0</v>
      </c>
      <c r="Z155" s="239">
        <f t="shared" si="50"/>
        <v>0</v>
      </c>
      <c r="AA155" s="239">
        <f t="shared" si="50"/>
        <v>33250.987366963906</v>
      </c>
      <c r="AB155" s="239">
        <f t="shared" si="50"/>
        <v>0</v>
      </c>
      <c r="AC155" s="239">
        <f t="shared" si="50"/>
        <v>0</v>
      </c>
      <c r="AD155" s="239">
        <f t="shared" si="50"/>
        <v>0</v>
      </c>
      <c r="AE155" s="239">
        <f t="shared" si="50"/>
        <v>0</v>
      </c>
      <c r="AF155" s="239">
        <f t="shared" si="50"/>
        <v>0</v>
      </c>
      <c r="AG155" s="239">
        <f t="shared" si="50"/>
        <v>0</v>
      </c>
      <c r="AH155" s="239">
        <f t="shared" si="50"/>
        <v>0</v>
      </c>
      <c r="AI155" s="239">
        <f t="shared" si="50"/>
        <v>0</v>
      </c>
      <c r="AJ155" s="239">
        <f t="shared" si="50"/>
        <v>0</v>
      </c>
    </row>
    <row r="156" spans="2:36" ht="15.75" x14ac:dyDescent="0.25">
      <c r="B156" s="221" t="s">
        <v>255</v>
      </c>
      <c r="C156" s="221"/>
      <c r="D156" s="221"/>
      <c r="E156" s="260"/>
      <c r="F156" s="260"/>
      <c r="G156" s="239">
        <f t="shared" ref="G156:AJ156" si="51">IF(G$143&lt;=0,0,-MIN(G$143,F$149))</f>
        <v>0</v>
      </c>
      <c r="H156" s="239">
        <f t="shared" si="51"/>
        <v>-49982.196285661426</v>
      </c>
      <c r="I156" s="239">
        <f t="shared" si="51"/>
        <v>-294609.84589722229</v>
      </c>
      <c r="J156" s="239">
        <f t="shared" si="51"/>
        <v>-451755.09435321199</v>
      </c>
      <c r="K156" s="239">
        <f t="shared" si="51"/>
        <v>-477864.3549964361</v>
      </c>
      <c r="L156" s="239">
        <f t="shared" si="51"/>
        <v>-602341.83811041177</v>
      </c>
      <c r="M156" s="239">
        <f t="shared" si="51"/>
        <v>-543945.08827655483</v>
      </c>
      <c r="N156" s="239">
        <f t="shared" si="51"/>
        <v>0</v>
      </c>
      <c r="O156" s="239">
        <f t="shared" si="51"/>
        <v>0</v>
      </c>
      <c r="P156" s="239">
        <f t="shared" si="51"/>
        <v>0</v>
      </c>
      <c r="Q156" s="239">
        <f t="shared" si="51"/>
        <v>0</v>
      </c>
      <c r="R156" s="239">
        <f t="shared" si="51"/>
        <v>0</v>
      </c>
      <c r="S156" s="239">
        <f t="shared" si="51"/>
        <v>0</v>
      </c>
      <c r="T156" s="239">
        <f t="shared" si="51"/>
        <v>0</v>
      </c>
      <c r="U156" s="239">
        <f t="shared" si="51"/>
        <v>0</v>
      </c>
      <c r="V156" s="239">
        <f t="shared" si="51"/>
        <v>0</v>
      </c>
      <c r="W156" s="239">
        <f t="shared" si="51"/>
        <v>0</v>
      </c>
      <c r="X156" s="239">
        <f t="shared" si="51"/>
        <v>0</v>
      </c>
      <c r="Y156" s="239">
        <f t="shared" si="51"/>
        <v>0</v>
      </c>
      <c r="Z156" s="239">
        <f t="shared" si="51"/>
        <v>0</v>
      </c>
      <c r="AA156" s="239">
        <f t="shared" si="51"/>
        <v>0</v>
      </c>
      <c r="AB156" s="239">
        <f t="shared" si="51"/>
        <v>-33250.987366963906</v>
      </c>
      <c r="AC156" s="239">
        <f t="shared" si="51"/>
        <v>0</v>
      </c>
      <c r="AD156" s="239">
        <f t="shared" si="51"/>
        <v>0</v>
      </c>
      <c r="AE156" s="239">
        <f t="shared" si="51"/>
        <v>0</v>
      </c>
      <c r="AF156" s="239">
        <f t="shared" si="51"/>
        <v>0</v>
      </c>
      <c r="AG156" s="239">
        <f t="shared" si="51"/>
        <v>0</v>
      </c>
      <c r="AH156" s="239">
        <f t="shared" si="51"/>
        <v>0</v>
      </c>
      <c r="AI156" s="239">
        <f t="shared" si="51"/>
        <v>0</v>
      </c>
      <c r="AJ156" s="239">
        <f t="shared" si="51"/>
        <v>0</v>
      </c>
    </row>
    <row r="157" spans="2:36" ht="15.75" x14ac:dyDescent="0.25">
      <c r="B157" s="221" t="s">
        <v>258</v>
      </c>
      <c r="C157" s="221"/>
      <c r="D157" s="221"/>
      <c r="E157" s="260"/>
      <c r="F157" s="260"/>
      <c r="G157" s="239">
        <f>SUM(G154:G156)</f>
        <v>2420498.4179194984</v>
      </c>
      <c r="H157" s="239">
        <f t="shared" ref="H157:AJ157" si="52">SUM(H154:H156)</f>
        <v>2370516.2216338371</v>
      </c>
      <c r="I157" s="239">
        <f t="shared" si="52"/>
        <v>2075906.3757366147</v>
      </c>
      <c r="J157" s="239">
        <f t="shared" si="52"/>
        <v>1624151.2813834026</v>
      </c>
      <c r="K157" s="239">
        <f t="shared" si="52"/>
        <v>1146286.9263869666</v>
      </c>
      <c r="L157" s="239">
        <f t="shared" si="52"/>
        <v>543945.08827655483</v>
      </c>
      <c r="M157" s="239">
        <f t="shared" si="52"/>
        <v>0</v>
      </c>
      <c r="N157" s="239">
        <f t="shared" si="52"/>
        <v>0</v>
      </c>
      <c r="O157" s="239">
        <f t="shared" si="52"/>
        <v>0</v>
      </c>
      <c r="P157" s="239">
        <f t="shared" si="52"/>
        <v>0</v>
      </c>
      <c r="Q157" s="239">
        <f t="shared" si="52"/>
        <v>0</v>
      </c>
      <c r="R157" s="239">
        <f t="shared" si="52"/>
        <v>0</v>
      </c>
      <c r="S157" s="239">
        <f t="shared" si="52"/>
        <v>0</v>
      </c>
      <c r="T157" s="239">
        <f t="shared" si="52"/>
        <v>0</v>
      </c>
      <c r="U157" s="239">
        <f t="shared" si="52"/>
        <v>0</v>
      </c>
      <c r="V157" s="239">
        <f t="shared" si="52"/>
        <v>0</v>
      </c>
      <c r="W157" s="239">
        <f t="shared" si="52"/>
        <v>0</v>
      </c>
      <c r="X157" s="239">
        <f t="shared" si="52"/>
        <v>0</v>
      </c>
      <c r="Y157" s="239">
        <f t="shared" si="52"/>
        <v>0</v>
      </c>
      <c r="Z157" s="239">
        <f t="shared" si="52"/>
        <v>0</v>
      </c>
      <c r="AA157" s="239">
        <f t="shared" si="52"/>
        <v>33250.987366963906</v>
      </c>
      <c r="AB157" s="239">
        <f t="shared" si="52"/>
        <v>0</v>
      </c>
      <c r="AC157" s="239">
        <f t="shared" si="52"/>
        <v>0</v>
      </c>
      <c r="AD157" s="239">
        <f t="shared" si="52"/>
        <v>0</v>
      </c>
      <c r="AE157" s="239">
        <f t="shared" si="52"/>
        <v>0</v>
      </c>
      <c r="AF157" s="239">
        <f t="shared" si="52"/>
        <v>0</v>
      </c>
      <c r="AG157" s="239">
        <f t="shared" si="52"/>
        <v>0</v>
      </c>
      <c r="AH157" s="239">
        <f t="shared" si="52"/>
        <v>0</v>
      </c>
      <c r="AI157" s="239">
        <f t="shared" si="52"/>
        <v>0</v>
      </c>
      <c r="AJ157" s="239">
        <f t="shared" si="52"/>
        <v>0</v>
      </c>
    </row>
    <row r="158" spans="2:36" ht="15.75" x14ac:dyDescent="0.25">
      <c r="B158" s="221"/>
      <c r="C158" s="221"/>
      <c r="D158" s="221"/>
      <c r="E158" s="260"/>
      <c r="F158" s="260"/>
      <c r="G158" s="260"/>
      <c r="H158" s="260"/>
      <c r="I158" s="260"/>
      <c r="J158" s="260"/>
      <c r="K158" s="260"/>
      <c r="L158" s="260"/>
      <c r="M158" s="260"/>
      <c r="N158" s="260"/>
      <c r="O158" s="260"/>
      <c r="P158" s="260"/>
      <c r="Q158" s="260"/>
      <c r="R158" s="260"/>
      <c r="S158" s="260"/>
      <c r="T158" s="260"/>
      <c r="U158" s="260"/>
      <c r="V158" s="260"/>
      <c r="W158" s="260"/>
      <c r="X158" s="260"/>
      <c r="Y158" s="260"/>
      <c r="Z158" s="260"/>
      <c r="AA158" s="260"/>
      <c r="AB158" s="260"/>
      <c r="AC158" s="260"/>
      <c r="AD158" s="260"/>
      <c r="AE158" s="260"/>
      <c r="AF158" s="260"/>
      <c r="AG158" s="260"/>
      <c r="AH158" s="260"/>
      <c r="AI158" s="260"/>
      <c r="AJ158" s="260"/>
    </row>
    <row r="159" spans="2:36" ht="15.75" x14ac:dyDescent="0.25">
      <c r="B159" s="221" t="s">
        <v>259</v>
      </c>
      <c r="C159" s="221"/>
      <c r="D159" s="221"/>
      <c r="E159" s="260"/>
      <c r="F159" s="260"/>
      <c r="G159" s="239">
        <f>G143+G155+G156</f>
        <v>0</v>
      </c>
      <c r="H159" s="239">
        <f t="shared" ref="H159:AJ159" si="53">H143+H155+H156</f>
        <v>0</v>
      </c>
      <c r="I159" s="239">
        <f t="shared" si="53"/>
        <v>0</v>
      </c>
      <c r="J159" s="239">
        <f t="shared" si="53"/>
        <v>0</v>
      </c>
      <c r="K159" s="239">
        <f t="shared" si="53"/>
        <v>0</v>
      </c>
      <c r="L159" s="239">
        <f t="shared" si="53"/>
        <v>0</v>
      </c>
      <c r="M159" s="239">
        <f t="shared" si="53"/>
        <v>182294.70482703811</v>
      </c>
      <c r="N159" s="239">
        <f t="shared" si="53"/>
        <v>751451.07901824825</v>
      </c>
      <c r="O159" s="239">
        <f t="shared" si="53"/>
        <v>777110.38851202256</v>
      </c>
      <c r="P159" s="239">
        <f t="shared" si="53"/>
        <v>694214.62033165398</v>
      </c>
      <c r="Q159" s="239">
        <f t="shared" si="53"/>
        <v>653260.6490185007</v>
      </c>
      <c r="R159" s="239">
        <f t="shared" si="53"/>
        <v>747063.65674952755</v>
      </c>
      <c r="S159" s="239">
        <f t="shared" si="53"/>
        <v>815041.3813013942</v>
      </c>
      <c r="T159" s="239">
        <f t="shared" si="53"/>
        <v>844175.5791422911</v>
      </c>
      <c r="U159" s="239">
        <f t="shared" si="53"/>
        <v>903923.45644521003</v>
      </c>
      <c r="V159" s="239">
        <f t="shared" si="53"/>
        <v>988021.2184430107</v>
      </c>
      <c r="W159" s="239">
        <f t="shared" si="53"/>
        <v>1043348.8609456287</v>
      </c>
      <c r="X159" s="239">
        <f t="shared" si="53"/>
        <v>1076446.8370262522</v>
      </c>
      <c r="Y159" s="239">
        <f t="shared" si="53"/>
        <v>1109510.2291699508</v>
      </c>
      <c r="Z159" s="239">
        <f t="shared" si="53"/>
        <v>1012843.595735332</v>
      </c>
      <c r="AA159" s="239">
        <f t="shared" si="53"/>
        <v>0</v>
      </c>
      <c r="AB159" s="239">
        <f t="shared" si="53"/>
        <v>10906.840315924754</v>
      </c>
      <c r="AC159" s="239">
        <f t="shared" si="53"/>
        <v>91025.830855959153</v>
      </c>
      <c r="AD159" s="239">
        <f t="shared" si="53"/>
        <v>96584.872318175127</v>
      </c>
      <c r="AE159" s="239">
        <f t="shared" si="53"/>
        <v>132477.53719850993</v>
      </c>
      <c r="AF159" s="239">
        <f t="shared" si="53"/>
        <v>8.7311491370201108E-13</v>
      </c>
      <c r="AG159" s="239">
        <f t="shared" si="53"/>
        <v>0</v>
      </c>
      <c r="AH159" s="239">
        <f t="shared" si="53"/>
        <v>0</v>
      </c>
      <c r="AI159" s="239">
        <f t="shared" si="53"/>
        <v>0</v>
      </c>
      <c r="AJ159" s="239">
        <f t="shared" si="53"/>
        <v>0</v>
      </c>
    </row>
    <row r="160" spans="2:36" ht="15.75" thickBot="1" x14ac:dyDescent="0.3">
      <c r="B160" s="262"/>
      <c r="C160" s="262"/>
      <c r="D160" s="262"/>
      <c r="E160" s="262"/>
      <c r="F160" s="262"/>
      <c r="G160" s="262"/>
      <c r="H160" s="262"/>
      <c r="I160" s="262"/>
      <c r="J160" s="262"/>
      <c r="K160" s="262"/>
      <c r="L160" s="262"/>
      <c r="M160" s="262"/>
      <c r="N160" s="262"/>
      <c r="O160" s="262"/>
      <c r="P160" s="262"/>
      <c r="Q160" s="262"/>
      <c r="R160" s="262"/>
      <c r="S160" s="262"/>
      <c r="T160" s="262"/>
      <c r="U160" s="262"/>
      <c r="V160" s="262"/>
      <c r="W160" s="262"/>
      <c r="X160" s="262"/>
      <c r="Y160" s="262"/>
      <c r="Z160" s="262"/>
      <c r="AA160" s="262"/>
      <c r="AB160" s="262"/>
      <c r="AC160" s="262"/>
      <c r="AD160" s="262"/>
      <c r="AE160" s="262"/>
      <c r="AF160" s="262"/>
      <c r="AG160" s="262"/>
      <c r="AH160" s="262"/>
      <c r="AI160" s="262"/>
      <c r="AJ160" s="262"/>
    </row>
    <row r="161" spans="2:36" s="1" customFormat="1" ht="15.75" x14ac:dyDescent="0.25">
      <c r="B161" s="221"/>
      <c r="C161" s="221"/>
      <c r="D161" s="221"/>
      <c r="E161" s="221"/>
      <c r="F161" s="221"/>
      <c r="G161" s="244"/>
      <c r="H161" s="245"/>
      <c r="I161" s="221"/>
      <c r="J161" s="221"/>
      <c r="K161" s="221"/>
      <c r="L161" s="221"/>
      <c r="M161" s="221"/>
      <c r="N161" s="221"/>
      <c r="O161" s="221"/>
      <c r="P161" s="221"/>
      <c r="Q161" s="221"/>
      <c r="R161" s="221"/>
      <c r="S161" s="221"/>
      <c r="T161" s="221"/>
      <c r="U161" s="221"/>
      <c r="V161" s="221"/>
      <c r="W161" s="221"/>
      <c r="X161" s="221"/>
      <c r="Y161" s="221"/>
      <c r="Z161" s="221"/>
      <c r="AA161" s="221"/>
      <c r="AB161" s="221"/>
      <c r="AC161" s="221"/>
      <c r="AD161" s="221"/>
      <c r="AE161" s="221"/>
      <c r="AF161" s="221"/>
      <c r="AG161" s="221"/>
      <c r="AH161" s="221"/>
      <c r="AI161" s="221"/>
      <c r="AJ161" s="221"/>
    </row>
    <row r="162" spans="2:36" s="1" customFormat="1" ht="15.75" x14ac:dyDescent="0.25">
      <c r="B162" s="220" t="s">
        <v>261</v>
      </c>
      <c r="C162" s="220"/>
      <c r="D162" s="220"/>
      <c r="E162" s="221"/>
      <c r="F162" s="221"/>
      <c r="G162" s="244"/>
      <c r="H162" s="245"/>
      <c r="I162" s="221"/>
      <c r="J162" s="221"/>
      <c r="K162" s="221"/>
      <c r="L162" s="221"/>
      <c r="M162" s="221"/>
      <c r="N162" s="221"/>
      <c r="O162" s="221"/>
      <c r="P162" s="221"/>
      <c r="Q162" s="221"/>
      <c r="R162" s="221"/>
      <c r="S162" s="221"/>
      <c r="T162" s="221"/>
      <c r="U162" s="221"/>
      <c r="V162" s="221"/>
      <c r="W162" s="221"/>
      <c r="X162" s="221"/>
      <c r="Y162" s="221"/>
      <c r="Z162" s="221"/>
      <c r="AA162" s="221"/>
      <c r="AB162" s="221"/>
      <c r="AC162" s="221"/>
      <c r="AD162" s="221"/>
      <c r="AE162" s="221"/>
      <c r="AF162" s="221"/>
      <c r="AG162" s="221"/>
      <c r="AH162" s="221"/>
      <c r="AI162" s="221"/>
      <c r="AJ162" s="221"/>
    </row>
    <row r="163" spans="2:36" s="1" customFormat="1" x14ac:dyDescent="0.2">
      <c r="B163" s="221" t="s">
        <v>262</v>
      </c>
      <c r="C163" s="221"/>
      <c r="D163" s="221"/>
      <c r="E163" s="221"/>
      <c r="F163" s="221"/>
      <c r="G163" s="298">
        <f>IF(OR(Inputs!$G$73="No",Inputs!$Q$19="Performance-Based",Inputs!$Q$19="Neither"),0,IF(AND(Inputs!$Q$20="ITC",G$2=1),Inputs!$Q$23,IF(G$2&gt;1,0,IF(Inputs!$Q$20="Cash Grant",0,"ERROR"))))</f>
        <v>967200</v>
      </c>
      <c r="H163" s="298">
        <f>IF(OR(Inputs!$G$73="No",Inputs!$Q$19="Performance-Based",Inputs!$Q$19="Neither"),0,IF(AND(Inputs!$Q$20="ITC",H$2=1),Inputs!$Q$23,IF(H$2&gt;1,0,IF(Inputs!$Q$20="Cash Grant",0,"ERROR"))))</f>
        <v>0</v>
      </c>
      <c r="I163" s="298">
        <f>IF(OR(Inputs!$G$73="No",Inputs!$Q$19="Performance-Based",Inputs!$Q$19="Neither"),0,IF(AND(Inputs!$Q$20="ITC",I$2=1),Inputs!$Q$23,IF(I$2&gt;1,0,IF(Inputs!$Q$20="Cash Grant",0,"ERROR"))))</f>
        <v>0</v>
      </c>
      <c r="J163" s="298">
        <f>IF(OR(Inputs!$G$73="No",Inputs!$Q$19="Performance-Based",Inputs!$Q$19="Neither"),0,IF(AND(Inputs!$Q$20="ITC",J$2=1),Inputs!$Q$23,IF(J$2&gt;1,0,IF(Inputs!$Q$20="Cash Grant",0,"ERROR"))))</f>
        <v>0</v>
      </c>
      <c r="K163" s="298">
        <f>IF(OR(Inputs!$G$73="No",Inputs!$Q$19="Performance-Based",Inputs!$Q$19="Neither"),0,IF(AND(Inputs!$Q$20="ITC",K$2=1),Inputs!$Q$23,IF(K$2&gt;1,0,IF(Inputs!$Q$20="Cash Grant",0,"ERROR"))))</f>
        <v>0</v>
      </c>
      <c r="L163" s="298">
        <f>IF(OR(Inputs!$G$73="No",Inputs!$Q$19="Performance-Based",Inputs!$Q$19="Neither"),0,IF(AND(Inputs!$Q$20="ITC",L$2=1),Inputs!$Q$23,IF(L$2&gt;1,0,IF(Inputs!$Q$20="Cash Grant",0,"ERROR"))))</f>
        <v>0</v>
      </c>
      <c r="M163" s="298">
        <f>IF(OR(Inputs!$G$73="No",Inputs!$Q$19="Performance-Based",Inputs!$Q$19="Neither"),0,IF(AND(Inputs!$Q$20="ITC",M$2=1),Inputs!$Q$23,IF(M$2&gt;1,0,IF(Inputs!$Q$20="Cash Grant",0,"ERROR"))))</f>
        <v>0</v>
      </c>
      <c r="N163" s="298">
        <f>IF(OR(Inputs!$G$73="No",Inputs!$Q$19="Performance-Based",Inputs!$Q$19="Neither"),0,IF(AND(Inputs!$Q$20="ITC",N$2=1),Inputs!$Q$23,IF(N$2&gt;1,0,IF(Inputs!$Q$20="Cash Grant",0,"ERROR"))))</f>
        <v>0</v>
      </c>
      <c r="O163" s="298">
        <f>IF(OR(Inputs!$G$73="No",Inputs!$Q$19="Performance-Based",Inputs!$Q$19="Neither"),0,IF(AND(Inputs!$Q$20="ITC",O$2=1),Inputs!$Q$23,IF(O$2&gt;1,0,IF(Inputs!$Q$20="Cash Grant",0,"ERROR"))))</f>
        <v>0</v>
      </c>
      <c r="P163" s="298">
        <f>IF(OR(Inputs!$G$73="No",Inputs!$Q$19="Performance-Based",Inputs!$Q$19="Neither"),0,IF(AND(Inputs!$Q$20="ITC",P$2=1),Inputs!$Q$23,IF(P$2&gt;1,0,IF(Inputs!$Q$20="Cash Grant",0,"ERROR"))))</f>
        <v>0</v>
      </c>
      <c r="Q163" s="298">
        <f>IF(OR(Inputs!$G$73="No",Inputs!$Q$19="Performance-Based",Inputs!$Q$19="Neither"),0,IF(AND(Inputs!$Q$20="ITC",Q$2=1),Inputs!$Q$23,IF(Q$2&gt;1,0,IF(Inputs!$Q$20="Cash Grant",0,"ERROR"))))</f>
        <v>0</v>
      </c>
      <c r="R163" s="298">
        <f>IF(OR(Inputs!$G$73="No",Inputs!$Q$19="Performance-Based",Inputs!$Q$19="Neither"),0,IF(AND(Inputs!$Q$20="ITC",R$2=1),Inputs!$Q$23,IF(R$2&gt;1,0,IF(Inputs!$Q$20="Cash Grant",0,"ERROR"))))</f>
        <v>0</v>
      </c>
      <c r="S163" s="298">
        <f>IF(OR(Inputs!$G$73="No",Inputs!$Q$19="Performance-Based",Inputs!$Q$19="Neither"),0,IF(AND(Inputs!$Q$20="ITC",S$2=1),Inputs!$Q$23,IF(S$2&gt;1,0,IF(Inputs!$Q$20="Cash Grant",0,"ERROR"))))</f>
        <v>0</v>
      </c>
      <c r="T163" s="298">
        <f>IF(OR(Inputs!$G$73="No",Inputs!$Q$19="Performance-Based",Inputs!$Q$19="Neither"),0,IF(AND(Inputs!$Q$20="ITC",T$2=1),Inputs!$Q$23,IF(T$2&gt;1,0,IF(Inputs!$Q$20="Cash Grant",0,"ERROR"))))</f>
        <v>0</v>
      </c>
      <c r="U163" s="298">
        <f>IF(OR(Inputs!$G$73="No",Inputs!$Q$19="Performance-Based",Inputs!$Q$19="Neither"),0,IF(AND(Inputs!$Q$20="ITC",U$2=1),Inputs!$Q$23,IF(U$2&gt;1,0,IF(Inputs!$Q$20="Cash Grant",0,"ERROR"))))</f>
        <v>0</v>
      </c>
      <c r="V163" s="298">
        <f>IF(OR(Inputs!$G$73="No",Inputs!$Q$19="Performance-Based",Inputs!$Q$19="Neither"),0,IF(AND(Inputs!$Q$20="ITC",V$2=1),Inputs!$Q$23,IF(V$2&gt;1,0,IF(Inputs!$Q$20="Cash Grant",0,"ERROR"))))</f>
        <v>0</v>
      </c>
      <c r="W163" s="298">
        <f>IF(OR(Inputs!$G$73="No",Inputs!$Q$19="Performance-Based",Inputs!$Q$19="Neither"),0,IF(AND(Inputs!$Q$20="ITC",W$2=1),Inputs!$Q$23,IF(W$2&gt;1,0,IF(Inputs!$Q$20="Cash Grant",0,"ERROR"))))</f>
        <v>0</v>
      </c>
      <c r="X163" s="298">
        <f>IF(OR(Inputs!$G$73="No",Inputs!$Q$19="Performance-Based",Inputs!$Q$19="Neither"),0,IF(AND(Inputs!$Q$20="ITC",X$2=1),Inputs!$Q$23,IF(X$2&gt;1,0,IF(Inputs!$Q$20="Cash Grant",0,"ERROR"))))</f>
        <v>0</v>
      </c>
      <c r="Y163" s="298">
        <f>IF(OR(Inputs!$G$73="No",Inputs!$Q$19="Performance-Based",Inputs!$Q$19="Neither"),0,IF(AND(Inputs!$Q$20="ITC",Y$2=1),Inputs!$Q$23,IF(Y$2&gt;1,0,IF(Inputs!$Q$20="Cash Grant",0,"ERROR"))))</f>
        <v>0</v>
      </c>
      <c r="Z163" s="298">
        <f>IF(OR(Inputs!$G$73="No",Inputs!$Q$19="Performance-Based",Inputs!$Q$19="Neither"),0,IF(AND(Inputs!$Q$20="ITC",Z$2=1),Inputs!$Q$23,IF(Z$2&gt;1,0,IF(Inputs!$Q$20="Cash Grant",0,"ERROR"))))</f>
        <v>0</v>
      </c>
      <c r="AA163" s="298">
        <f>IF(OR(Inputs!$G$73="No",Inputs!$Q$19="Performance-Based",Inputs!$Q$19="Neither"),0,IF(AND(Inputs!$Q$20="ITC",AA$2=1),Inputs!$Q$23,IF(AA$2&gt;1,0,IF(Inputs!$Q$20="Cash Grant",0,"ERROR"))))</f>
        <v>0</v>
      </c>
      <c r="AB163" s="298">
        <f>IF(OR(Inputs!$G$73="No",Inputs!$Q$19="Performance-Based",Inputs!$Q$19="Neither"),0,IF(AND(Inputs!$Q$20="ITC",AB$2=1),Inputs!$Q$23,IF(AB$2&gt;1,0,IF(Inputs!$Q$20="Cash Grant",0,"ERROR"))))</f>
        <v>0</v>
      </c>
      <c r="AC163" s="298">
        <f>IF(OR(Inputs!$G$73="No",Inputs!$Q$19="Performance-Based",Inputs!$Q$19="Neither"),0,IF(AND(Inputs!$Q$20="ITC",AC$2=1),Inputs!$Q$23,IF(AC$2&gt;1,0,IF(Inputs!$Q$20="Cash Grant",0,"ERROR"))))</f>
        <v>0</v>
      </c>
      <c r="AD163" s="298">
        <f>IF(OR(Inputs!$G$73="No",Inputs!$Q$19="Performance-Based",Inputs!$Q$19="Neither"),0,IF(AND(Inputs!$Q$20="ITC",AD$2=1),Inputs!$Q$23,IF(AD$2&gt;1,0,IF(Inputs!$Q$20="Cash Grant",0,"ERROR"))))</f>
        <v>0</v>
      </c>
      <c r="AE163" s="298">
        <f>IF(OR(Inputs!$G$73="No",Inputs!$Q$19="Performance-Based",Inputs!$Q$19="Neither"),0,IF(AND(Inputs!$Q$20="ITC",AE$2=1),Inputs!$Q$23,IF(AE$2&gt;1,0,IF(Inputs!$Q$20="Cash Grant",0,"ERROR"))))</f>
        <v>0</v>
      </c>
      <c r="AF163" s="298">
        <f>IF(OR(Inputs!$G$73="No",Inputs!$Q$19="Performance-Based",Inputs!$Q$19="Neither"),0,IF(AND(Inputs!$Q$20="ITC",AF$2=1),Inputs!$Q$23,IF(AF$2&gt;1,0,IF(Inputs!$Q$20="Cash Grant",0,"ERROR"))))</f>
        <v>0</v>
      </c>
      <c r="AG163" s="298">
        <f>IF(OR(Inputs!$G$73="No",Inputs!$Q$19="Performance-Based",Inputs!$Q$19="Neither"),0,IF(AND(Inputs!$Q$20="ITC",AG$2=1),Inputs!$Q$23,IF(AG$2&gt;1,0,IF(Inputs!$Q$20="Cash Grant",0,"ERROR"))))</f>
        <v>0</v>
      </c>
      <c r="AH163" s="298">
        <f>IF(OR(Inputs!$G$73="No",Inputs!$Q$19="Performance-Based",Inputs!$Q$19="Neither"),0,IF(AND(Inputs!$Q$20="ITC",AH$2=1),Inputs!$Q$23,IF(AH$2&gt;1,0,IF(Inputs!$Q$20="Cash Grant",0,"ERROR"))))</f>
        <v>0</v>
      </c>
      <c r="AI163" s="298">
        <f>IF(OR(Inputs!$G$73="No",Inputs!$Q$19="Performance-Based",Inputs!$Q$19="Neither"),0,IF(AND(Inputs!$Q$20="ITC",AI$2=1),Inputs!$Q$23,IF(AI$2&gt;1,0,IF(Inputs!$Q$20="Cash Grant",0,"ERROR"))))</f>
        <v>0</v>
      </c>
      <c r="AJ163" s="298">
        <f>IF(OR(Inputs!$G$73="No",Inputs!$Q$19="Performance-Based",Inputs!$Q$19="Neither"),0,IF(AND(Inputs!$Q$20="ITC",AJ$2=1),Inputs!$Q$23,IF(AJ$2&gt;1,0,IF(Inputs!$Q$20="Cash Grant",0,"ERROR"))))</f>
        <v>0</v>
      </c>
    </row>
    <row r="164" spans="2:36" s="1" customFormat="1" x14ac:dyDescent="0.2">
      <c r="B164" s="221" t="s">
        <v>220</v>
      </c>
      <c r="C164" s="221"/>
      <c r="D164" s="221"/>
      <c r="E164" s="221"/>
      <c r="F164" s="221"/>
      <c r="G164" s="239">
        <f>IF(OR(Inputs!$G$73="No",Inputs!$Q$19="Cost-Based",Inputs!$Q$19="Neither"),0,IF(Inputs!$Q$24="Tax Credit",IF(G$2&gt;Inputs!$Q$27,0,Inputs!$Q$25/100*G$9*Inputs!$Q$26*G$5*(1-MIN(Inputs!$Q$29/Inputs!$G$26,50%))),0))</f>
        <v>0</v>
      </c>
      <c r="H164" s="239">
        <f>IF(OR(Inputs!$G$73="No",Inputs!$Q$19="Cost-Based",Inputs!$Q$19="Neither"),0,IF(Inputs!$Q$24="Tax Credit",IF(H$2&gt;Inputs!$Q$27,0,Inputs!$Q$25/100*H$9*Inputs!$Q$26*H$5*(1-MIN(Inputs!$Q$29/Inputs!$G$26,50%))),0))</f>
        <v>0</v>
      </c>
      <c r="I164" s="239">
        <f>IF(OR(Inputs!$G$73="No",Inputs!$Q$19="Cost-Based",Inputs!$Q$19="Neither"),0,IF(Inputs!$Q$24="Tax Credit",IF(I$2&gt;Inputs!$Q$27,0,Inputs!$Q$25/100*I$9*Inputs!$Q$26*I$5*(1-MIN(Inputs!$Q$29/Inputs!$G$26,50%))),0))</f>
        <v>0</v>
      </c>
      <c r="J164" s="239">
        <f>IF(OR(Inputs!$G$73="No",Inputs!$Q$19="Cost-Based",Inputs!$Q$19="Neither"),0,IF(Inputs!$Q$24="Tax Credit",IF(J$2&gt;Inputs!$Q$27,0,Inputs!$Q$25/100*J$9*Inputs!$Q$26*J$5*(1-MIN(Inputs!$Q$29/Inputs!$G$26,50%))),0))</f>
        <v>0</v>
      </c>
      <c r="K164" s="239">
        <f>IF(OR(Inputs!$G$73="No",Inputs!$Q$19="Cost-Based",Inputs!$Q$19="Neither"),0,IF(Inputs!$Q$24="Tax Credit",IF(K$2&gt;Inputs!$Q$27,0,Inputs!$Q$25/100*K$9*Inputs!$Q$26*K$5*(1-MIN(Inputs!$Q$29/Inputs!$G$26,50%))),0))</f>
        <v>0</v>
      </c>
      <c r="L164" s="239">
        <f>IF(OR(Inputs!$G$73="No",Inputs!$Q$19="Cost-Based",Inputs!$Q$19="Neither"),0,IF(Inputs!$Q$24="Tax Credit",IF(L$2&gt;Inputs!$Q$27,0,Inputs!$Q$25/100*L$9*Inputs!$Q$26*L$5*(1-MIN(Inputs!$Q$29/Inputs!$G$26,50%))),0))</f>
        <v>0</v>
      </c>
      <c r="M164" s="239">
        <f>IF(OR(Inputs!$G$73="No",Inputs!$Q$19="Cost-Based",Inputs!$Q$19="Neither"),0,IF(Inputs!$Q$24="Tax Credit",IF(M$2&gt;Inputs!$Q$27,0,Inputs!$Q$25/100*M$9*Inputs!$Q$26*M$5*(1-MIN(Inputs!$Q$29/Inputs!$G$26,50%))),0))</f>
        <v>0</v>
      </c>
      <c r="N164" s="239">
        <f>IF(OR(Inputs!$G$73="No",Inputs!$Q$19="Cost-Based",Inputs!$Q$19="Neither"),0,IF(Inputs!$Q$24="Tax Credit",IF(N$2&gt;Inputs!$Q$27,0,Inputs!$Q$25/100*N$9*Inputs!$Q$26*N$5*(1-MIN(Inputs!$Q$29/Inputs!$G$26,50%))),0))</f>
        <v>0</v>
      </c>
      <c r="O164" s="239">
        <f>IF(OR(Inputs!$G$73="No",Inputs!$Q$19="Cost-Based",Inputs!$Q$19="Neither"),0,IF(Inputs!$Q$24="Tax Credit",IF(O$2&gt;Inputs!$Q$27,0,Inputs!$Q$25/100*O$9*Inputs!$Q$26*O$5*(1-MIN(Inputs!$Q$29/Inputs!$G$26,50%))),0))</f>
        <v>0</v>
      </c>
      <c r="P164" s="239">
        <f>IF(OR(Inputs!$G$73="No",Inputs!$Q$19="Cost-Based",Inputs!$Q$19="Neither"),0,IF(Inputs!$Q$24="Tax Credit",IF(P$2&gt;Inputs!$Q$27,0,Inputs!$Q$25/100*P$9*Inputs!$Q$26*P$5*(1-MIN(Inputs!$Q$29/Inputs!$G$26,50%))),0))</f>
        <v>0</v>
      </c>
      <c r="Q164" s="239">
        <f>IF(OR(Inputs!$G$73="No",Inputs!$Q$19="Cost-Based",Inputs!$Q$19="Neither"),0,IF(Inputs!$Q$24="Tax Credit",IF(Q$2&gt;Inputs!$Q$27,0,Inputs!$Q$25/100*Q$9*Inputs!$Q$26*Q$5*(1-MIN(Inputs!$Q$29/Inputs!$G$26,50%))),0))</f>
        <v>0</v>
      </c>
      <c r="R164" s="239">
        <f>IF(OR(Inputs!$G$73="No",Inputs!$Q$19="Cost-Based",Inputs!$Q$19="Neither"),0,IF(Inputs!$Q$24="Tax Credit",IF(R$2&gt;Inputs!$Q$27,0,Inputs!$Q$25/100*R$9*Inputs!$Q$26*R$5*(1-MIN(Inputs!$Q$29/Inputs!$G$26,50%))),0))</f>
        <v>0</v>
      </c>
      <c r="S164" s="239">
        <f>IF(OR(Inputs!$G$73="No",Inputs!$Q$19="Cost-Based",Inputs!$Q$19="Neither"),0,IF(Inputs!$Q$24="Tax Credit",IF(S$2&gt;Inputs!$Q$27,0,Inputs!$Q$25/100*S$9*Inputs!$Q$26*S$5*(1-MIN(Inputs!$Q$29/Inputs!$G$26,50%))),0))</f>
        <v>0</v>
      </c>
      <c r="T164" s="239">
        <f>IF(OR(Inputs!$G$73="No",Inputs!$Q$19="Cost-Based",Inputs!$Q$19="Neither"),0,IF(Inputs!$Q$24="Tax Credit",IF(T$2&gt;Inputs!$Q$27,0,Inputs!$Q$25/100*T$9*Inputs!$Q$26*T$5*(1-MIN(Inputs!$Q$29/Inputs!$G$26,50%))),0))</f>
        <v>0</v>
      </c>
      <c r="U164" s="239">
        <f>IF(OR(Inputs!$G$73="No",Inputs!$Q$19="Cost-Based",Inputs!$Q$19="Neither"),0,IF(Inputs!$Q$24="Tax Credit",IF(U$2&gt;Inputs!$Q$27,0,Inputs!$Q$25/100*U$9*Inputs!$Q$26*U$5*(1-MIN(Inputs!$Q$29/Inputs!$G$26,50%))),0))</f>
        <v>0</v>
      </c>
      <c r="V164" s="239">
        <f>IF(OR(Inputs!$G$73="No",Inputs!$Q$19="Cost-Based",Inputs!$Q$19="Neither"),0,IF(Inputs!$Q$24="Tax Credit",IF(V$2&gt;Inputs!$Q$27,0,Inputs!$Q$25/100*V$9*Inputs!$Q$26*V$5*(1-MIN(Inputs!$Q$29/Inputs!$G$26,50%))),0))</f>
        <v>0</v>
      </c>
      <c r="W164" s="239">
        <f>IF(OR(Inputs!$G$73="No",Inputs!$Q$19="Cost-Based",Inputs!$Q$19="Neither"),0,IF(Inputs!$Q$24="Tax Credit",IF(W$2&gt;Inputs!$Q$27,0,Inputs!$Q$25/100*W$9*Inputs!$Q$26*W$5*(1-MIN(Inputs!$Q$29/Inputs!$G$26,50%))),0))</f>
        <v>0</v>
      </c>
      <c r="X164" s="239">
        <f>IF(OR(Inputs!$G$73="No",Inputs!$Q$19="Cost-Based",Inputs!$Q$19="Neither"),0,IF(Inputs!$Q$24="Tax Credit",IF(X$2&gt;Inputs!$Q$27,0,Inputs!$Q$25/100*X$9*Inputs!$Q$26*X$5*(1-MIN(Inputs!$Q$29/Inputs!$G$26,50%))),0))</f>
        <v>0</v>
      </c>
      <c r="Y164" s="239">
        <f>IF(OR(Inputs!$G$73="No",Inputs!$Q$19="Cost-Based",Inputs!$Q$19="Neither"),0,IF(Inputs!$Q$24="Tax Credit",IF(Y$2&gt;Inputs!$Q$27,0,Inputs!$Q$25/100*Y$9*Inputs!$Q$26*Y$5*(1-MIN(Inputs!$Q$29/Inputs!$G$26,50%))),0))</f>
        <v>0</v>
      </c>
      <c r="Z164" s="239">
        <f>IF(OR(Inputs!$G$73="No",Inputs!$Q$19="Cost-Based",Inputs!$Q$19="Neither"),0,IF(Inputs!$Q$24="Tax Credit",IF(Z$2&gt;Inputs!$Q$27,0,Inputs!$Q$25/100*Z$9*Inputs!$Q$26*Z$5*(1-MIN(Inputs!$Q$29/Inputs!$G$26,50%))),0))</f>
        <v>0</v>
      </c>
      <c r="AA164" s="239">
        <f>IF(OR(Inputs!$G$73="No",Inputs!$Q$19="Cost-Based",Inputs!$Q$19="Neither"),0,IF(Inputs!$Q$24="Tax Credit",IF(AA$2&gt;Inputs!$Q$27,0,Inputs!$Q$25/100*AA$9*Inputs!$Q$26*AA$5*(1-MIN(Inputs!$Q$29/Inputs!$G$26,50%))),0))</f>
        <v>0</v>
      </c>
      <c r="AB164" s="239">
        <f>IF(OR(Inputs!$G$73="No",Inputs!$Q$19="Cost-Based",Inputs!$Q$19="Neither"),0,IF(Inputs!$Q$24="Tax Credit",IF(AB$2&gt;Inputs!$Q$27,0,Inputs!$Q$25/100*AB$9*Inputs!$Q$26*AB$5*(1-MIN(Inputs!$Q$29/Inputs!$G$26,50%))),0))</f>
        <v>0</v>
      </c>
      <c r="AC164" s="239">
        <f>IF(OR(Inputs!$G$73="No",Inputs!$Q$19="Cost-Based",Inputs!$Q$19="Neither"),0,IF(Inputs!$Q$24="Tax Credit",IF(AC$2&gt;Inputs!$Q$27,0,Inputs!$Q$25/100*AC$9*Inputs!$Q$26*AC$5*(1-MIN(Inputs!$Q$29/Inputs!$G$26,50%))),0))</f>
        <v>0</v>
      </c>
      <c r="AD164" s="239">
        <f>IF(OR(Inputs!$G$73="No",Inputs!$Q$19="Cost-Based",Inputs!$Q$19="Neither"),0,IF(Inputs!$Q$24="Tax Credit",IF(AD$2&gt;Inputs!$Q$27,0,Inputs!$Q$25/100*AD$9*Inputs!$Q$26*AD$5*(1-MIN(Inputs!$Q$29/Inputs!$G$26,50%))),0))</f>
        <v>0</v>
      </c>
      <c r="AE164" s="239">
        <f>IF(OR(Inputs!$G$73="No",Inputs!$Q$19="Cost-Based",Inputs!$Q$19="Neither"),0,IF(Inputs!$Q$24="Tax Credit",IF(AE$2&gt;Inputs!$Q$27,0,Inputs!$Q$25/100*AE$9*Inputs!$Q$26*AE$5*(1-MIN(Inputs!$Q$29/Inputs!$G$26,50%))),0))</f>
        <v>0</v>
      </c>
      <c r="AF164" s="239">
        <f>IF(OR(Inputs!$G$73="No",Inputs!$Q$19="Cost-Based",Inputs!$Q$19="Neither"),0,IF(Inputs!$Q$24="Tax Credit",IF(AF$2&gt;Inputs!$Q$27,0,Inputs!$Q$25/100*AF$9*Inputs!$Q$26*AF$5*(1-MIN(Inputs!$Q$29/Inputs!$G$26,50%))),0))</f>
        <v>0</v>
      </c>
      <c r="AG164" s="239">
        <f>IF(OR(Inputs!$G$73="No",Inputs!$Q$19="Cost-Based",Inputs!$Q$19="Neither"),0,IF(Inputs!$Q$24="Tax Credit",IF(AG$2&gt;Inputs!$Q$27,0,Inputs!$Q$25/100*AG$9*Inputs!$Q$26*AG$5*(1-MIN(Inputs!$Q$29/Inputs!$G$26,50%))),0))</f>
        <v>0</v>
      </c>
      <c r="AH164" s="239">
        <f>IF(OR(Inputs!$G$73="No",Inputs!$Q$19="Cost-Based",Inputs!$Q$19="Neither"),0,IF(Inputs!$Q$24="Tax Credit",IF(AH$2&gt;Inputs!$Q$27,0,Inputs!$Q$25/100*AH$9*Inputs!$Q$26*AH$5*(1-MIN(Inputs!$Q$29/Inputs!$G$26,50%))),0))</f>
        <v>0</v>
      </c>
      <c r="AI164" s="239">
        <f>IF(OR(Inputs!$G$73="No",Inputs!$Q$19="Cost-Based",Inputs!$Q$19="Neither"),0,IF(Inputs!$Q$24="Tax Credit",IF(AI$2&gt;Inputs!$Q$27,0,Inputs!$Q$25/100*AI$9*Inputs!$Q$26*AI$5*(1-MIN(Inputs!$Q$29/Inputs!$G$26,50%))),0))</f>
        <v>0</v>
      </c>
      <c r="AJ164" s="239">
        <f>IF(OR(Inputs!$G$73="No",Inputs!$Q$19="Cost-Based",Inputs!$Q$19="Neither"),0,IF(Inputs!$Q$24="Tax Credit",IF(AJ$2&gt;Inputs!$Q$27,0,Inputs!$Q$25/100*AJ$9*Inputs!$Q$26*AJ$5*(1-MIN(Inputs!$Q$29/Inputs!$G$26,50%))),0))</f>
        <v>0</v>
      </c>
    </row>
    <row r="165" spans="2:36" s="1" customFormat="1" x14ac:dyDescent="0.2">
      <c r="B165" s="221"/>
      <c r="C165" s="221"/>
      <c r="D165" s="221"/>
      <c r="E165" s="221"/>
      <c r="F165" s="221"/>
      <c r="G165" s="239"/>
      <c r="H165" s="239"/>
      <c r="I165" s="239"/>
      <c r="J165" s="239"/>
      <c r="K165" s="239"/>
      <c r="L165" s="239"/>
      <c r="M165" s="239"/>
      <c r="N165" s="239"/>
      <c r="O165" s="239"/>
      <c r="P165" s="239"/>
      <c r="Q165" s="239"/>
      <c r="R165" s="239"/>
      <c r="S165" s="239"/>
      <c r="T165" s="239"/>
      <c r="U165" s="239"/>
      <c r="V165" s="239"/>
      <c r="W165" s="239"/>
      <c r="X165" s="239"/>
      <c r="Y165" s="239"/>
      <c r="Z165" s="239"/>
      <c r="AA165" s="239"/>
      <c r="AB165" s="239"/>
      <c r="AC165" s="239"/>
      <c r="AD165" s="239"/>
      <c r="AE165" s="239"/>
      <c r="AF165" s="239"/>
      <c r="AG165" s="239"/>
      <c r="AH165" s="239"/>
      <c r="AI165" s="239"/>
      <c r="AJ165" s="239"/>
    </row>
    <row r="166" spans="2:36" s="1" customFormat="1" x14ac:dyDescent="0.2">
      <c r="B166" s="221" t="s">
        <v>264</v>
      </c>
      <c r="C166" s="221"/>
      <c r="D166" s="221"/>
      <c r="E166" s="221"/>
      <c r="F166" s="221"/>
      <c r="G166" s="239">
        <f>SUM(G163:G164)</f>
        <v>967200</v>
      </c>
      <c r="H166" s="239">
        <f t="shared" ref="H166:AJ166" si="54">SUM(H163:H164)</f>
        <v>0</v>
      </c>
      <c r="I166" s="239">
        <f t="shared" si="54"/>
        <v>0</v>
      </c>
      <c r="J166" s="239">
        <f t="shared" si="54"/>
        <v>0</v>
      </c>
      <c r="K166" s="239">
        <f t="shared" si="54"/>
        <v>0</v>
      </c>
      <c r="L166" s="239">
        <f t="shared" si="54"/>
        <v>0</v>
      </c>
      <c r="M166" s="239">
        <f t="shared" si="54"/>
        <v>0</v>
      </c>
      <c r="N166" s="239">
        <f t="shared" si="54"/>
        <v>0</v>
      </c>
      <c r="O166" s="239">
        <f t="shared" si="54"/>
        <v>0</v>
      </c>
      <c r="P166" s="239">
        <f t="shared" si="54"/>
        <v>0</v>
      </c>
      <c r="Q166" s="239">
        <f t="shared" si="54"/>
        <v>0</v>
      </c>
      <c r="R166" s="239">
        <f t="shared" si="54"/>
        <v>0</v>
      </c>
      <c r="S166" s="239">
        <f t="shared" si="54"/>
        <v>0</v>
      </c>
      <c r="T166" s="239">
        <f t="shared" si="54"/>
        <v>0</v>
      </c>
      <c r="U166" s="239">
        <f t="shared" si="54"/>
        <v>0</v>
      </c>
      <c r="V166" s="239">
        <f t="shared" si="54"/>
        <v>0</v>
      </c>
      <c r="W166" s="239">
        <f t="shared" si="54"/>
        <v>0</v>
      </c>
      <c r="X166" s="239">
        <f t="shared" si="54"/>
        <v>0</v>
      </c>
      <c r="Y166" s="239">
        <f t="shared" si="54"/>
        <v>0</v>
      </c>
      <c r="Z166" s="239">
        <f t="shared" si="54"/>
        <v>0</v>
      </c>
      <c r="AA166" s="239">
        <f t="shared" si="54"/>
        <v>0</v>
      </c>
      <c r="AB166" s="239">
        <f t="shared" si="54"/>
        <v>0</v>
      </c>
      <c r="AC166" s="239">
        <f t="shared" si="54"/>
        <v>0</v>
      </c>
      <c r="AD166" s="239">
        <f t="shared" si="54"/>
        <v>0</v>
      </c>
      <c r="AE166" s="239">
        <f t="shared" si="54"/>
        <v>0</v>
      </c>
      <c r="AF166" s="239">
        <f t="shared" si="54"/>
        <v>0</v>
      </c>
      <c r="AG166" s="239">
        <f t="shared" si="54"/>
        <v>0</v>
      </c>
      <c r="AH166" s="239">
        <f t="shared" si="54"/>
        <v>0</v>
      </c>
      <c r="AI166" s="239">
        <f t="shared" si="54"/>
        <v>0</v>
      </c>
      <c r="AJ166" s="239">
        <f t="shared" si="54"/>
        <v>0</v>
      </c>
    </row>
    <row r="167" spans="2:36" s="1" customFormat="1" x14ac:dyDescent="0.2">
      <c r="B167" s="221"/>
      <c r="C167" s="221"/>
      <c r="D167" s="221"/>
      <c r="E167" s="221"/>
      <c r="F167" s="221"/>
      <c r="G167" s="239"/>
      <c r="H167" s="239"/>
      <c r="I167" s="239"/>
      <c r="J167" s="239"/>
      <c r="K167" s="239"/>
      <c r="L167" s="239"/>
      <c r="M167" s="239"/>
      <c r="N167" s="239"/>
      <c r="O167" s="239"/>
      <c r="P167" s="239"/>
      <c r="Q167" s="239"/>
      <c r="R167" s="239"/>
      <c r="S167" s="239"/>
      <c r="T167" s="239"/>
      <c r="U167" s="239"/>
      <c r="V167" s="239"/>
      <c r="W167" s="239"/>
      <c r="X167" s="239"/>
      <c r="Y167" s="239"/>
      <c r="Z167" s="239"/>
      <c r="AA167" s="239"/>
      <c r="AB167" s="239"/>
      <c r="AC167" s="239"/>
      <c r="AD167" s="239"/>
      <c r="AE167" s="239"/>
      <c r="AF167" s="239"/>
      <c r="AG167" s="239"/>
      <c r="AH167" s="239"/>
      <c r="AI167" s="239"/>
      <c r="AJ167" s="239"/>
    </row>
    <row r="168" spans="2:36" s="1" customFormat="1" x14ac:dyDescent="0.2">
      <c r="B168" s="299" t="s">
        <v>265</v>
      </c>
      <c r="C168" s="299"/>
      <c r="D168" s="299"/>
      <c r="E168" s="221"/>
      <c r="F168" s="221"/>
      <c r="G168" s="239"/>
      <c r="H168" s="239"/>
      <c r="I168" s="239"/>
      <c r="J168" s="239"/>
      <c r="K168" s="239"/>
      <c r="L168" s="239"/>
      <c r="M168" s="239"/>
      <c r="N168" s="239"/>
      <c r="O168" s="239"/>
      <c r="P168" s="239"/>
      <c r="Q168" s="239"/>
      <c r="R168" s="239"/>
      <c r="S168" s="239"/>
      <c r="T168" s="239"/>
      <c r="U168" s="239"/>
      <c r="V168" s="239"/>
      <c r="W168" s="239"/>
      <c r="X168" s="239"/>
      <c r="Y168" s="239"/>
      <c r="Z168" s="239"/>
      <c r="AA168" s="239"/>
      <c r="AB168" s="239"/>
      <c r="AC168" s="239"/>
      <c r="AD168" s="239"/>
      <c r="AE168" s="239"/>
      <c r="AF168" s="239"/>
      <c r="AG168" s="239"/>
      <c r="AH168" s="239"/>
      <c r="AI168" s="239"/>
      <c r="AJ168" s="239"/>
    </row>
    <row r="169" spans="2:36" s="1" customFormat="1" x14ac:dyDescent="0.2">
      <c r="B169" s="221" t="str">
        <f>B63</f>
        <v>Federal Income Taxes Saved / (Paid), before ITC/PTC</v>
      </c>
      <c r="C169" s="221"/>
      <c r="D169" s="221"/>
      <c r="E169" s="221"/>
      <c r="F169" s="221"/>
      <c r="G169" s="239">
        <f>IF(Inputs!$G$75="as generated","N/A",'Cash Flow'!G63)</f>
        <v>0</v>
      </c>
      <c r="H169" s="239">
        <f>IF(Inputs!$G$75="as generated","N/A",'Cash Flow'!H63)</f>
        <v>0</v>
      </c>
      <c r="I169" s="239">
        <f>IF(Inputs!$G$75="as generated","N/A",'Cash Flow'!I63)</f>
        <v>0</v>
      </c>
      <c r="J169" s="239">
        <f>IF(Inputs!$G$75="as generated","N/A",'Cash Flow'!J63)</f>
        <v>0</v>
      </c>
      <c r="K169" s="239">
        <f>IF(Inputs!$G$75="as generated","N/A",'Cash Flow'!K63)</f>
        <v>0</v>
      </c>
      <c r="L169" s="239">
        <f>IF(Inputs!$G$75="as generated","N/A",'Cash Flow'!L63)</f>
        <v>0</v>
      </c>
      <c r="M169" s="239">
        <f>IF(Inputs!$G$75="as generated","N/A",'Cash Flow'!M63)</f>
        <v>-58379.879220858951</v>
      </c>
      <c r="N169" s="239">
        <f>IF(Inputs!$G$75="as generated","N/A",'Cash Flow'!N63)</f>
        <v>-240652.20805559398</v>
      </c>
      <c r="O169" s="239">
        <f>IF(Inputs!$G$75="as generated","N/A",'Cash Flow'!O63)</f>
        <v>-248869.60192097523</v>
      </c>
      <c r="P169" s="239">
        <f>IF(Inputs!$G$75="as generated","N/A",'Cash Flow'!P63)</f>
        <v>-222322.23216121216</v>
      </c>
      <c r="Q169" s="239">
        <f>IF(Inputs!$G$75="as generated","N/A",'Cash Flow'!Q63)</f>
        <v>-209206.72284817483</v>
      </c>
      <c r="R169" s="239">
        <f>IF(Inputs!$G$75="as generated","N/A",'Cash Flow'!R63)</f>
        <v>-239247.13607403619</v>
      </c>
      <c r="S169" s="239">
        <f>IF(Inputs!$G$75="as generated","N/A",'Cash Flow'!S63)</f>
        <v>-261017.00236177148</v>
      </c>
      <c r="T169" s="239">
        <f>IF(Inputs!$G$75="as generated","N/A",'Cash Flow'!T63)</f>
        <v>-270347.22922031872</v>
      </c>
      <c r="U169" s="239">
        <f>IF(Inputs!$G$75="as generated","N/A",'Cash Flow'!U63)</f>
        <v>-289481.48692657851</v>
      </c>
      <c r="V169" s="239">
        <f>IF(Inputs!$G$75="as generated","N/A",'Cash Flow'!V63)</f>
        <v>-316413.7952063742</v>
      </c>
      <c r="W169" s="239">
        <f>IF(Inputs!$G$75="as generated","N/A",'Cash Flow'!W63)</f>
        <v>-334132.47271783755</v>
      </c>
      <c r="X169" s="239">
        <f>IF(Inputs!$G$75="as generated","N/A",'Cash Flow'!X63)</f>
        <v>-344732.09955765726</v>
      </c>
      <c r="Y169" s="239">
        <f>IF(Inputs!$G$75="as generated","N/A",'Cash Flow'!Y63)</f>
        <v>-355320.65089167672</v>
      </c>
      <c r="Z169" s="239">
        <f>IF(Inputs!$G$75="as generated","N/A",'Cash Flow'!Z63)</f>
        <v>-324363.16153424006</v>
      </c>
      <c r="AA169" s="239">
        <f>IF(Inputs!$G$75="as generated","N/A",'Cash Flow'!AA63)</f>
        <v>0</v>
      </c>
      <c r="AB169" s="239">
        <f>IF(Inputs!$G$75="as generated","N/A",'Cash Flow'!AB63)</f>
        <v>-3492.9156111749016</v>
      </c>
      <c r="AC169" s="239">
        <f>IF(Inputs!$G$75="as generated","N/A",'Cash Flow'!AC63)</f>
        <v>-29151.022331620919</v>
      </c>
      <c r="AD169" s="239">
        <f>IF(Inputs!$G$75="as generated","N/A",'Cash Flow'!AD63)</f>
        <v>-30931.305359895581</v>
      </c>
      <c r="AE169" s="239">
        <f>IF(Inputs!$G$75="as generated","N/A",'Cash Flow'!AE63)</f>
        <v>-42425.931287822801</v>
      </c>
      <c r="AF169" s="239">
        <f>IF(Inputs!$G$75="as generated","N/A",'Cash Flow'!AF63)</f>
        <v>-2.7961505111306905E-13</v>
      </c>
      <c r="AG169" s="239">
        <f>IF(Inputs!$G$75="as generated","N/A",'Cash Flow'!AG63)</f>
        <v>0</v>
      </c>
      <c r="AH169" s="239">
        <f>IF(Inputs!$G$75="as generated","N/A",'Cash Flow'!AH63)</f>
        <v>0</v>
      </c>
      <c r="AI169" s="239">
        <f>IF(Inputs!$G$75="as generated","N/A",'Cash Flow'!AI63)</f>
        <v>0</v>
      </c>
      <c r="AJ169" s="239">
        <f>IF(Inputs!$G$75="as generated","N/A",'Cash Flow'!AJ63)</f>
        <v>0</v>
      </c>
    </row>
    <row r="170" spans="2:36" s="1" customFormat="1" x14ac:dyDescent="0.2">
      <c r="B170" s="221"/>
      <c r="C170" s="221"/>
      <c r="D170" s="221"/>
      <c r="E170" s="221"/>
      <c r="F170" s="221"/>
      <c r="G170" s="239"/>
      <c r="H170" s="239"/>
      <c r="I170" s="239"/>
      <c r="J170" s="239"/>
      <c r="K170" s="239"/>
      <c r="L170" s="239"/>
      <c r="M170" s="239"/>
      <c r="N170" s="239"/>
      <c r="O170" s="239"/>
      <c r="P170" s="239"/>
      <c r="Q170" s="239"/>
      <c r="R170" s="239"/>
      <c r="S170" s="239"/>
      <c r="T170" s="239"/>
      <c r="U170" s="239"/>
      <c r="V170" s="239"/>
      <c r="W170" s="239"/>
      <c r="X170" s="239"/>
      <c r="Y170" s="239"/>
      <c r="Z170" s="239"/>
      <c r="AA170" s="239"/>
      <c r="AB170" s="239"/>
      <c r="AC170" s="239"/>
      <c r="AD170" s="239"/>
      <c r="AE170" s="239"/>
      <c r="AF170" s="239"/>
      <c r="AG170" s="239"/>
      <c r="AH170" s="239"/>
      <c r="AI170" s="239"/>
      <c r="AJ170" s="239"/>
    </row>
    <row r="171" spans="2:36" s="1" customFormat="1" x14ac:dyDescent="0.2">
      <c r="B171" s="221" t="s">
        <v>303</v>
      </c>
      <c r="C171" s="221"/>
      <c r="D171" s="221"/>
      <c r="E171" s="221"/>
      <c r="F171" s="221"/>
      <c r="G171" s="239">
        <v>0</v>
      </c>
      <c r="H171" s="239">
        <f>IF(Inputs!$G$75="as generated",0,G174)</f>
        <v>967200</v>
      </c>
      <c r="I171" s="239">
        <f>IF(Inputs!$G$75="as generated",0,H174)</f>
        <v>967200</v>
      </c>
      <c r="J171" s="239">
        <f>IF(Inputs!$G$75="as generated",0,I174)</f>
        <v>967200</v>
      </c>
      <c r="K171" s="239">
        <f>IF(Inputs!$G$75="as generated",0,J174)</f>
        <v>967200</v>
      </c>
      <c r="L171" s="239">
        <f>IF(Inputs!$G$75="as generated",0,K174)</f>
        <v>967200</v>
      </c>
      <c r="M171" s="239">
        <f>IF(Inputs!$G$75="as generated",0,L174)</f>
        <v>967200</v>
      </c>
      <c r="N171" s="239">
        <f>IF(Inputs!$G$75="as generated",0,M174)</f>
        <v>908820.12077914109</v>
      </c>
      <c r="O171" s="239">
        <f>IF(Inputs!$G$75="as generated",0,N174)</f>
        <v>668167.91272354708</v>
      </c>
      <c r="P171" s="239">
        <f>IF(Inputs!$G$75="as generated",0,O174)</f>
        <v>419298.31080257182</v>
      </c>
      <c r="Q171" s="239">
        <f>IF(Inputs!$G$75="as generated",0,P174)</f>
        <v>196976.07864135967</v>
      </c>
      <c r="R171" s="239">
        <f>IF(Inputs!$G$75="as generated",0,Q174)</f>
        <v>0</v>
      </c>
      <c r="S171" s="239">
        <f>IF(Inputs!$G$75="as generated",0,R174)</f>
        <v>0</v>
      </c>
      <c r="T171" s="239">
        <f>IF(Inputs!$G$75="as generated",0,S174)</f>
        <v>0</v>
      </c>
      <c r="U171" s="239">
        <f>IF(Inputs!$G$75="as generated",0,T174)</f>
        <v>0</v>
      </c>
      <c r="V171" s="239">
        <f>IF(Inputs!$G$75="as generated",0,U174)</f>
        <v>0</v>
      </c>
      <c r="W171" s="239">
        <f>IF(Inputs!$G$75="as generated",0,V174)</f>
        <v>0</v>
      </c>
      <c r="X171" s="239">
        <f>IF(Inputs!$G$75="as generated",0,W174)</f>
        <v>0</v>
      </c>
      <c r="Y171" s="239">
        <f>IF(Inputs!$G$75="as generated",0,X174)</f>
        <v>0</v>
      </c>
      <c r="Z171" s="239">
        <f>IF(Inputs!$G$75="as generated",0,Y174)</f>
        <v>0</v>
      </c>
      <c r="AA171" s="239">
        <f>IF(Inputs!$G$75="as generated",0,Z174)</f>
        <v>0</v>
      </c>
      <c r="AB171" s="239">
        <f>IF(Inputs!$G$75="as generated",0,AA174)</f>
        <v>0</v>
      </c>
      <c r="AC171" s="239">
        <f>IF(Inputs!$G$75="as generated",0,AB174)</f>
        <v>0</v>
      </c>
      <c r="AD171" s="239">
        <f>IF(Inputs!$G$75="as generated",0,AC174)</f>
        <v>0</v>
      </c>
      <c r="AE171" s="239">
        <f>IF(Inputs!$G$75="as generated",0,AD174)</f>
        <v>0</v>
      </c>
      <c r="AF171" s="239">
        <f>IF(Inputs!$G$75="as generated",0,AE174)</f>
        <v>0</v>
      </c>
      <c r="AG171" s="239">
        <f>IF(Inputs!$G$75="as generated",0,AF174)</f>
        <v>0</v>
      </c>
      <c r="AH171" s="239">
        <f>IF(Inputs!$G$75="as generated",0,AG174)</f>
        <v>0</v>
      </c>
      <c r="AI171" s="239">
        <f>IF(Inputs!$G$75="as generated",0,AH174)</f>
        <v>0</v>
      </c>
      <c r="AJ171" s="239">
        <f>IF(Inputs!$G$75="as generated",0,AI174)</f>
        <v>0</v>
      </c>
    </row>
    <row r="172" spans="2:36" s="1" customFormat="1" x14ac:dyDescent="0.2">
      <c r="B172" s="221" t="s">
        <v>304</v>
      </c>
      <c r="C172" s="221"/>
      <c r="D172" s="221"/>
      <c r="E172" s="221"/>
      <c r="F172" s="221"/>
      <c r="G172" s="239">
        <f>IF(Inputs!$G$75="as generated",0,IF(G169&lt;=0,G166,0))</f>
        <v>967200</v>
      </c>
      <c r="H172" s="239">
        <f>IF(Inputs!$G$75="as generated",0,IF(H169&lt;=0,H166,0))</f>
        <v>0</v>
      </c>
      <c r="I172" s="239">
        <f>IF(Inputs!$G$75="as generated",0,IF(I169&lt;=0,I166,0))</f>
        <v>0</v>
      </c>
      <c r="J172" s="239">
        <f>IF(Inputs!$G$75="as generated",0,IF(J169&lt;=0,J166,0))</f>
        <v>0</v>
      </c>
      <c r="K172" s="239">
        <f>IF(Inputs!$G$75="as generated",0,IF(K169&lt;=0,K166,0))</f>
        <v>0</v>
      </c>
      <c r="L172" s="239">
        <f>IF(Inputs!$G$75="as generated",0,IF(L169&lt;=0,L166,0))</f>
        <v>0</v>
      </c>
      <c r="M172" s="239">
        <f>IF(Inputs!$G$75="as generated",0,IF(M169&lt;=0,M166,0))</f>
        <v>0</v>
      </c>
      <c r="N172" s="239">
        <f>IF(Inputs!$G$75="as generated",0,IF(N169&lt;=0,N166,0))</f>
        <v>0</v>
      </c>
      <c r="O172" s="239">
        <f>IF(Inputs!$G$75="as generated",0,IF(O169&lt;=0,O166,0))</f>
        <v>0</v>
      </c>
      <c r="P172" s="239">
        <f>IF(Inputs!$G$75="as generated",0,IF(P169&lt;=0,P166,0))</f>
        <v>0</v>
      </c>
      <c r="Q172" s="239">
        <f>IF(Inputs!$G$75="as generated",0,IF(Q169&lt;=0,Q166,0))</f>
        <v>0</v>
      </c>
      <c r="R172" s="239">
        <f>IF(Inputs!$G$75="as generated",0,IF(R169&lt;=0,R166,0))</f>
        <v>0</v>
      </c>
      <c r="S172" s="239">
        <f>IF(Inputs!$G$75="as generated",0,IF(S169&lt;=0,S166,0))</f>
        <v>0</v>
      </c>
      <c r="T172" s="239">
        <f>IF(Inputs!$G$75="as generated",0,IF(T169&lt;=0,T166,0))</f>
        <v>0</v>
      </c>
      <c r="U172" s="239">
        <f>IF(Inputs!$G$75="as generated",0,IF(U169&lt;=0,U166,0))</f>
        <v>0</v>
      </c>
      <c r="V172" s="239">
        <f>IF(Inputs!$G$75="as generated",0,IF(V169&lt;=0,V166,0))</f>
        <v>0</v>
      </c>
      <c r="W172" s="239">
        <f>IF(Inputs!$G$75="as generated",0,IF(W169&lt;=0,W166,0))</f>
        <v>0</v>
      </c>
      <c r="X172" s="239">
        <f>IF(Inputs!$G$75="as generated",0,IF(X169&lt;=0,X166,0))</f>
        <v>0</v>
      </c>
      <c r="Y172" s="239">
        <f>IF(Inputs!$G$75="as generated",0,IF(Y169&lt;=0,Y166,0))</f>
        <v>0</v>
      </c>
      <c r="Z172" s="239">
        <f>IF(Inputs!$G$75="as generated",0,IF(Z169&lt;=0,Z166,0))</f>
        <v>0</v>
      </c>
      <c r="AA172" s="239">
        <f>IF(Inputs!$G$75="as generated",0,IF(AA169&lt;=0,AA166,0))</f>
        <v>0</v>
      </c>
      <c r="AB172" s="239">
        <f>IF(Inputs!$G$75="as generated",0,IF(AB169&lt;=0,AB166,0))</f>
        <v>0</v>
      </c>
      <c r="AC172" s="239">
        <f>IF(Inputs!$G$75="as generated",0,IF(AC169&lt;=0,AC166,0))</f>
        <v>0</v>
      </c>
      <c r="AD172" s="239">
        <f>IF(Inputs!$G$75="as generated",0,IF(AD169&lt;=0,AD166,0))</f>
        <v>0</v>
      </c>
      <c r="AE172" s="239">
        <f>IF(Inputs!$G$75="as generated",0,IF(AE169&lt;=0,AE166,0))</f>
        <v>0</v>
      </c>
      <c r="AF172" s="239">
        <f>IF(Inputs!$G$75="as generated",0,IF(AF169&lt;=0,AF166,0))</f>
        <v>0</v>
      </c>
      <c r="AG172" s="239">
        <f>IF(Inputs!$G$75="as generated",0,IF(AG169&lt;=0,AG166,0))</f>
        <v>0</v>
      </c>
      <c r="AH172" s="239">
        <f>IF(Inputs!$G$75="as generated",0,IF(AH169&lt;=0,AH166,0))</f>
        <v>0</v>
      </c>
      <c r="AI172" s="239">
        <f>IF(Inputs!$G$75="as generated",0,IF(AI169&lt;=0,AI166,0))</f>
        <v>0</v>
      </c>
      <c r="AJ172" s="239">
        <f>IF(Inputs!$G$75="as generated",0,IF(AJ169&lt;=0,AJ166,0))</f>
        <v>0</v>
      </c>
    </row>
    <row r="173" spans="2:36" s="1" customFormat="1" x14ac:dyDescent="0.2">
      <c r="B173" s="221" t="s">
        <v>305</v>
      </c>
      <c r="C173" s="221"/>
      <c r="D173" s="221"/>
      <c r="E173" s="221"/>
      <c r="F173" s="221"/>
      <c r="G173" s="239">
        <f>IF(Inputs!$G$75="as generated",0,IF(G$169&lt;0,MAX(G$169,-G$172),0))</f>
        <v>0</v>
      </c>
      <c r="H173" s="239">
        <f>IF(Inputs!$G$75="as generated",0,IF(H$169&lt;0,MAX(H$169,-G$174),0))</f>
        <v>0</v>
      </c>
      <c r="I173" s="239">
        <f>IF(Inputs!$G$75="as generated",0,IF(I$169&lt;0,MAX(I$169,-H$174),0))</f>
        <v>0</v>
      </c>
      <c r="J173" s="239">
        <f>IF(Inputs!$G$75="as generated",0,IF(J$169&lt;0,MAX(J$169,-I$174),0))</f>
        <v>0</v>
      </c>
      <c r="K173" s="239">
        <f>IF(Inputs!$G$75="as generated",0,IF(K$169&lt;0,MAX(K$169,-J$174),0))</f>
        <v>0</v>
      </c>
      <c r="L173" s="239">
        <f>IF(Inputs!$G$75="as generated",0,IF(L$169&lt;0,MAX(L$169,-K$174),0))</f>
        <v>0</v>
      </c>
      <c r="M173" s="239">
        <f>IF(Inputs!$G$75="as generated",0,IF(M$169&lt;0,MAX(M$169,-L$174),0))</f>
        <v>-58379.879220858951</v>
      </c>
      <c r="N173" s="239">
        <f>IF(Inputs!$G$75="as generated",0,IF(N$169&lt;0,MAX(N$169,-M$174),0))</f>
        <v>-240652.20805559398</v>
      </c>
      <c r="O173" s="239">
        <f>IF(Inputs!$G$75="as generated",0,IF(O$169&lt;0,MAX(O$169,-N$174),0))</f>
        <v>-248869.60192097523</v>
      </c>
      <c r="P173" s="239">
        <f>IF(Inputs!$G$75="as generated",0,IF(P$169&lt;0,MAX(P$169,-O$174),0))</f>
        <v>-222322.23216121216</v>
      </c>
      <c r="Q173" s="239">
        <f>IF(Inputs!$G$75="as generated",0,IF(Q$169&lt;0,MAX(Q$169,-P$174),0))</f>
        <v>-196976.07864135967</v>
      </c>
      <c r="R173" s="239">
        <f>IF(Inputs!$G$75="as generated",0,IF(R$169&lt;0,MAX(R$169,-Q$174),0))</f>
        <v>0</v>
      </c>
      <c r="S173" s="239">
        <f>IF(Inputs!$G$75="as generated",0,IF(S$169&lt;0,MAX(S$169,-R$174),0))</f>
        <v>0</v>
      </c>
      <c r="T173" s="239">
        <f>IF(Inputs!$G$75="as generated",0,IF(T$169&lt;0,MAX(T$169,-S$174),0))</f>
        <v>0</v>
      </c>
      <c r="U173" s="239">
        <f>IF(Inputs!$G$75="as generated",0,IF(U$169&lt;0,MAX(U$169,-T$174),0))</f>
        <v>0</v>
      </c>
      <c r="V173" s="239">
        <f>IF(Inputs!$G$75="as generated",0,IF(V$169&lt;0,MAX(V$169,-U$174),0))</f>
        <v>0</v>
      </c>
      <c r="W173" s="239">
        <f>IF(Inputs!$G$75="as generated",0,IF(W$169&lt;0,MAX(W$169,-V$174),0))</f>
        <v>0</v>
      </c>
      <c r="X173" s="239">
        <f>IF(Inputs!$G$75="as generated",0,IF(X$169&lt;0,MAX(X$169,-W$174),0))</f>
        <v>0</v>
      </c>
      <c r="Y173" s="239">
        <f>IF(Inputs!$G$75="as generated",0,IF(Y$169&lt;0,MAX(Y$169,-X$174),0))</f>
        <v>0</v>
      </c>
      <c r="Z173" s="239">
        <f>IF(Inputs!$G$75="as generated",0,IF(Z$169&lt;0,MAX(Z$169,-Y$174),0))</f>
        <v>0</v>
      </c>
      <c r="AA173" s="239">
        <f>IF(Inputs!$G$75="as generated",0,IF(AA$169&lt;0,MAX(AA$169,-Z$174),0))</f>
        <v>0</v>
      </c>
      <c r="AB173" s="239">
        <f>IF(Inputs!$G$75="as generated",0,IF(AB$169&lt;0,MAX(AB$169,-AA$174),0))</f>
        <v>0</v>
      </c>
      <c r="AC173" s="239">
        <f>IF(Inputs!$G$75="as generated",0,IF(AC$169&lt;0,MAX(AC$169,-AB$174),0))</f>
        <v>0</v>
      </c>
      <c r="AD173" s="239">
        <f>IF(Inputs!$G$75="as generated",0,IF(AD$169&lt;0,MAX(AD$169,-AC$174),0))</f>
        <v>0</v>
      </c>
      <c r="AE173" s="239">
        <f>IF(Inputs!$G$75="as generated",0,IF(AE$169&lt;0,MAX(AE$169,-AD$174),0))</f>
        <v>0</v>
      </c>
      <c r="AF173" s="239">
        <f>IF(Inputs!$G$75="as generated",0,IF(AF$169&lt;0,MAX(AF$169,-AE$174),0))</f>
        <v>0</v>
      </c>
      <c r="AG173" s="239">
        <f>IF(Inputs!$G$75="as generated",0,IF(AG$169&lt;0,MAX(AG$169,-AF$174),0))</f>
        <v>0</v>
      </c>
      <c r="AH173" s="239">
        <f>IF(Inputs!$G$75="as generated",0,IF(AH$169&lt;0,MAX(AH$169,-AG$174),0))</f>
        <v>0</v>
      </c>
      <c r="AI173" s="239">
        <f>IF(Inputs!$G$75="as generated",0,IF(AI$169&lt;0,MAX(AI$169,-AH$174),0))</f>
        <v>0</v>
      </c>
      <c r="AJ173" s="239">
        <f>IF(Inputs!$G$75="as generated",0,IF(AJ$169&lt;0,MAX(AJ$169,-AI$174),0))</f>
        <v>0</v>
      </c>
    </row>
    <row r="174" spans="2:36" s="1" customFormat="1" x14ac:dyDescent="0.2">
      <c r="B174" s="221" t="s">
        <v>306</v>
      </c>
      <c r="C174" s="221"/>
      <c r="D174" s="221"/>
      <c r="E174" s="221"/>
      <c r="F174" s="239">
        <v>0</v>
      </c>
      <c r="G174" s="239">
        <f>SUM(G171:G173)</f>
        <v>967200</v>
      </c>
      <c r="H174" s="239">
        <f t="shared" ref="H174:AJ174" si="55">SUM(H171:H173)</f>
        <v>967200</v>
      </c>
      <c r="I174" s="239">
        <f t="shared" si="55"/>
        <v>967200</v>
      </c>
      <c r="J174" s="239">
        <f t="shared" si="55"/>
        <v>967200</v>
      </c>
      <c r="K174" s="239">
        <f t="shared" si="55"/>
        <v>967200</v>
      </c>
      <c r="L174" s="239">
        <f t="shared" si="55"/>
        <v>967200</v>
      </c>
      <c r="M174" s="239">
        <f t="shared" si="55"/>
        <v>908820.12077914109</v>
      </c>
      <c r="N174" s="239">
        <f t="shared" si="55"/>
        <v>668167.91272354708</v>
      </c>
      <c r="O174" s="239">
        <f t="shared" si="55"/>
        <v>419298.31080257182</v>
      </c>
      <c r="P174" s="239">
        <f t="shared" si="55"/>
        <v>196976.07864135967</v>
      </c>
      <c r="Q174" s="239">
        <f t="shared" si="55"/>
        <v>0</v>
      </c>
      <c r="R174" s="239">
        <f t="shared" si="55"/>
        <v>0</v>
      </c>
      <c r="S174" s="239">
        <f t="shared" si="55"/>
        <v>0</v>
      </c>
      <c r="T174" s="239">
        <f t="shared" si="55"/>
        <v>0</v>
      </c>
      <c r="U174" s="239">
        <f t="shared" si="55"/>
        <v>0</v>
      </c>
      <c r="V174" s="239">
        <f t="shared" si="55"/>
        <v>0</v>
      </c>
      <c r="W174" s="239">
        <f t="shared" si="55"/>
        <v>0</v>
      </c>
      <c r="X174" s="239">
        <f t="shared" si="55"/>
        <v>0</v>
      </c>
      <c r="Y174" s="239">
        <f t="shared" si="55"/>
        <v>0</v>
      </c>
      <c r="Z174" s="239">
        <f t="shared" si="55"/>
        <v>0</v>
      </c>
      <c r="AA174" s="239">
        <f t="shared" si="55"/>
        <v>0</v>
      </c>
      <c r="AB174" s="239">
        <f t="shared" si="55"/>
        <v>0</v>
      </c>
      <c r="AC174" s="239">
        <f t="shared" si="55"/>
        <v>0</v>
      </c>
      <c r="AD174" s="239">
        <f t="shared" si="55"/>
        <v>0</v>
      </c>
      <c r="AE174" s="239">
        <f t="shared" si="55"/>
        <v>0</v>
      </c>
      <c r="AF174" s="239">
        <f t="shared" si="55"/>
        <v>0</v>
      </c>
      <c r="AG174" s="239">
        <f t="shared" si="55"/>
        <v>0</v>
      </c>
      <c r="AH174" s="239">
        <f t="shared" si="55"/>
        <v>0</v>
      </c>
      <c r="AI174" s="239">
        <f t="shared" si="55"/>
        <v>0</v>
      </c>
      <c r="AJ174" s="239">
        <f t="shared" si="55"/>
        <v>0</v>
      </c>
    </row>
    <row r="175" spans="2:36" s="1" customFormat="1" x14ac:dyDescent="0.2">
      <c r="B175" s="221"/>
      <c r="C175" s="221"/>
      <c r="D175" s="221"/>
      <c r="E175" s="221"/>
      <c r="F175" s="221"/>
      <c r="G175" s="221"/>
      <c r="H175" s="245"/>
      <c r="I175" s="221"/>
      <c r="J175" s="221"/>
      <c r="K175" s="221"/>
      <c r="L175" s="221"/>
      <c r="M175" s="221"/>
      <c r="N175" s="221"/>
      <c r="O175" s="221"/>
      <c r="P175" s="221"/>
      <c r="Q175" s="221"/>
      <c r="R175" s="221"/>
      <c r="S175" s="221"/>
      <c r="T175" s="221"/>
      <c r="U175" s="221"/>
      <c r="V175" s="221"/>
      <c r="W175" s="221"/>
      <c r="X175" s="221"/>
      <c r="Y175" s="221"/>
      <c r="Z175" s="221"/>
      <c r="AA175" s="221"/>
      <c r="AB175" s="221"/>
      <c r="AC175" s="221"/>
      <c r="AD175" s="221"/>
      <c r="AE175" s="221"/>
      <c r="AF175" s="221"/>
      <c r="AG175" s="221"/>
      <c r="AH175" s="221"/>
      <c r="AI175" s="221"/>
      <c r="AJ175" s="221"/>
    </row>
    <row r="176" spans="2:36" s="1" customFormat="1" ht="15.75" x14ac:dyDescent="0.25">
      <c r="B176" s="220" t="s">
        <v>266</v>
      </c>
      <c r="C176" s="220"/>
      <c r="D176" s="220"/>
      <c r="E176" s="221"/>
      <c r="F176" s="221"/>
      <c r="G176" s="244"/>
      <c r="H176" s="245"/>
      <c r="I176" s="221"/>
      <c r="J176" s="221"/>
      <c r="K176" s="221"/>
      <c r="L176" s="221"/>
      <c r="M176" s="221"/>
      <c r="N176" s="221"/>
      <c r="O176" s="221"/>
      <c r="P176" s="221"/>
      <c r="Q176" s="221"/>
      <c r="R176" s="221"/>
      <c r="S176" s="221"/>
      <c r="T176" s="221"/>
      <c r="U176" s="221"/>
      <c r="V176" s="221"/>
      <c r="W176" s="221"/>
      <c r="X176" s="221"/>
      <c r="Y176" s="221"/>
      <c r="Z176" s="221"/>
      <c r="AA176" s="221"/>
      <c r="AB176" s="221"/>
      <c r="AC176" s="221"/>
      <c r="AD176" s="221"/>
      <c r="AE176" s="221"/>
      <c r="AF176" s="221"/>
      <c r="AG176" s="221"/>
      <c r="AH176" s="221"/>
      <c r="AI176" s="221"/>
      <c r="AJ176" s="221"/>
    </row>
    <row r="177" spans="2:36" s="1" customFormat="1" x14ac:dyDescent="0.2">
      <c r="B177" s="221" t="s">
        <v>263</v>
      </c>
      <c r="C177" s="221"/>
      <c r="D177" s="221"/>
      <c r="E177" s="221"/>
      <c r="F177" s="221"/>
      <c r="G177" s="298">
        <f>IF(OR(Inputs!$G$73="No",Inputs!$Q$33="Performance-Based",Inputs!$Q$33="Neither"),0,IF(G$2&lt;=Inputs!$Q$36,($C$99*(Inputs!$Q$34*(1-Inputs!$G$74))*Inputs!$Q$35)/Inputs!$Q$36,0))</f>
        <v>0</v>
      </c>
      <c r="H177" s="298">
        <f>IF(OR(Inputs!$G$73="No",Inputs!$Q$33="Performance-Based",Inputs!$Q$33="Neither"),0,IF(H$2&lt;=Inputs!$Q$36,($C$99*(Inputs!$Q$34*(1-Inputs!$G$74))*Inputs!$Q$35)/Inputs!$Q$36,0))</f>
        <v>0</v>
      </c>
      <c r="I177" s="298">
        <f>IF(OR(Inputs!$G$73="No",Inputs!$Q$33="Performance-Based",Inputs!$Q$33="Neither"),0,IF(I$2&lt;=Inputs!$Q$36,($C$99*(Inputs!$Q$34*(1-Inputs!$G$74))*Inputs!$Q$35)/Inputs!$Q$36,0))</f>
        <v>0</v>
      </c>
      <c r="J177" s="298">
        <f>IF(OR(Inputs!$G$73="No",Inputs!$Q$33="Performance-Based",Inputs!$Q$33="Neither"),0,IF(J$2&lt;=Inputs!$Q$36,($C$99*(Inputs!$Q$34*(1-Inputs!$G$74))*Inputs!$Q$35)/Inputs!$Q$36,0))</f>
        <v>0</v>
      </c>
      <c r="K177" s="298">
        <f>IF(OR(Inputs!$G$73="No",Inputs!$Q$33="Performance-Based",Inputs!$Q$33="Neither"),0,IF(K$2&lt;=Inputs!$Q$36,($C$99*(Inputs!$Q$34*(1-Inputs!$G$74))*Inputs!$Q$35)/Inputs!$Q$36,0))</f>
        <v>0</v>
      </c>
      <c r="L177" s="298">
        <f>IF(OR(Inputs!$G$73="No",Inputs!$Q$33="Performance-Based",Inputs!$Q$33="Neither"),0,IF(L$2&lt;=Inputs!$Q$36,($C$99*(Inputs!$Q$34*(1-Inputs!$G$74))*Inputs!$Q$35)/Inputs!$Q$36,0))</f>
        <v>0</v>
      </c>
      <c r="M177" s="298">
        <f>IF(OR(Inputs!$G$73="No",Inputs!$Q$33="Performance-Based",Inputs!$Q$33="Neither"),0,IF(M$2&lt;=Inputs!$Q$36,($C$99*(Inputs!$Q$34*(1-Inputs!$G$74))*Inputs!$Q$35)/Inputs!$Q$36,0))</f>
        <v>0</v>
      </c>
      <c r="N177" s="298">
        <f>IF(OR(Inputs!$G$73="No",Inputs!$Q$33="Performance-Based",Inputs!$Q$33="Neither"),0,IF(N$2&lt;=Inputs!$Q$36,($C$99*(Inputs!$Q$34*(1-Inputs!$G$74))*Inputs!$Q$35)/Inputs!$Q$36,0))</f>
        <v>0</v>
      </c>
      <c r="O177" s="298">
        <f>IF(OR(Inputs!$G$73="No",Inputs!$Q$33="Performance-Based",Inputs!$Q$33="Neither"),0,IF(O$2&lt;=Inputs!$Q$36,($C$99*(Inputs!$Q$34*(1-Inputs!$G$74))*Inputs!$Q$35)/Inputs!$Q$36,0))</f>
        <v>0</v>
      </c>
      <c r="P177" s="298">
        <f>IF(OR(Inputs!$G$73="No",Inputs!$Q$33="Performance-Based",Inputs!$Q$33="Neither"),0,IF(P$2&lt;=Inputs!$Q$36,($C$99*(Inputs!$Q$34*(1-Inputs!$G$74))*Inputs!$Q$35)/Inputs!$Q$36,0))</f>
        <v>0</v>
      </c>
      <c r="Q177" s="298">
        <f>IF(OR(Inputs!$G$73="No",Inputs!$Q$33="Performance-Based",Inputs!$Q$33="Neither"),0,IF(Q$2&lt;=Inputs!$Q$36,($C$99*(Inputs!$Q$34*(1-Inputs!$G$74))*Inputs!$Q$35)/Inputs!$Q$36,0))</f>
        <v>0</v>
      </c>
      <c r="R177" s="298">
        <f>IF(OR(Inputs!$G$73="No",Inputs!$Q$33="Performance-Based",Inputs!$Q$33="Neither"),0,IF(R$2&lt;=Inputs!$Q$36,($C$99*(Inputs!$Q$34*(1-Inputs!$G$74))*Inputs!$Q$35)/Inputs!$Q$36,0))</f>
        <v>0</v>
      </c>
      <c r="S177" s="298">
        <f>IF(OR(Inputs!$G$73="No",Inputs!$Q$33="Performance-Based",Inputs!$Q$33="Neither"),0,IF(S$2&lt;=Inputs!$Q$36,($C$99*(Inputs!$Q$34*(1-Inputs!$G$74))*Inputs!$Q$35)/Inputs!$Q$36,0))</f>
        <v>0</v>
      </c>
      <c r="T177" s="298">
        <f>IF(OR(Inputs!$G$73="No",Inputs!$Q$33="Performance-Based",Inputs!$Q$33="Neither"),0,IF(T$2&lt;=Inputs!$Q$36,($C$99*(Inputs!$Q$34*(1-Inputs!$G$74))*Inputs!$Q$35)/Inputs!$Q$36,0))</f>
        <v>0</v>
      </c>
      <c r="U177" s="298">
        <f>IF(OR(Inputs!$G$73="No",Inputs!$Q$33="Performance-Based",Inputs!$Q$33="Neither"),0,IF(U$2&lt;=Inputs!$Q$36,($C$99*(Inputs!$Q$34*(1-Inputs!$G$74))*Inputs!$Q$35)/Inputs!$Q$36,0))</f>
        <v>0</v>
      </c>
      <c r="V177" s="298">
        <f>IF(OR(Inputs!$G$73="No",Inputs!$Q$33="Performance-Based",Inputs!$Q$33="Neither"),0,IF(V$2&lt;=Inputs!$Q$36,($C$99*(Inputs!$Q$34*(1-Inputs!$G$74))*Inputs!$Q$35)/Inputs!$Q$36,0))</f>
        <v>0</v>
      </c>
      <c r="W177" s="298">
        <f>IF(OR(Inputs!$G$73="No",Inputs!$Q$33="Performance-Based",Inputs!$Q$33="Neither"),0,IF(W$2&lt;=Inputs!$Q$36,($C$99*(Inputs!$Q$34*(1-Inputs!$G$74))*Inputs!$Q$35)/Inputs!$Q$36,0))</f>
        <v>0</v>
      </c>
      <c r="X177" s="298">
        <f>IF(OR(Inputs!$G$73="No",Inputs!$Q$33="Performance-Based",Inputs!$Q$33="Neither"),0,IF(X$2&lt;=Inputs!$Q$36,($C$99*(Inputs!$Q$34*(1-Inputs!$G$74))*Inputs!$Q$35)/Inputs!$Q$36,0))</f>
        <v>0</v>
      </c>
      <c r="Y177" s="298">
        <f>IF(OR(Inputs!$G$73="No",Inputs!$Q$33="Performance-Based",Inputs!$Q$33="Neither"),0,IF(Y$2&lt;=Inputs!$Q$36,($C$99*(Inputs!$Q$34*(1-Inputs!$G$74))*Inputs!$Q$35)/Inputs!$Q$36,0))</f>
        <v>0</v>
      </c>
      <c r="Z177" s="298">
        <f>IF(OR(Inputs!$G$73="No",Inputs!$Q$33="Performance-Based",Inputs!$Q$33="Neither"),0,IF(Z$2&lt;=Inputs!$Q$36,($C$99*(Inputs!$Q$34*(1-Inputs!$G$74))*Inputs!$Q$35)/Inputs!$Q$36,0))</f>
        <v>0</v>
      </c>
      <c r="AA177" s="298">
        <f>IF(OR(Inputs!$G$73="No",Inputs!$Q$33="Performance-Based",Inputs!$Q$33="Neither"),0,IF(AA$2&lt;=Inputs!$Q$36,($C$99*(Inputs!$Q$34*(1-Inputs!$G$74))*Inputs!$Q$35)/Inputs!$Q$36,0))</f>
        <v>0</v>
      </c>
      <c r="AB177" s="298">
        <f>IF(OR(Inputs!$G$73="No",Inputs!$Q$33="Performance-Based",Inputs!$Q$33="Neither"),0,IF(AB$2&lt;=Inputs!$Q$36,($C$99*(Inputs!$Q$34*(1-Inputs!$G$74))*Inputs!$Q$35)/Inputs!$Q$36,0))</f>
        <v>0</v>
      </c>
      <c r="AC177" s="298">
        <f>IF(OR(Inputs!$G$73="No",Inputs!$Q$33="Performance-Based",Inputs!$Q$33="Neither"),0,IF(AC$2&lt;=Inputs!$Q$36,($C$99*(Inputs!$Q$34*(1-Inputs!$G$74))*Inputs!$Q$35)/Inputs!$Q$36,0))</f>
        <v>0</v>
      </c>
      <c r="AD177" s="298">
        <f>IF(OR(Inputs!$G$73="No",Inputs!$Q$33="Performance-Based",Inputs!$Q$33="Neither"),0,IF(AD$2&lt;=Inputs!$Q$36,($C$99*(Inputs!$Q$34*(1-Inputs!$G$74))*Inputs!$Q$35)/Inputs!$Q$36,0))</f>
        <v>0</v>
      </c>
      <c r="AE177" s="298">
        <f>IF(OR(Inputs!$G$73="No",Inputs!$Q$33="Performance-Based",Inputs!$Q$33="Neither"),0,IF(AE$2&lt;=Inputs!$Q$36,($C$99*(Inputs!$Q$34*(1-Inputs!$G$74))*Inputs!$Q$35)/Inputs!$Q$36,0))</f>
        <v>0</v>
      </c>
      <c r="AF177" s="298">
        <f>IF(OR(Inputs!$G$73="No",Inputs!$Q$33="Performance-Based",Inputs!$Q$33="Neither"),0,IF(AF$2&lt;=Inputs!$Q$36,($C$99*(Inputs!$Q$34*(1-Inputs!$G$74))*Inputs!$Q$35)/Inputs!$Q$36,0))</f>
        <v>0</v>
      </c>
      <c r="AG177" s="298">
        <f>IF(OR(Inputs!$G$73="No",Inputs!$Q$33="Performance-Based",Inputs!$Q$33="Neither"),0,IF(AG$2&lt;=Inputs!$Q$36,($C$99*(Inputs!$Q$34*(1-Inputs!$G$74))*Inputs!$Q$35)/Inputs!$Q$36,0))</f>
        <v>0</v>
      </c>
      <c r="AH177" s="298">
        <f>IF(OR(Inputs!$G$73="No",Inputs!$Q$33="Performance-Based",Inputs!$Q$33="Neither"),0,IF(AH$2&lt;=Inputs!$Q$36,($C$99*(Inputs!$Q$34*(1-Inputs!$G$74))*Inputs!$Q$35)/Inputs!$Q$36,0))</f>
        <v>0</v>
      </c>
      <c r="AI177" s="298">
        <f>IF(OR(Inputs!$G$73="No",Inputs!$Q$33="Performance-Based",Inputs!$Q$33="Neither"),0,IF(AI$2&lt;=Inputs!$Q$36,($C$99*(Inputs!$Q$34*(1-Inputs!$G$74))*Inputs!$Q$35)/Inputs!$Q$36,0))</f>
        <v>0</v>
      </c>
      <c r="AJ177" s="298">
        <f>IF(OR(Inputs!$G$73="No",Inputs!$Q$33="Performance-Based",Inputs!$Q$33="Neither"),0,IF(AJ$2&lt;=Inputs!$Q$36,($C$99*(Inputs!$Q$34*(1-Inputs!$G$74))*Inputs!$Q$35)/Inputs!$Q$36,0))</f>
        <v>0</v>
      </c>
    </row>
    <row r="178" spans="2:36" s="1" customFormat="1" x14ac:dyDescent="0.2">
      <c r="B178" s="221" t="s">
        <v>221</v>
      </c>
      <c r="C178" s="221"/>
      <c r="D178" s="221"/>
      <c r="E178" s="221"/>
      <c r="F178" s="221"/>
      <c r="G178" s="239">
        <f>IF(OR(Inputs!$G$73="No",Inputs!$Q$33="Cost-Based",Inputs!$Q$33="Neither"),0,IF(Inputs!$Q$38="Tax Credit",IF(G$2&gt;Inputs!$Q$43,0,IF(Inputs!$Q$39=0,Inputs!$Q$41/100*G$10*Inputs!$Q$42*G$5,MIN(Inputs!$Q$39,Inputs!$Q$41/100*G$10*Inputs!$Q$42*G$5))),0))</f>
        <v>0</v>
      </c>
      <c r="H178" s="239">
        <f>IF(OR(Inputs!$G$73="No",Inputs!$Q$33="Cost-Based",Inputs!$Q$33="Neither"),0,IF(Inputs!$Q$38="Tax Credit",IF(H$2&gt;Inputs!$Q$43,0,IF(Inputs!$Q$39=0,Inputs!$Q$41/100*H$10*Inputs!$Q$42*H$5,MIN(Inputs!$Q$39,Inputs!$Q$41/100*H$10*Inputs!$Q$42*H$5))),0))</f>
        <v>0</v>
      </c>
      <c r="I178" s="239">
        <f>IF(OR(Inputs!$G$73="No",Inputs!$Q$33="Cost-Based",Inputs!$Q$33="Neither"),0,IF(Inputs!$Q$38="Tax Credit",IF(I$2&gt;Inputs!$Q$43,0,IF(Inputs!$Q$39=0,Inputs!$Q$41/100*I$10*Inputs!$Q$42*I$5,MIN(Inputs!$Q$39,Inputs!$Q$41/100*I$10*Inputs!$Q$42*I$5))),0))</f>
        <v>0</v>
      </c>
      <c r="J178" s="239">
        <f>IF(OR(Inputs!$G$73="No",Inputs!$Q$33="Cost-Based",Inputs!$Q$33="Neither"),0,IF(Inputs!$Q$38="Tax Credit",IF(J$2&gt;Inputs!$Q$43,0,IF(Inputs!$Q$39=0,Inputs!$Q$41/100*J$10*Inputs!$Q$42*J$5,MIN(Inputs!$Q$39,Inputs!$Q$41/100*J$10*Inputs!$Q$42*J$5))),0))</f>
        <v>0</v>
      </c>
      <c r="K178" s="239">
        <f>IF(OR(Inputs!$G$73="No",Inputs!$Q$33="Cost-Based",Inputs!$Q$33="Neither"),0,IF(Inputs!$Q$38="Tax Credit",IF(K$2&gt;Inputs!$Q$43,0,IF(Inputs!$Q$39=0,Inputs!$Q$41/100*K$10*Inputs!$Q$42*K$5,MIN(Inputs!$Q$39,Inputs!$Q$41/100*K$10*Inputs!$Q$42*K$5))),0))</f>
        <v>0</v>
      </c>
      <c r="L178" s="239">
        <f>IF(OR(Inputs!$G$73="No",Inputs!$Q$33="Cost-Based",Inputs!$Q$33="Neither"),0,IF(Inputs!$Q$38="Tax Credit",IF(L$2&gt;Inputs!$Q$43,0,IF(Inputs!$Q$39=0,Inputs!$Q$41/100*L$10*Inputs!$Q$42*L$5,MIN(Inputs!$Q$39,Inputs!$Q$41/100*L$10*Inputs!$Q$42*L$5))),0))</f>
        <v>0</v>
      </c>
      <c r="M178" s="239">
        <f>IF(OR(Inputs!$G$73="No",Inputs!$Q$33="Cost-Based",Inputs!$Q$33="Neither"),0,IF(Inputs!$Q$38="Tax Credit",IF(M$2&gt;Inputs!$Q$43,0,IF(Inputs!$Q$39=0,Inputs!$Q$41/100*M$10*Inputs!$Q$42*M$5,MIN(Inputs!$Q$39,Inputs!$Q$41/100*M$10*Inputs!$Q$42*M$5))),0))</f>
        <v>0</v>
      </c>
      <c r="N178" s="239">
        <f>IF(OR(Inputs!$G$73="No",Inputs!$Q$33="Cost-Based",Inputs!$Q$33="Neither"),0,IF(Inputs!$Q$38="Tax Credit",IF(N$2&gt;Inputs!$Q$43,0,IF(Inputs!$Q$39=0,Inputs!$Q$41/100*N$10*Inputs!$Q$42*N$5,MIN(Inputs!$Q$39,Inputs!$Q$41/100*N$10*Inputs!$Q$42*N$5))),0))</f>
        <v>0</v>
      </c>
      <c r="O178" s="239">
        <f>IF(OR(Inputs!$G$73="No",Inputs!$Q$33="Cost-Based",Inputs!$Q$33="Neither"),0,IF(Inputs!$Q$38="Tax Credit",IF(O$2&gt;Inputs!$Q$43,0,IF(Inputs!$Q$39=0,Inputs!$Q$41/100*O$10*Inputs!$Q$42*O$5,MIN(Inputs!$Q$39,Inputs!$Q$41/100*O$10*Inputs!$Q$42*O$5))),0))</f>
        <v>0</v>
      </c>
      <c r="P178" s="239">
        <f>IF(OR(Inputs!$G$73="No",Inputs!$Q$33="Cost-Based",Inputs!$Q$33="Neither"),0,IF(Inputs!$Q$38="Tax Credit",IF(P$2&gt;Inputs!$Q$43,0,IF(Inputs!$Q$39=0,Inputs!$Q$41/100*P$10*Inputs!$Q$42*P$5,MIN(Inputs!$Q$39,Inputs!$Q$41/100*P$10*Inputs!$Q$42*P$5))),0))</f>
        <v>0</v>
      </c>
      <c r="Q178" s="239">
        <f>IF(OR(Inputs!$G$73="No",Inputs!$Q$33="Cost-Based",Inputs!$Q$33="Neither"),0,IF(Inputs!$Q$38="Tax Credit",IF(Q$2&gt;Inputs!$Q$43,0,IF(Inputs!$Q$39=0,Inputs!$Q$41/100*Q$10*Inputs!$Q$42*Q$5,MIN(Inputs!$Q$39,Inputs!$Q$41/100*Q$10*Inputs!$Q$42*Q$5))),0))</f>
        <v>0</v>
      </c>
      <c r="R178" s="239">
        <f>IF(OR(Inputs!$G$73="No",Inputs!$Q$33="Cost-Based",Inputs!$Q$33="Neither"),0,IF(Inputs!$Q$38="Tax Credit",IF(R$2&gt;Inputs!$Q$43,0,IF(Inputs!$Q$39=0,Inputs!$Q$41/100*R$10*Inputs!$Q$42*R$5,MIN(Inputs!$Q$39,Inputs!$Q$41/100*R$10*Inputs!$Q$42*R$5))),0))</f>
        <v>0</v>
      </c>
      <c r="S178" s="239">
        <f>IF(OR(Inputs!$G$73="No",Inputs!$Q$33="Cost-Based",Inputs!$Q$33="Neither"),0,IF(Inputs!$Q$38="Tax Credit",IF(S$2&gt;Inputs!$Q$43,0,IF(Inputs!$Q$39=0,Inputs!$Q$41/100*S$10*Inputs!$Q$42*S$5,MIN(Inputs!$Q$39,Inputs!$Q$41/100*S$10*Inputs!$Q$42*S$5))),0))</f>
        <v>0</v>
      </c>
      <c r="T178" s="239">
        <f>IF(OR(Inputs!$G$73="No",Inputs!$Q$33="Cost-Based",Inputs!$Q$33="Neither"),0,IF(Inputs!$Q$38="Tax Credit",IF(T$2&gt;Inputs!$Q$43,0,IF(Inputs!$Q$39=0,Inputs!$Q$41/100*T$10*Inputs!$Q$42*T$5,MIN(Inputs!$Q$39,Inputs!$Q$41/100*T$10*Inputs!$Q$42*T$5))),0))</f>
        <v>0</v>
      </c>
      <c r="U178" s="239">
        <f>IF(OR(Inputs!$G$73="No",Inputs!$Q$33="Cost-Based",Inputs!$Q$33="Neither"),0,IF(Inputs!$Q$38="Tax Credit",IF(U$2&gt;Inputs!$Q$43,0,IF(Inputs!$Q$39=0,Inputs!$Q$41/100*U$10*Inputs!$Q$42*U$5,MIN(Inputs!$Q$39,Inputs!$Q$41/100*U$10*Inputs!$Q$42*U$5))),0))</f>
        <v>0</v>
      </c>
      <c r="V178" s="239">
        <f>IF(OR(Inputs!$G$73="No",Inputs!$Q$33="Cost-Based",Inputs!$Q$33="Neither"),0,IF(Inputs!$Q$38="Tax Credit",IF(V$2&gt;Inputs!$Q$43,0,IF(Inputs!$Q$39=0,Inputs!$Q$41/100*V$10*Inputs!$Q$42*V$5,MIN(Inputs!$Q$39,Inputs!$Q$41/100*V$10*Inputs!$Q$42*V$5))),0))</f>
        <v>0</v>
      </c>
      <c r="W178" s="239">
        <f>IF(OR(Inputs!$G$73="No",Inputs!$Q$33="Cost-Based",Inputs!$Q$33="Neither"),0,IF(Inputs!$Q$38="Tax Credit",IF(W$2&gt;Inputs!$Q$43,0,IF(Inputs!$Q$39=0,Inputs!$Q$41/100*W$10*Inputs!$Q$42*W$5,MIN(Inputs!$Q$39,Inputs!$Q$41/100*W$10*Inputs!$Q$42*W$5))),0))</f>
        <v>0</v>
      </c>
      <c r="X178" s="239">
        <f>IF(OR(Inputs!$G$73="No",Inputs!$Q$33="Cost-Based",Inputs!$Q$33="Neither"),0,IF(Inputs!$Q$38="Tax Credit",IF(X$2&gt;Inputs!$Q$43,0,IF(Inputs!$Q$39=0,Inputs!$Q$41/100*X$10*Inputs!$Q$42*X$5,MIN(Inputs!$Q$39,Inputs!$Q$41/100*X$10*Inputs!$Q$42*X$5))),0))</f>
        <v>0</v>
      </c>
      <c r="Y178" s="239">
        <f>IF(OR(Inputs!$G$73="No",Inputs!$Q$33="Cost-Based",Inputs!$Q$33="Neither"),0,IF(Inputs!$Q$38="Tax Credit",IF(Y$2&gt;Inputs!$Q$43,0,IF(Inputs!$Q$39=0,Inputs!$Q$41/100*Y$10*Inputs!$Q$42*Y$5,MIN(Inputs!$Q$39,Inputs!$Q$41/100*Y$10*Inputs!$Q$42*Y$5))),0))</f>
        <v>0</v>
      </c>
      <c r="Z178" s="239">
        <f>IF(OR(Inputs!$G$73="No",Inputs!$Q$33="Cost-Based",Inputs!$Q$33="Neither"),0,IF(Inputs!$Q$38="Tax Credit",IF(Z$2&gt;Inputs!$Q$43,0,IF(Inputs!$Q$39=0,Inputs!$Q$41/100*Z$10*Inputs!$Q$42*Z$5,MIN(Inputs!$Q$39,Inputs!$Q$41/100*Z$10*Inputs!$Q$42*Z$5))),0))</f>
        <v>0</v>
      </c>
      <c r="AA178" s="239">
        <f>IF(OR(Inputs!$G$73="No",Inputs!$Q$33="Cost-Based",Inputs!$Q$33="Neither"),0,IF(Inputs!$Q$38="Tax Credit",IF(AA$2&gt;Inputs!$Q$43,0,IF(Inputs!$Q$39=0,Inputs!$Q$41/100*AA$10*Inputs!$Q$42*AA$5,MIN(Inputs!$Q$39,Inputs!$Q$41/100*AA$10*Inputs!$Q$42*AA$5))),0))</f>
        <v>0</v>
      </c>
      <c r="AB178" s="239">
        <f>IF(OR(Inputs!$G$73="No",Inputs!$Q$33="Cost-Based",Inputs!$Q$33="Neither"),0,IF(Inputs!$Q$38="Tax Credit",IF(AB$2&gt;Inputs!$Q$43,0,IF(Inputs!$Q$39=0,Inputs!$Q$41/100*AB$10*Inputs!$Q$42*AB$5,MIN(Inputs!$Q$39,Inputs!$Q$41/100*AB$10*Inputs!$Q$42*AB$5))),0))</f>
        <v>0</v>
      </c>
      <c r="AC178" s="239">
        <f>IF(OR(Inputs!$G$73="No",Inputs!$Q$33="Cost-Based",Inputs!$Q$33="Neither"),0,IF(Inputs!$Q$38="Tax Credit",IF(AC$2&gt;Inputs!$Q$43,0,IF(Inputs!$Q$39=0,Inputs!$Q$41/100*AC$10*Inputs!$Q$42*AC$5,MIN(Inputs!$Q$39,Inputs!$Q$41/100*AC$10*Inputs!$Q$42*AC$5))),0))</f>
        <v>0</v>
      </c>
      <c r="AD178" s="239">
        <f>IF(OR(Inputs!$G$73="No",Inputs!$Q$33="Cost-Based",Inputs!$Q$33="Neither"),0,IF(Inputs!$Q$38="Tax Credit",IF(AD$2&gt;Inputs!$Q$43,0,IF(Inputs!$Q$39=0,Inputs!$Q$41/100*AD$10*Inputs!$Q$42*AD$5,MIN(Inputs!$Q$39,Inputs!$Q$41/100*AD$10*Inputs!$Q$42*AD$5))),0))</f>
        <v>0</v>
      </c>
      <c r="AE178" s="239">
        <f>IF(OR(Inputs!$G$73="No",Inputs!$Q$33="Cost-Based",Inputs!$Q$33="Neither"),0,IF(Inputs!$Q$38="Tax Credit",IF(AE$2&gt;Inputs!$Q$43,0,IF(Inputs!$Q$39=0,Inputs!$Q$41/100*AE$10*Inputs!$Q$42*AE$5,MIN(Inputs!$Q$39,Inputs!$Q$41/100*AE$10*Inputs!$Q$42*AE$5))),0))</f>
        <v>0</v>
      </c>
      <c r="AF178" s="239">
        <f>IF(OR(Inputs!$G$73="No",Inputs!$Q$33="Cost-Based",Inputs!$Q$33="Neither"),0,IF(Inputs!$Q$38="Tax Credit",IF(AF$2&gt;Inputs!$Q$43,0,IF(Inputs!$Q$39=0,Inputs!$Q$41/100*AF$10*Inputs!$Q$42*AF$5,MIN(Inputs!$Q$39,Inputs!$Q$41/100*AF$10*Inputs!$Q$42*AF$5))),0))</f>
        <v>0</v>
      </c>
      <c r="AG178" s="239">
        <f>IF(OR(Inputs!$G$73="No",Inputs!$Q$33="Cost-Based",Inputs!$Q$33="Neither"),0,IF(Inputs!$Q$38="Tax Credit",IF(AG$2&gt;Inputs!$Q$43,0,IF(Inputs!$Q$39=0,Inputs!$Q$41/100*AG$10*Inputs!$Q$42*AG$5,MIN(Inputs!$Q$39,Inputs!$Q$41/100*AG$10*Inputs!$Q$42*AG$5))),0))</f>
        <v>0</v>
      </c>
      <c r="AH178" s="239">
        <f>IF(OR(Inputs!$G$73="No",Inputs!$Q$33="Cost-Based",Inputs!$Q$33="Neither"),0,IF(Inputs!$Q$38="Tax Credit",IF(AH$2&gt;Inputs!$Q$43,0,IF(Inputs!$Q$39=0,Inputs!$Q$41/100*AH$10*Inputs!$Q$42*AH$5,MIN(Inputs!$Q$39,Inputs!$Q$41/100*AH$10*Inputs!$Q$42*AH$5))),0))</f>
        <v>0</v>
      </c>
      <c r="AI178" s="239">
        <f>IF(OR(Inputs!$G$73="No",Inputs!$Q$33="Cost-Based",Inputs!$Q$33="Neither"),0,IF(Inputs!$Q$38="Tax Credit",IF(AI$2&gt;Inputs!$Q$43,0,IF(Inputs!$Q$39=0,Inputs!$Q$41/100*AI$10*Inputs!$Q$42*AI$5,MIN(Inputs!$Q$39,Inputs!$Q$41/100*AI$10*Inputs!$Q$42*AI$5))),0))</f>
        <v>0</v>
      </c>
      <c r="AJ178" s="239">
        <f>IF(OR(Inputs!$G$73="No",Inputs!$Q$33="Cost-Based",Inputs!$Q$33="Neither"),0,IF(Inputs!$Q$38="Tax Credit",IF(AJ$2&gt;Inputs!$Q$43,0,IF(Inputs!$Q$39=0,Inputs!$Q$41/100*AJ$10*Inputs!$Q$42*AJ$5,MIN(Inputs!$Q$39,Inputs!$Q$41/100*AJ$10*Inputs!$Q$42*AJ$5))),0))</f>
        <v>0</v>
      </c>
    </row>
    <row r="179" spans="2:36" s="1" customFormat="1" ht="15.75" x14ac:dyDescent="0.25">
      <c r="B179" s="221"/>
      <c r="C179" s="221"/>
      <c r="D179" s="221"/>
      <c r="E179" s="221"/>
      <c r="F179" s="221"/>
      <c r="G179" s="244"/>
      <c r="H179" s="245"/>
      <c r="I179" s="221"/>
      <c r="J179" s="221"/>
      <c r="K179" s="221"/>
      <c r="L179" s="221"/>
      <c r="M179" s="221"/>
      <c r="N179" s="221"/>
      <c r="O179" s="221"/>
      <c r="P179" s="221"/>
      <c r="Q179" s="221"/>
      <c r="R179" s="221"/>
      <c r="S179" s="221"/>
      <c r="T179" s="221"/>
      <c r="U179" s="221"/>
      <c r="V179" s="221"/>
      <c r="W179" s="221"/>
      <c r="X179" s="221"/>
      <c r="Y179" s="221"/>
      <c r="Z179" s="221"/>
      <c r="AA179" s="221"/>
      <c r="AB179" s="221"/>
      <c r="AC179" s="221"/>
      <c r="AD179" s="221"/>
      <c r="AE179" s="221"/>
      <c r="AF179" s="221"/>
      <c r="AG179" s="221"/>
      <c r="AH179" s="221"/>
      <c r="AI179" s="221"/>
      <c r="AJ179" s="221"/>
    </row>
    <row r="180" spans="2:36" s="1" customFormat="1" x14ac:dyDescent="0.2">
      <c r="B180" s="221" t="s">
        <v>264</v>
      </c>
      <c r="C180" s="221"/>
      <c r="D180" s="221"/>
      <c r="E180" s="221"/>
      <c r="F180" s="221"/>
      <c r="G180" s="239">
        <f>SUM(G177:G178)</f>
        <v>0</v>
      </c>
      <c r="H180" s="239">
        <f t="shared" ref="H180:AJ180" si="56">SUM(H177:H178)</f>
        <v>0</v>
      </c>
      <c r="I180" s="239">
        <f t="shared" si="56"/>
        <v>0</v>
      </c>
      <c r="J180" s="239">
        <f t="shared" si="56"/>
        <v>0</v>
      </c>
      <c r="K180" s="239">
        <f t="shared" si="56"/>
        <v>0</v>
      </c>
      <c r="L180" s="239">
        <f t="shared" si="56"/>
        <v>0</v>
      </c>
      <c r="M180" s="239">
        <f t="shared" si="56"/>
        <v>0</v>
      </c>
      <c r="N180" s="239">
        <f t="shared" si="56"/>
        <v>0</v>
      </c>
      <c r="O180" s="239">
        <f t="shared" si="56"/>
        <v>0</v>
      </c>
      <c r="P180" s="239">
        <f t="shared" si="56"/>
        <v>0</v>
      </c>
      <c r="Q180" s="239">
        <f t="shared" si="56"/>
        <v>0</v>
      </c>
      <c r="R180" s="239">
        <f t="shared" si="56"/>
        <v>0</v>
      </c>
      <c r="S180" s="239">
        <f t="shared" si="56"/>
        <v>0</v>
      </c>
      <c r="T180" s="239">
        <f t="shared" si="56"/>
        <v>0</v>
      </c>
      <c r="U180" s="239">
        <f t="shared" si="56"/>
        <v>0</v>
      </c>
      <c r="V180" s="239">
        <f t="shared" si="56"/>
        <v>0</v>
      </c>
      <c r="W180" s="239">
        <f t="shared" si="56"/>
        <v>0</v>
      </c>
      <c r="X180" s="239">
        <f t="shared" si="56"/>
        <v>0</v>
      </c>
      <c r="Y180" s="239">
        <f t="shared" si="56"/>
        <v>0</v>
      </c>
      <c r="Z180" s="239">
        <f t="shared" si="56"/>
        <v>0</v>
      </c>
      <c r="AA180" s="239">
        <f t="shared" si="56"/>
        <v>0</v>
      </c>
      <c r="AB180" s="239">
        <f t="shared" si="56"/>
        <v>0</v>
      </c>
      <c r="AC180" s="239">
        <f t="shared" si="56"/>
        <v>0</v>
      </c>
      <c r="AD180" s="239">
        <f t="shared" si="56"/>
        <v>0</v>
      </c>
      <c r="AE180" s="239">
        <f t="shared" si="56"/>
        <v>0</v>
      </c>
      <c r="AF180" s="239">
        <f t="shared" si="56"/>
        <v>0</v>
      </c>
      <c r="AG180" s="239">
        <f t="shared" si="56"/>
        <v>0</v>
      </c>
      <c r="AH180" s="239">
        <f t="shared" si="56"/>
        <v>0</v>
      </c>
      <c r="AI180" s="239">
        <f t="shared" si="56"/>
        <v>0</v>
      </c>
      <c r="AJ180" s="239">
        <f t="shared" si="56"/>
        <v>0</v>
      </c>
    </row>
    <row r="181" spans="2:36" s="1" customFormat="1" x14ac:dyDescent="0.2">
      <c r="B181" s="221"/>
      <c r="C181" s="221"/>
      <c r="D181" s="221"/>
      <c r="E181" s="221"/>
      <c r="F181" s="221"/>
      <c r="G181" s="239"/>
      <c r="H181" s="239"/>
      <c r="I181" s="239"/>
      <c r="J181" s="239"/>
      <c r="K181" s="239"/>
      <c r="L181" s="239"/>
      <c r="M181" s="239"/>
      <c r="N181" s="239"/>
      <c r="O181" s="239"/>
      <c r="P181" s="239"/>
      <c r="Q181" s="239"/>
      <c r="R181" s="239"/>
      <c r="S181" s="239"/>
      <c r="T181" s="239"/>
      <c r="U181" s="239"/>
      <c r="V181" s="239"/>
      <c r="W181" s="239"/>
      <c r="X181" s="239"/>
      <c r="Y181" s="239"/>
      <c r="Z181" s="239"/>
      <c r="AA181" s="239"/>
      <c r="AB181" s="239"/>
      <c r="AC181" s="239"/>
      <c r="AD181" s="239"/>
      <c r="AE181" s="239"/>
      <c r="AF181" s="239"/>
      <c r="AG181" s="239"/>
      <c r="AH181" s="239"/>
      <c r="AI181" s="239"/>
      <c r="AJ181" s="239"/>
    </row>
    <row r="182" spans="2:36" s="1" customFormat="1" x14ac:dyDescent="0.2">
      <c r="B182" s="299" t="s">
        <v>265</v>
      </c>
      <c r="C182" s="299"/>
      <c r="D182" s="299"/>
      <c r="E182" s="221"/>
      <c r="F182" s="221"/>
      <c r="G182" s="239"/>
      <c r="H182" s="239"/>
      <c r="I182" s="239"/>
      <c r="J182" s="239"/>
      <c r="K182" s="239"/>
      <c r="L182" s="239"/>
      <c r="M182" s="239"/>
      <c r="N182" s="239"/>
      <c r="O182" s="239"/>
      <c r="P182" s="239"/>
      <c r="Q182" s="239"/>
      <c r="R182" s="239"/>
      <c r="S182" s="239"/>
      <c r="T182" s="239"/>
      <c r="U182" s="239"/>
      <c r="V182" s="239"/>
      <c r="W182" s="239"/>
      <c r="X182" s="239"/>
      <c r="Y182" s="239"/>
      <c r="Z182" s="239"/>
      <c r="AA182" s="239"/>
      <c r="AB182" s="239"/>
      <c r="AC182" s="239"/>
      <c r="AD182" s="239"/>
      <c r="AE182" s="239"/>
      <c r="AF182" s="239"/>
      <c r="AG182" s="239"/>
      <c r="AH182" s="239"/>
      <c r="AI182" s="239"/>
      <c r="AJ182" s="239"/>
    </row>
    <row r="183" spans="2:36" s="1" customFormat="1" x14ac:dyDescent="0.2">
      <c r="B183" s="221" t="str">
        <f>B64</f>
        <v>State Income Taxes Saved / (Paid), before ITC/PTC</v>
      </c>
      <c r="C183" s="221"/>
      <c r="D183" s="221"/>
      <c r="E183" s="221"/>
      <c r="F183" s="221"/>
      <c r="G183" s="239">
        <f>IF(Inputs!$G$77="as generated","N/A",'Cash Flow'!G64)</f>
        <v>0</v>
      </c>
      <c r="H183" s="239">
        <f>IF(Inputs!$G$77="as generated","N/A",'Cash Flow'!H64)</f>
        <v>0</v>
      </c>
      <c r="I183" s="239">
        <f>IF(Inputs!$G$77="as generated","N/A",'Cash Flow'!I64)</f>
        <v>0</v>
      </c>
      <c r="J183" s="239">
        <f>IF(Inputs!$G$77="as generated","N/A",'Cash Flow'!J64)</f>
        <v>0</v>
      </c>
      <c r="K183" s="239">
        <f>IF(Inputs!$G$77="as generated","N/A",'Cash Flow'!K64)</f>
        <v>0</v>
      </c>
      <c r="L183" s="239">
        <f>IF(Inputs!$G$77="as generated","N/A",'Cash Flow'!L64)</f>
        <v>0</v>
      </c>
      <c r="M183" s="239">
        <f>IF(Inputs!$G$77="as generated","N/A",'Cash Flow'!M64)</f>
        <v>-15495.049910298239</v>
      </c>
      <c r="N183" s="239">
        <f>IF(Inputs!$G$77="as generated","N/A",'Cash Flow'!N64)</f>
        <v>-63873.341716551105</v>
      </c>
      <c r="O183" s="239">
        <f>IF(Inputs!$G$77="as generated","N/A",'Cash Flow'!O64)</f>
        <v>-66054.383023521921</v>
      </c>
      <c r="P183" s="239">
        <f>IF(Inputs!$G$77="as generated","N/A",'Cash Flow'!P64)</f>
        <v>-59008.242728190591</v>
      </c>
      <c r="Q183" s="239">
        <f>IF(Inputs!$G$77="as generated","N/A",'Cash Flow'!Q64)</f>
        <v>-55527.155166572564</v>
      </c>
      <c r="R183" s="239">
        <f>IF(Inputs!$G$77="as generated","N/A",'Cash Flow'!R64)</f>
        <v>-63500.410823709848</v>
      </c>
      <c r="S183" s="239">
        <f>IF(Inputs!$G$77="as generated","N/A",'Cash Flow'!S64)</f>
        <v>-69278.517410618515</v>
      </c>
      <c r="T183" s="239">
        <f>IF(Inputs!$G$77="as generated","N/A",'Cash Flow'!T64)</f>
        <v>-71754.924227094743</v>
      </c>
      <c r="U183" s="239">
        <f>IF(Inputs!$G$77="as generated","N/A",'Cash Flow'!U64)</f>
        <v>-76833.493797842864</v>
      </c>
      <c r="V183" s="239">
        <f>IF(Inputs!$G$77="as generated","N/A",'Cash Flow'!V64)</f>
        <v>-83981.803567655908</v>
      </c>
      <c r="W183" s="239">
        <f>IF(Inputs!$G$77="as generated","N/A",'Cash Flow'!W64)</f>
        <v>-88684.653180378446</v>
      </c>
      <c r="X183" s="239">
        <f>IF(Inputs!$G$77="as generated","N/A",'Cash Flow'!X64)</f>
        <v>-91497.981147231447</v>
      </c>
      <c r="Y183" s="239">
        <f>IF(Inputs!$G$77="as generated","N/A",'Cash Flow'!Y64)</f>
        <v>-94308.369479445828</v>
      </c>
      <c r="Z183" s="239">
        <f>IF(Inputs!$G$77="as generated","N/A",'Cash Flow'!Z64)</f>
        <v>-86091.705637503226</v>
      </c>
      <c r="AA183" s="239">
        <f>IF(Inputs!$G$77="as generated","N/A",'Cash Flow'!AA64)</f>
        <v>0</v>
      </c>
      <c r="AB183" s="239">
        <f>IF(Inputs!$G$77="as generated","N/A",'Cash Flow'!AB64)</f>
        <v>-927.08142685360417</v>
      </c>
      <c r="AC183" s="239">
        <f>IF(Inputs!$G$77="as generated","N/A",'Cash Flow'!AC64)</f>
        <v>-7737.1956227565288</v>
      </c>
      <c r="AD183" s="239">
        <f>IF(Inputs!$G$77="as generated","N/A",'Cash Flow'!AD64)</f>
        <v>-8209.714147044886</v>
      </c>
      <c r="AE183" s="239">
        <f>IF(Inputs!$G$77="as generated","N/A",'Cash Flow'!AE64)</f>
        <v>-11260.590661873344</v>
      </c>
      <c r="AF183" s="239">
        <f>IF(Inputs!$G$77="as generated","N/A",'Cash Flow'!AF64)</f>
        <v>-7.421476766467095E-14</v>
      </c>
      <c r="AG183" s="239">
        <f>IF(Inputs!$G$77="as generated","N/A",'Cash Flow'!AG64)</f>
        <v>0</v>
      </c>
      <c r="AH183" s="239">
        <f>IF(Inputs!$G$77="as generated","N/A",'Cash Flow'!AH64)</f>
        <v>0</v>
      </c>
      <c r="AI183" s="239">
        <f>IF(Inputs!$G$77="as generated","N/A",'Cash Flow'!AI64)</f>
        <v>0</v>
      </c>
      <c r="AJ183" s="239">
        <f>IF(Inputs!$G$77="as generated","N/A",'Cash Flow'!AJ64)</f>
        <v>0</v>
      </c>
    </row>
    <row r="184" spans="2:36" s="1" customFormat="1" x14ac:dyDescent="0.2">
      <c r="B184" s="221"/>
      <c r="C184" s="221"/>
      <c r="D184" s="221"/>
      <c r="E184" s="221"/>
      <c r="F184" s="221"/>
      <c r="G184" s="239"/>
      <c r="H184" s="239"/>
      <c r="I184" s="239"/>
      <c r="J184" s="239"/>
      <c r="K184" s="239"/>
      <c r="L184" s="239"/>
      <c r="M184" s="239"/>
      <c r="N184" s="239"/>
      <c r="O184" s="239"/>
      <c r="P184" s="239"/>
      <c r="Q184" s="239"/>
      <c r="R184" s="239"/>
      <c r="S184" s="239"/>
      <c r="T184" s="239"/>
      <c r="U184" s="239"/>
      <c r="V184" s="239"/>
      <c r="W184" s="239"/>
      <c r="X184" s="239"/>
      <c r="Y184" s="239"/>
      <c r="Z184" s="239"/>
      <c r="AA184" s="239"/>
      <c r="AB184" s="239"/>
      <c r="AC184" s="239"/>
      <c r="AD184" s="239"/>
      <c r="AE184" s="239"/>
      <c r="AF184" s="239"/>
      <c r="AG184" s="239"/>
      <c r="AH184" s="239"/>
      <c r="AI184" s="239"/>
      <c r="AJ184" s="239"/>
    </row>
    <row r="185" spans="2:36" s="1" customFormat="1" x14ac:dyDescent="0.2">
      <c r="B185" s="221" t="s">
        <v>303</v>
      </c>
      <c r="C185" s="221"/>
      <c r="D185" s="221"/>
      <c r="E185" s="221"/>
      <c r="F185" s="221"/>
      <c r="G185" s="239">
        <v>0</v>
      </c>
      <c r="H185" s="239">
        <f>IF(Inputs!$G$77="as generated",0,G188)</f>
        <v>0</v>
      </c>
      <c r="I185" s="239">
        <f>IF(Inputs!$G$77="as generated",0,H188)</f>
        <v>0</v>
      </c>
      <c r="J185" s="239">
        <f>IF(Inputs!$G$77="as generated",0,I188)</f>
        <v>0</v>
      </c>
      <c r="K185" s="239">
        <f>IF(Inputs!$G$77="as generated",0,J188)</f>
        <v>0</v>
      </c>
      <c r="L185" s="239">
        <f>IF(Inputs!$G$77="as generated",0,K188)</f>
        <v>0</v>
      </c>
      <c r="M185" s="239">
        <f>IF(Inputs!$G$77="as generated",0,L188)</f>
        <v>0</v>
      </c>
      <c r="N185" s="239">
        <f>IF(Inputs!$G$77="as generated",0,M188)</f>
        <v>0</v>
      </c>
      <c r="O185" s="239">
        <f>IF(Inputs!$G$77="as generated",0,N188)</f>
        <v>0</v>
      </c>
      <c r="P185" s="239">
        <f>IF(Inputs!$G$77="as generated",0,O188)</f>
        <v>0</v>
      </c>
      <c r="Q185" s="239">
        <f>IF(Inputs!$G$77="as generated",0,P188)</f>
        <v>0</v>
      </c>
      <c r="R185" s="239">
        <f>IF(Inputs!$G$77="as generated",0,Q188)</f>
        <v>0</v>
      </c>
      <c r="S185" s="239">
        <f>IF(Inputs!$G$77="as generated",0,R188)</f>
        <v>0</v>
      </c>
      <c r="T185" s="239">
        <f>IF(Inputs!$G$77="as generated",0,S188)</f>
        <v>0</v>
      </c>
      <c r="U185" s="239">
        <f>IF(Inputs!$G$77="as generated",0,T188)</f>
        <v>0</v>
      </c>
      <c r="V185" s="239">
        <f>IF(Inputs!$G$77="as generated",0,U188)</f>
        <v>0</v>
      </c>
      <c r="W185" s="239">
        <f>IF(Inputs!$G$77="as generated",0,V188)</f>
        <v>0</v>
      </c>
      <c r="X185" s="239">
        <f>IF(Inputs!$G$77="as generated",0,W188)</f>
        <v>0</v>
      </c>
      <c r="Y185" s="239">
        <f>IF(Inputs!$G$77="as generated",0,X188)</f>
        <v>0</v>
      </c>
      <c r="Z185" s="239">
        <f>IF(Inputs!$G$77="as generated",0,Y188)</f>
        <v>0</v>
      </c>
      <c r="AA185" s="239">
        <f>IF(Inputs!$G$77="as generated",0,Z188)</f>
        <v>0</v>
      </c>
      <c r="AB185" s="239">
        <f>IF(Inputs!$G$77="as generated",0,AA188)</f>
        <v>0</v>
      </c>
      <c r="AC185" s="239">
        <f>IF(Inputs!$G$77="as generated",0,AB188)</f>
        <v>0</v>
      </c>
      <c r="AD185" s="239">
        <f>IF(Inputs!$G$77="as generated",0,AC188)</f>
        <v>0</v>
      </c>
      <c r="AE185" s="239">
        <f>IF(Inputs!$G$77="as generated",0,AD188)</f>
        <v>0</v>
      </c>
      <c r="AF185" s="239">
        <f>IF(Inputs!$G$77="as generated",0,AE188)</f>
        <v>0</v>
      </c>
      <c r="AG185" s="239">
        <f>IF(Inputs!$G$77="as generated",0,AF188)</f>
        <v>0</v>
      </c>
      <c r="AH185" s="239">
        <f>IF(Inputs!$G$77="as generated",0,AG188)</f>
        <v>0</v>
      </c>
      <c r="AI185" s="239">
        <f>IF(Inputs!$G$77="as generated",0,AH188)</f>
        <v>0</v>
      </c>
      <c r="AJ185" s="239">
        <f>IF(Inputs!$G$77="as generated",0,AI188)</f>
        <v>0</v>
      </c>
    </row>
    <row r="186" spans="2:36" s="1" customFormat="1" x14ac:dyDescent="0.2">
      <c r="B186" s="221" t="s">
        <v>304</v>
      </c>
      <c r="C186" s="221"/>
      <c r="D186" s="221"/>
      <c r="E186" s="221"/>
      <c r="F186" s="221"/>
      <c r="G186" s="239">
        <f>IF(Inputs!$G$77="as generated",0,IF(G183&lt;=0,G180,0))</f>
        <v>0</v>
      </c>
      <c r="H186" s="239">
        <f>IF(Inputs!$G$77="as generated",0,IF(H183&lt;=0,H180,0))</f>
        <v>0</v>
      </c>
      <c r="I186" s="239">
        <f>IF(Inputs!$G$77="as generated",0,IF(I183&lt;=0,I180,0))</f>
        <v>0</v>
      </c>
      <c r="J186" s="239">
        <f>IF(Inputs!$G$77="as generated",0,IF(J183&lt;=0,J180,0))</f>
        <v>0</v>
      </c>
      <c r="K186" s="239">
        <f>IF(Inputs!$G$77="as generated",0,IF(K183&lt;=0,K180,0))</f>
        <v>0</v>
      </c>
      <c r="L186" s="239">
        <f>IF(Inputs!$G$77="as generated",0,IF(L183&lt;=0,L180,0))</f>
        <v>0</v>
      </c>
      <c r="M186" s="239">
        <f>IF(Inputs!$G$77="as generated",0,IF(M183&lt;=0,M180,0))</f>
        <v>0</v>
      </c>
      <c r="N186" s="239">
        <f>IF(Inputs!$G$77="as generated",0,IF(N183&lt;=0,N180,0))</f>
        <v>0</v>
      </c>
      <c r="O186" s="239">
        <f>IF(Inputs!$G$77="as generated",0,IF(O183&lt;=0,O180,0))</f>
        <v>0</v>
      </c>
      <c r="P186" s="239">
        <f>IF(Inputs!$G$77="as generated",0,IF(P183&lt;=0,P180,0))</f>
        <v>0</v>
      </c>
      <c r="Q186" s="239">
        <f>IF(Inputs!$G$77="as generated",0,IF(Q183&lt;=0,Q180,0))</f>
        <v>0</v>
      </c>
      <c r="R186" s="239">
        <f>IF(Inputs!$G$77="as generated",0,IF(R183&lt;=0,R180,0))</f>
        <v>0</v>
      </c>
      <c r="S186" s="239">
        <f>IF(Inputs!$G$77="as generated",0,IF(S183&lt;=0,S180,0))</f>
        <v>0</v>
      </c>
      <c r="T186" s="239">
        <f>IF(Inputs!$G$77="as generated",0,IF(T183&lt;=0,T180,0))</f>
        <v>0</v>
      </c>
      <c r="U186" s="239">
        <f>IF(Inputs!$G$77="as generated",0,IF(U183&lt;=0,U180,0))</f>
        <v>0</v>
      </c>
      <c r="V186" s="239">
        <f>IF(Inputs!$G$77="as generated",0,IF(V183&lt;=0,V180,0))</f>
        <v>0</v>
      </c>
      <c r="W186" s="239">
        <f>IF(Inputs!$G$77="as generated",0,IF(W183&lt;=0,W180,0))</f>
        <v>0</v>
      </c>
      <c r="X186" s="239">
        <f>IF(Inputs!$G$77="as generated",0,IF(X183&lt;=0,X180,0))</f>
        <v>0</v>
      </c>
      <c r="Y186" s="239">
        <f>IF(Inputs!$G$77="as generated",0,IF(Y183&lt;=0,Y180,0))</f>
        <v>0</v>
      </c>
      <c r="Z186" s="239">
        <f>IF(Inputs!$G$77="as generated",0,IF(Z183&lt;=0,Z180,0))</f>
        <v>0</v>
      </c>
      <c r="AA186" s="239">
        <f>IF(Inputs!$G$77="as generated",0,IF(AA183&lt;=0,AA180,0))</f>
        <v>0</v>
      </c>
      <c r="AB186" s="239">
        <f>IF(Inputs!$G$77="as generated",0,IF(AB183&lt;=0,AB180,0))</f>
        <v>0</v>
      </c>
      <c r="AC186" s="239">
        <f>IF(Inputs!$G$77="as generated",0,IF(AC183&lt;=0,AC180,0))</f>
        <v>0</v>
      </c>
      <c r="AD186" s="239">
        <f>IF(Inputs!$G$77="as generated",0,IF(AD183&lt;=0,AD180,0))</f>
        <v>0</v>
      </c>
      <c r="AE186" s="239">
        <f>IF(Inputs!$G$77="as generated",0,IF(AE183&lt;=0,AE180,0))</f>
        <v>0</v>
      </c>
      <c r="AF186" s="239">
        <f>IF(Inputs!$G$77="as generated",0,IF(AF183&lt;=0,AF180,0))</f>
        <v>0</v>
      </c>
      <c r="AG186" s="239">
        <f>IF(Inputs!$G$77="as generated",0,IF(AG183&lt;=0,AG180,0))</f>
        <v>0</v>
      </c>
      <c r="AH186" s="239">
        <f>IF(Inputs!$G$77="as generated",0,IF(AH183&lt;=0,AH180,0))</f>
        <v>0</v>
      </c>
      <c r="AI186" s="239">
        <f>IF(Inputs!$G$77="as generated",0,IF(AI183&lt;=0,AI180,0))</f>
        <v>0</v>
      </c>
      <c r="AJ186" s="239">
        <f>IF(Inputs!$G$77="as generated",0,IF(AJ183&lt;=0,AJ180,0))</f>
        <v>0</v>
      </c>
    </row>
    <row r="187" spans="2:36" s="1" customFormat="1" x14ac:dyDescent="0.2">
      <c r="B187" s="221" t="s">
        <v>305</v>
      </c>
      <c r="C187" s="221"/>
      <c r="D187" s="221"/>
      <c r="E187" s="221"/>
      <c r="F187" s="221"/>
      <c r="G187" s="239">
        <f>IF(Inputs!$G$77="as generated",0,IF(G$183&lt;0,MAX(G$183,-F$188),0))</f>
        <v>0</v>
      </c>
      <c r="H187" s="239">
        <f>IF(Inputs!$G$77="as generated",0,IF(H$183&lt;0,MAX(H$183,-G$188),0))</f>
        <v>0</v>
      </c>
      <c r="I187" s="239">
        <f>IF(Inputs!$G$77="as generated",0,IF(I$183&lt;0,MAX(I$183,-H$188),0))</f>
        <v>0</v>
      </c>
      <c r="J187" s="239">
        <f>IF(Inputs!$G$77="as generated",0,IF(J$183&lt;0,MAX(J$183,-I$188),0))</f>
        <v>0</v>
      </c>
      <c r="K187" s="239">
        <f>IF(Inputs!$G$77="as generated",0,IF(K$183&lt;0,MAX(K$183,-J$188),0))</f>
        <v>0</v>
      </c>
      <c r="L187" s="239">
        <f>IF(Inputs!$G$77="as generated",0,IF(L$183&lt;0,MAX(L$183,-K$188),0))</f>
        <v>0</v>
      </c>
      <c r="M187" s="239">
        <f>IF(Inputs!$G$77="as generated",0,IF(M$183&lt;0,MAX(M$183,-L$188),0))</f>
        <v>0</v>
      </c>
      <c r="N187" s="239">
        <f>IF(Inputs!$G$77="as generated",0,IF(N$183&lt;0,MAX(N$183,-M$188),0))</f>
        <v>0</v>
      </c>
      <c r="O187" s="239">
        <f>IF(Inputs!$G$77="as generated",0,IF(O$183&lt;0,MAX(O$183,-N$188),0))</f>
        <v>0</v>
      </c>
      <c r="P187" s="239">
        <f>IF(Inputs!$G$77="as generated",0,IF(P$183&lt;0,MAX(P$183,-O$188),0))</f>
        <v>0</v>
      </c>
      <c r="Q187" s="239">
        <f>IF(Inputs!$G$77="as generated",0,IF(Q$183&lt;0,MAX(Q$183,-P$188),0))</f>
        <v>0</v>
      </c>
      <c r="R187" s="239">
        <f>IF(Inputs!$G$77="as generated",0,IF(R$183&lt;0,MAX(R$183,-Q$188),0))</f>
        <v>0</v>
      </c>
      <c r="S187" s="239">
        <f>IF(Inputs!$G$77="as generated",0,IF(S$183&lt;0,MAX(S$183,-R$188),0))</f>
        <v>0</v>
      </c>
      <c r="T187" s="239">
        <f>IF(Inputs!$G$77="as generated",0,IF(T$183&lt;0,MAX(T$183,-S$188),0))</f>
        <v>0</v>
      </c>
      <c r="U187" s="239">
        <f>IF(Inputs!$G$77="as generated",0,IF(U$183&lt;0,MAX(U$183,-T$188),0))</f>
        <v>0</v>
      </c>
      <c r="V187" s="239">
        <f>IF(Inputs!$G$77="as generated",0,IF(V$183&lt;0,MAX(V$183,-U$188),0))</f>
        <v>0</v>
      </c>
      <c r="W187" s="239">
        <f>IF(Inputs!$G$77="as generated",0,IF(W$183&lt;0,MAX(W$183,-V$188),0))</f>
        <v>0</v>
      </c>
      <c r="X187" s="239">
        <f>IF(Inputs!$G$77="as generated",0,IF(X$183&lt;0,MAX(X$183,-W$188),0))</f>
        <v>0</v>
      </c>
      <c r="Y187" s="239">
        <f>IF(Inputs!$G$77="as generated",0,IF(Y$183&lt;0,MAX(Y$183,-X$188),0))</f>
        <v>0</v>
      </c>
      <c r="Z187" s="239">
        <f>IF(Inputs!$G$77="as generated",0,IF(Z$183&lt;0,MAX(Z$183,-Y$188),0))</f>
        <v>0</v>
      </c>
      <c r="AA187" s="239">
        <f>IF(Inputs!$G$77="as generated",0,IF(AA$183&lt;0,MAX(AA$183,-Z$188),0))</f>
        <v>0</v>
      </c>
      <c r="AB187" s="239">
        <f>IF(Inputs!$G$77="as generated",0,IF(AB$183&lt;0,MAX(AB$183,-AA$188),0))</f>
        <v>0</v>
      </c>
      <c r="AC187" s="239">
        <f>IF(Inputs!$G$77="as generated",0,IF(AC$183&lt;0,MAX(AC$183,-AB$188),0))</f>
        <v>0</v>
      </c>
      <c r="AD187" s="239">
        <f>IF(Inputs!$G$77="as generated",0,IF(AD$183&lt;0,MAX(AD$183,-AC$188),0))</f>
        <v>0</v>
      </c>
      <c r="AE187" s="239">
        <f>IF(Inputs!$G$77="as generated",0,IF(AE$183&lt;0,MAX(AE$183,-AD$188),0))</f>
        <v>0</v>
      </c>
      <c r="AF187" s="239">
        <f>IF(Inputs!$G$77="as generated",0,IF(AF$183&lt;0,MAX(AF$183,-AE$188),0))</f>
        <v>0</v>
      </c>
      <c r="AG187" s="239">
        <f>IF(Inputs!$G$77="as generated",0,IF(AG$183&lt;0,MAX(AG$183,-AF$188),0))</f>
        <v>0</v>
      </c>
      <c r="AH187" s="239">
        <f>IF(Inputs!$G$77="as generated",0,IF(AH$183&lt;0,MAX(AH$183,-AG$188),0))</f>
        <v>0</v>
      </c>
      <c r="AI187" s="239">
        <f>IF(Inputs!$G$77="as generated",0,IF(AI$183&lt;0,MAX(AI$183,-AH$188),0))</f>
        <v>0</v>
      </c>
      <c r="AJ187" s="239">
        <f>IF(Inputs!$G$77="as generated",0,IF(AJ$183&lt;0,MAX(AJ$183,-AI$188),0))</f>
        <v>0</v>
      </c>
    </row>
    <row r="188" spans="2:36" s="1" customFormat="1" x14ac:dyDescent="0.2">
      <c r="B188" s="221" t="s">
        <v>306</v>
      </c>
      <c r="C188" s="221"/>
      <c r="D188" s="221"/>
      <c r="E188" s="221"/>
      <c r="F188" s="239">
        <v>0</v>
      </c>
      <c r="G188" s="239">
        <f>SUM(G185:G187)</f>
        <v>0</v>
      </c>
      <c r="H188" s="239">
        <f t="shared" ref="H188:AJ188" si="57">SUM(H185:H187)</f>
        <v>0</v>
      </c>
      <c r="I188" s="239">
        <f t="shared" si="57"/>
        <v>0</v>
      </c>
      <c r="J188" s="239">
        <f t="shared" si="57"/>
        <v>0</v>
      </c>
      <c r="K188" s="239">
        <f t="shared" si="57"/>
        <v>0</v>
      </c>
      <c r="L188" s="239">
        <f t="shared" si="57"/>
        <v>0</v>
      </c>
      <c r="M188" s="239">
        <f t="shared" si="57"/>
        <v>0</v>
      </c>
      <c r="N188" s="239">
        <f t="shared" si="57"/>
        <v>0</v>
      </c>
      <c r="O188" s="239">
        <f t="shared" si="57"/>
        <v>0</v>
      </c>
      <c r="P188" s="239">
        <f t="shared" si="57"/>
        <v>0</v>
      </c>
      <c r="Q188" s="239">
        <f t="shared" si="57"/>
        <v>0</v>
      </c>
      <c r="R188" s="239">
        <f t="shared" si="57"/>
        <v>0</v>
      </c>
      <c r="S188" s="239">
        <f t="shared" si="57"/>
        <v>0</v>
      </c>
      <c r="T188" s="239">
        <f t="shared" si="57"/>
        <v>0</v>
      </c>
      <c r="U188" s="239">
        <f t="shared" si="57"/>
        <v>0</v>
      </c>
      <c r="V188" s="239">
        <f t="shared" si="57"/>
        <v>0</v>
      </c>
      <c r="W188" s="239">
        <f t="shared" si="57"/>
        <v>0</v>
      </c>
      <c r="X188" s="239">
        <f t="shared" si="57"/>
        <v>0</v>
      </c>
      <c r="Y188" s="239">
        <f t="shared" si="57"/>
        <v>0</v>
      </c>
      <c r="Z188" s="239">
        <f t="shared" si="57"/>
        <v>0</v>
      </c>
      <c r="AA188" s="239">
        <f t="shared" si="57"/>
        <v>0</v>
      </c>
      <c r="AB188" s="239">
        <f t="shared" si="57"/>
        <v>0</v>
      </c>
      <c r="AC188" s="239">
        <f t="shared" si="57"/>
        <v>0</v>
      </c>
      <c r="AD188" s="239">
        <f t="shared" si="57"/>
        <v>0</v>
      </c>
      <c r="AE188" s="239">
        <f t="shared" si="57"/>
        <v>0</v>
      </c>
      <c r="AF188" s="239">
        <f t="shared" si="57"/>
        <v>0</v>
      </c>
      <c r="AG188" s="239">
        <f t="shared" si="57"/>
        <v>0</v>
      </c>
      <c r="AH188" s="239">
        <f t="shared" si="57"/>
        <v>0</v>
      </c>
      <c r="AI188" s="239">
        <f t="shared" si="57"/>
        <v>0</v>
      </c>
      <c r="AJ188" s="239">
        <f t="shared" si="57"/>
        <v>0</v>
      </c>
    </row>
    <row r="189" spans="2:36" s="1" customFormat="1" ht="16.5" thickBot="1" x14ac:dyDescent="0.3">
      <c r="B189" s="241"/>
      <c r="C189" s="241"/>
      <c r="D189" s="241"/>
      <c r="E189" s="241"/>
      <c r="F189" s="241"/>
      <c r="G189" s="242"/>
      <c r="H189" s="243"/>
      <c r="I189" s="241"/>
      <c r="J189" s="241"/>
      <c r="K189" s="241"/>
      <c r="L189" s="241"/>
      <c r="M189" s="241"/>
      <c r="N189" s="241"/>
      <c r="O189" s="241"/>
      <c r="P189" s="241"/>
      <c r="Q189" s="241"/>
      <c r="R189" s="241"/>
      <c r="S189" s="241"/>
      <c r="T189" s="241"/>
      <c r="U189" s="241"/>
      <c r="V189" s="241"/>
      <c r="W189" s="241"/>
      <c r="X189" s="241"/>
      <c r="Y189" s="241"/>
      <c r="Z189" s="241"/>
      <c r="AA189" s="241"/>
      <c r="AB189" s="241"/>
      <c r="AC189" s="241"/>
      <c r="AD189" s="241"/>
      <c r="AE189" s="241"/>
      <c r="AF189" s="241"/>
      <c r="AG189" s="241"/>
      <c r="AH189" s="241"/>
      <c r="AI189" s="241"/>
      <c r="AJ189" s="241"/>
    </row>
    <row r="190" spans="2:36" x14ac:dyDescent="0.25">
      <c r="B190" s="260"/>
      <c r="C190" s="260"/>
      <c r="D190" s="260"/>
      <c r="E190" s="260"/>
      <c r="F190" s="260"/>
      <c r="G190" s="260"/>
      <c r="H190" s="260"/>
      <c r="I190" s="260"/>
      <c r="J190" s="260"/>
      <c r="K190" s="260"/>
      <c r="L190" s="260"/>
      <c r="M190" s="260"/>
      <c r="N190" s="260"/>
      <c r="O190" s="260"/>
      <c r="P190" s="260"/>
      <c r="Q190" s="260"/>
      <c r="R190" s="260"/>
      <c r="S190" s="260"/>
      <c r="T190" s="260"/>
      <c r="U190" s="260"/>
      <c r="V190" s="260"/>
      <c r="W190" s="260"/>
      <c r="X190" s="260"/>
      <c r="Y190" s="260"/>
      <c r="Z190" s="260"/>
      <c r="AA190" s="260"/>
      <c r="AB190" s="260"/>
      <c r="AC190" s="260"/>
      <c r="AD190" s="260"/>
      <c r="AE190" s="260"/>
      <c r="AF190" s="260"/>
      <c r="AG190" s="260"/>
      <c r="AH190" s="260"/>
      <c r="AI190" s="260"/>
      <c r="AJ190" s="260"/>
    </row>
    <row r="191" spans="2:36" ht="15.75" x14ac:dyDescent="0.25">
      <c r="B191" s="220" t="s">
        <v>152</v>
      </c>
      <c r="C191" s="220"/>
      <c r="D191" s="220"/>
      <c r="E191" s="260"/>
      <c r="F191" s="260"/>
      <c r="G191" s="260"/>
      <c r="H191" s="260"/>
      <c r="I191" s="260"/>
      <c r="J191" s="260"/>
      <c r="K191" s="260"/>
      <c r="L191" s="260"/>
      <c r="M191" s="260"/>
      <c r="N191" s="260"/>
      <c r="O191" s="260"/>
      <c r="P191" s="260"/>
      <c r="Q191" s="260"/>
      <c r="R191" s="260"/>
      <c r="S191" s="260"/>
      <c r="T191" s="260"/>
      <c r="U191" s="260"/>
      <c r="V191" s="260"/>
      <c r="W191" s="260"/>
      <c r="X191" s="260"/>
      <c r="Y191" s="260"/>
      <c r="Z191" s="260"/>
      <c r="AA191" s="260"/>
      <c r="AB191" s="260"/>
      <c r="AC191" s="260"/>
      <c r="AD191" s="260"/>
      <c r="AE191" s="260"/>
      <c r="AF191" s="260"/>
      <c r="AG191" s="260"/>
      <c r="AH191" s="260"/>
      <c r="AI191" s="260"/>
      <c r="AJ191" s="260"/>
    </row>
    <row r="192" spans="2:36" ht="15.75" x14ac:dyDescent="0.25">
      <c r="B192" s="238" t="s">
        <v>93</v>
      </c>
      <c r="C192" s="238"/>
      <c r="D192" s="238"/>
      <c r="E192" s="260"/>
      <c r="F192" s="277">
        <v>0</v>
      </c>
      <c r="G192" s="256">
        <f>F197</f>
        <v>203851.56837890603</v>
      </c>
      <c r="H192" s="256">
        <f t="shared" ref="H192:AJ192" si="58">G197</f>
        <v>261296.01282335047</v>
      </c>
      <c r="I192" s="256">
        <f t="shared" si="58"/>
        <v>318740.45726779493</v>
      </c>
      <c r="J192" s="256">
        <f t="shared" si="58"/>
        <v>376184.90171223937</v>
      </c>
      <c r="K192" s="256">
        <f t="shared" si="58"/>
        <v>433629.34615668381</v>
      </c>
      <c r="L192" s="256">
        <f t="shared" si="58"/>
        <v>491073.79060112825</v>
      </c>
      <c r="M192" s="256">
        <f t="shared" si="58"/>
        <v>548518.23504557274</v>
      </c>
      <c r="N192" s="256">
        <f t="shared" si="58"/>
        <v>605962.67949001724</v>
      </c>
      <c r="O192" s="256">
        <f t="shared" si="58"/>
        <v>663407.12393446174</v>
      </c>
      <c r="P192" s="256">
        <f t="shared" si="58"/>
        <v>720851.56837890623</v>
      </c>
      <c r="Q192" s="256">
        <f t="shared" si="58"/>
        <v>203851.56837890623</v>
      </c>
      <c r="R192" s="256">
        <f t="shared" si="58"/>
        <v>263740.45726779511</v>
      </c>
      <c r="S192" s="256">
        <f t="shared" si="58"/>
        <v>323629.34615668398</v>
      </c>
      <c r="T192" s="256">
        <f t="shared" si="58"/>
        <v>383518.23504557286</v>
      </c>
      <c r="U192" s="256">
        <f t="shared" si="58"/>
        <v>443407.12393446174</v>
      </c>
      <c r="V192" s="256">
        <f t="shared" si="58"/>
        <v>503296.01282335061</v>
      </c>
      <c r="W192" s="256">
        <f t="shared" si="58"/>
        <v>563184.90171223949</v>
      </c>
      <c r="X192" s="256">
        <f t="shared" si="58"/>
        <v>623073.79060112836</v>
      </c>
      <c r="Y192" s="256">
        <f t="shared" si="58"/>
        <v>682962.67949001724</v>
      </c>
      <c r="Z192" s="256">
        <f t="shared" si="58"/>
        <v>619828.47382668313</v>
      </c>
      <c r="AA192" s="256">
        <f t="shared" si="58"/>
        <v>80828.473826683126</v>
      </c>
      <c r="AB192" s="256">
        <f t="shared" si="58"/>
        <v>80828.473826683126</v>
      </c>
      <c r="AC192" s="256">
        <f t="shared" si="58"/>
        <v>80828.473826683126</v>
      </c>
      <c r="AD192" s="256">
        <f t="shared" si="58"/>
        <v>80828.473826683126</v>
      </c>
      <c r="AE192" s="256">
        <f t="shared" si="58"/>
        <v>80828.473826683126</v>
      </c>
      <c r="AF192" s="256">
        <f t="shared" si="58"/>
        <v>8.7311491370201111E-11</v>
      </c>
      <c r="AG192" s="256">
        <f t="shared" si="58"/>
        <v>0</v>
      </c>
      <c r="AH192" s="256">
        <f t="shared" si="58"/>
        <v>0</v>
      </c>
      <c r="AI192" s="256">
        <f t="shared" si="58"/>
        <v>0</v>
      </c>
      <c r="AJ192" s="256">
        <f t="shared" si="58"/>
        <v>0</v>
      </c>
    </row>
    <row r="193" spans="2:36" ht="15.75" x14ac:dyDescent="0.25">
      <c r="B193" s="238" t="s">
        <v>42</v>
      </c>
      <c r="C193" s="238"/>
      <c r="D193" s="238"/>
      <c r="E193" s="260"/>
      <c r="F193" s="256">
        <f>Inputs!$Q$63</f>
        <v>123023.09455222299</v>
      </c>
      <c r="G193" s="256">
        <f>IF(G$2=Inputs!$G$52+1,-$F$193,0)</f>
        <v>0</v>
      </c>
      <c r="H193" s="256">
        <f>IF(H$2=Inputs!$G$52+1,-$F$193,0)</f>
        <v>0</v>
      </c>
      <c r="I193" s="256">
        <f>IF(I$2=Inputs!$G$52+1,-$F$193,0)</f>
        <v>0</v>
      </c>
      <c r="J193" s="256">
        <f>IF(J$2=Inputs!$G$52+1,-$F$193,0)</f>
        <v>0</v>
      </c>
      <c r="K193" s="256">
        <f>IF(K$2=Inputs!$G$52+1,-$F$193,0)</f>
        <v>0</v>
      </c>
      <c r="L193" s="256">
        <f>IF(L$2=Inputs!$G$52+1,-$F$193,0)</f>
        <v>0</v>
      </c>
      <c r="M193" s="256">
        <f>IF(M$2=Inputs!$G$52+1,-$F$193,0)</f>
        <v>0</v>
      </c>
      <c r="N193" s="256">
        <f>IF(N$2=Inputs!$G$52+1,-$F$193,0)</f>
        <v>0</v>
      </c>
      <c r="O193" s="256">
        <f>IF(O$2=Inputs!$G$52+1,-$F$193,0)</f>
        <v>0</v>
      </c>
      <c r="P193" s="256">
        <f>IF(P$2=Inputs!$G$52+1,-$F$193,0)</f>
        <v>0</v>
      </c>
      <c r="Q193" s="256">
        <f>IF(Q$2=Inputs!$G$52+1,-$F$193,0)</f>
        <v>0</v>
      </c>
      <c r="R193" s="256">
        <f>IF(R$2=Inputs!$G$52+1,-$F$193,0)</f>
        <v>0</v>
      </c>
      <c r="S193" s="256">
        <f>IF(S$2=Inputs!$G$52+1,-$F$193,0)</f>
        <v>0</v>
      </c>
      <c r="T193" s="256">
        <f>IF(T$2=Inputs!$G$52+1,-$F$193,0)</f>
        <v>0</v>
      </c>
      <c r="U193" s="256">
        <f>IF(U$2=Inputs!$G$52+1,-$F$193,0)</f>
        <v>0</v>
      </c>
      <c r="V193" s="256">
        <f>IF(V$2=Inputs!$G$52+1,-$F$193,0)</f>
        <v>0</v>
      </c>
      <c r="W193" s="256">
        <f>IF(W$2=Inputs!$G$52+1,-$F$193,0)</f>
        <v>0</v>
      </c>
      <c r="X193" s="256">
        <f>IF(X$2=Inputs!$G$52+1,-$F$193,0)</f>
        <v>0</v>
      </c>
      <c r="Y193" s="256">
        <f>IF(Y$2=Inputs!$G$52+1,-$F$193,0)</f>
        <v>-123023.09455222299</v>
      </c>
      <c r="Z193" s="256">
        <f>IF(Z$2=Inputs!$G$52+1,-$F$193,0)</f>
        <v>0</v>
      </c>
      <c r="AA193" s="256">
        <f>IF(AA$2=Inputs!$G$52+1,-$F$193,0)</f>
        <v>0</v>
      </c>
      <c r="AB193" s="256">
        <f>IF(AB$2=Inputs!$G$52+1,-$F$193,0)</f>
        <v>0</v>
      </c>
      <c r="AC193" s="256">
        <f>IF(AC$2=Inputs!$G$52+1,-$F$193,0)</f>
        <v>0</v>
      </c>
      <c r="AD193" s="256">
        <f>IF(AD$2=Inputs!$G$52+1,-$F$193,0)</f>
        <v>0</v>
      </c>
      <c r="AE193" s="256">
        <f>IF(AE$2=Inputs!$G$52+1,-$F$193,0)</f>
        <v>0</v>
      </c>
      <c r="AF193" s="256">
        <f>IF(AF$2=Inputs!$G$52+1,-$F$193,0)</f>
        <v>0</v>
      </c>
      <c r="AG193" s="256">
        <f>IF(AG$2=Inputs!$G$52+1,-$F$193,0)</f>
        <v>0</v>
      </c>
      <c r="AH193" s="256">
        <f>IF(AH$2=Inputs!$G$52+1,-$F$193,0)</f>
        <v>0</v>
      </c>
      <c r="AI193" s="256">
        <f>IF(AI$2=Inputs!$G$52+1,-$F$193,0)</f>
        <v>0</v>
      </c>
      <c r="AJ193" s="256">
        <f>IF(AJ$2=Inputs!$G$52+1,-$F$193,0)</f>
        <v>0</v>
      </c>
    </row>
    <row r="194" spans="2:36" ht="15.75" x14ac:dyDescent="0.25">
      <c r="B194" s="238" t="s">
        <v>207</v>
      </c>
      <c r="C194" s="238"/>
      <c r="D194" s="238"/>
      <c r="E194" s="260"/>
      <c r="F194" s="256">
        <f>Inputs!$Q$66</f>
        <v>80828.473826683039</v>
      </c>
      <c r="G194" s="256">
        <f>IF(G$2=Inputs!$G$15,-$F$194,0)</f>
        <v>0</v>
      </c>
      <c r="H194" s="256">
        <f>IF(H$2=Inputs!$G$15,-$F$194,0)</f>
        <v>0</v>
      </c>
      <c r="I194" s="256">
        <f>IF(I$2=Inputs!$G$15,-$F$194,0)</f>
        <v>0</v>
      </c>
      <c r="J194" s="256">
        <f>IF(J$2=Inputs!$G$15,-$F$194,0)</f>
        <v>0</v>
      </c>
      <c r="K194" s="256">
        <f>IF(K$2=Inputs!$G$15,-$F$194,0)</f>
        <v>0</v>
      </c>
      <c r="L194" s="256">
        <f>IF(L$2=Inputs!$G$15,-$F$194,0)</f>
        <v>0</v>
      </c>
      <c r="M194" s="256">
        <f>IF(M$2=Inputs!$G$15,-$F$194,0)</f>
        <v>0</v>
      </c>
      <c r="N194" s="256">
        <f>IF(N$2=Inputs!$G$15,-$F$194,0)</f>
        <v>0</v>
      </c>
      <c r="O194" s="256">
        <f>IF(O$2=Inputs!$G$15,-$F$194,0)</f>
        <v>0</v>
      </c>
      <c r="P194" s="256">
        <f>IF(P$2=Inputs!$G$15,-$F$194,0)</f>
        <v>0</v>
      </c>
      <c r="Q194" s="256">
        <f>IF(Q$2=Inputs!$G$15,-$F$194,0)</f>
        <v>0</v>
      </c>
      <c r="R194" s="256">
        <f>IF(R$2=Inputs!$G$15,-$F$194,0)</f>
        <v>0</v>
      </c>
      <c r="S194" s="256">
        <f>IF(S$2=Inputs!$G$15,-$F$194,0)</f>
        <v>0</v>
      </c>
      <c r="T194" s="256">
        <f>IF(T$2=Inputs!$G$15,-$F$194,0)</f>
        <v>0</v>
      </c>
      <c r="U194" s="256">
        <f>IF(U$2=Inputs!$G$15,-$F$194,0)</f>
        <v>0</v>
      </c>
      <c r="V194" s="256">
        <f>IF(V$2=Inputs!$G$15,-$F$194,0)</f>
        <v>0</v>
      </c>
      <c r="W194" s="256">
        <f>IF(W$2=Inputs!$G$15,-$F$194,0)</f>
        <v>0</v>
      </c>
      <c r="X194" s="256">
        <f>IF(X$2=Inputs!$G$15,-$F$194,0)</f>
        <v>0</v>
      </c>
      <c r="Y194" s="256">
        <f>IF(Y$2=Inputs!$G$15,-$F$194,0)</f>
        <v>0</v>
      </c>
      <c r="Z194" s="256">
        <f>IF(Z$2=Inputs!$G$15,-$F$194,0)</f>
        <v>0</v>
      </c>
      <c r="AA194" s="256">
        <f>IF(AA$2=Inputs!$G$15,-$F$194,0)</f>
        <v>0</v>
      </c>
      <c r="AB194" s="256">
        <f>IF(AB$2=Inputs!$G$15,-$F$194,0)</f>
        <v>0</v>
      </c>
      <c r="AC194" s="256">
        <f>IF(AC$2=Inputs!$G$15,-$F$194,0)</f>
        <v>0</v>
      </c>
      <c r="AD194" s="256">
        <f>IF(AD$2=Inputs!$G$15,-$F$194,0)</f>
        <v>0</v>
      </c>
      <c r="AE194" s="256">
        <f>IF(AE$2=Inputs!$G$15,-$F$194,0)</f>
        <v>-80828.473826683039</v>
      </c>
      <c r="AF194" s="256">
        <f>IF(AF$2=Inputs!$G$15,-$F$194,0)</f>
        <v>0</v>
      </c>
      <c r="AG194" s="256">
        <f>IF(AG$2=Inputs!$G$15,-$F$194,0)</f>
        <v>0</v>
      </c>
      <c r="AH194" s="256">
        <f>IF(AH$2=Inputs!$G$15,-$F$194,0)</f>
        <v>0</v>
      </c>
      <c r="AI194" s="256">
        <f>IF(AI$2=Inputs!$G$15,-$F$194,0)</f>
        <v>0</v>
      </c>
      <c r="AJ194" s="256">
        <f>IF(AJ$2=Inputs!$G$15,-$F$194,0)</f>
        <v>0</v>
      </c>
    </row>
    <row r="195" spans="2:36" ht="15.75" x14ac:dyDescent="0.25">
      <c r="B195" s="238" t="s">
        <v>212</v>
      </c>
      <c r="C195" s="238"/>
      <c r="D195" s="238"/>
      <c r="E195" s="260"/>
      <c r="F195" s="277">
        <v>0</v>
      </c>
      <c r="G195" s="256">
        <f>IF(G$2&lt;Inputs!$Q$50,$E$129/(Inputs!$Q$50-1),IF(G$2=Inputs!$Q$50,-($E$129),IF(AND(G$2&gt;Inputs!$Q$50,G$2&lt;Inputs!$Q$52),($E$132)/(Inputs!$Q$52-Inputs!$Q$50-1),IF(G$2=Inputs!$Q$52,-($E$132),0))))</f>
        <v>57444.444444444445</v>
      </c>
      <c r="H195" s="256">
        <f>IF(H$2&lt;Inputs!$Q$50,$E$129/(Inputs!$Q$50-1),IF(H$2=Inputs!$Q$50,-($E$129),IF(AND(H$2&gt;Inputs!$Q$50,H$2&lt;Inputs!$Q$52),($E$132)/(Inputs!$Q$52-Inputs!$Q$50-1),IF(H$2=Inputs!$Q$52,-($E$132),0))))</f>
        <v>57444.444444444445</v>
      </c>
      <c r="I195" s="256">
        <f>IF(I$2&lt;Inputs!$Q$50,$E$129/(Inputs!$Q$50-1),IF(I$2=Inputs!$Q$50,-($E$129),IF(AND(I$2&gt;Inputs!$Q$50,I$2&lt;Inputs!$Q$52),($E$132)/(Inputs!$Q$52-Inputs!$Q$50-1),IF(I$2=Inputs!$Q$52,-($E$132),0))))</f>
        <v>57444.444444444445</v>
      </c>
      <c r="J195" s="256">
        <f>IF(J$2&lt;Inputs!$Q$50,$E$129/(Inputs!$Q$50-1),IF(J$2=Inputs!$Q$50,-($E$129),IF(AND(J$2&gt;Inputs!$Q$50,J$2&lt;Inputs!$Q$52),($E$132)/(Inputs!$Q$52-Inputs!$Q$50-1),IF(J$2=Inputs!$Q$52,-($E$132),0))))</f>
        <v>57444.444444444445</v>
      </c>
      <c r="K195" s="256">
        <f>IF(K$2&lt;Inputs!$Q$50,$E$129/(Inputs!$Q$50-1),IF(K$2=Inputs!$Q$50,-($E$129),IF(AND(K$2&gt;Inputs!$Q$50,K$2&lt;Inputs!$Q$52),($E$132)/(Inputs!$Q$52-Inputs!$Q$50-1),IF(K$2=Inputs!$Q$52,-($E$132),0))))</f>
        <v>57444.444444444445</v>
      </c>
      <c r="L195" s="256">
        <f>IF(L$2&lt;Inputs!$Q$50,$E$129/(Inputs!$Q$50-1),IF(L$2=Inputs!$Q$50,-($E$129),IF(AND(L$2&gt;Inputs!$Q$50,L$2&lt;Inputs!$Q$52),($E$132)/(Inputs!$Q$52-Inputs!$Q$50-1),IF(L$2=Inputs!$Q$52,-($E$132),0))))</f>
        <v>57444.444444444445</v>
      </c>
      <c r="M195" s="256">
        <f>IF(M$2&lt;Inputs!$Q$50,$E$129/(Inputs!$Q$50-1),IF(M$2=Inputs!$Q$50,-($E$129),IF(AND(M$2&gt;Inputs!$Q$50,M$2&lt;Inputs!$Q$52),($E$132)/(Inputs!$Q$52-Inputs!$Q$50-1),IF(M$2=Inputs!$Q$52,-($E$132),0))))</f>
        <v>57444.444444444445</v>
      </c>
      <c r="N195" s="256">
        <f>IF(N$2&lt;Inputs!$Q$50,$E$129/(Inputs!$Q$50-1),IF(N$2=Inputs!$Q$50,-($E$129),IF(AND(N$2&gt;Inputs!$Q$50,N$2&lt;Inputs!$Q$52),($E$132)/(Inputs!$Q$52-Inputs!$Q$50-1),IF(N$2=Inputs!$Q$52,-($E$132),0))))</f>
        <v>57444.444444444445</v>
      </c>
      <c r="O195" s="256">
        <f>IF(O$2&lt;Inputs!$Q$50,$E$129/(Inputs!$Q$50-1),IF(O$2=Inputs!$Q$50,-($E$129),IF(AND(O$2&gt;Inputs!$Q$50,O$2&lt;Inputs!$Q$52),($E$132)/(Inputs!$Q$52-Inputs!$Q$50-1),IF(O$2=Inputs!$Q$52,-($E$132),0))))</f>
        <v>57444.444444444445</v>
      </c>
      <c r="P195" s="256">
        <f>IF(P$2&lt;Inputs!$Q$50,$E$129/(Inputs!$Q$50-1),IF(P$2=Inputs!$Q$50,-($E$129),IF(AND(P$2&gt;Inputs!$Q$50,P$2&lt;Inputs!$Q$52),($E$132)/(Inputs!$Q$52-Inputs!$Q$50-1),IF(P$2=Inputs!$Q$52,-($E$132),0))))</f>
        <v>-517000</v>
      </c>
      <c r="Q195" s="256">
        <f>IF(Q$2&lt;Inputs!$Q$50,$E$129/(Inputs!$Q$50-1),IF(Q$2=Inputs!$Q$50,-($E$129),IF(AND(Q$2&gt;Inputs!$Q$50,Q$2&lt;Inputs!$Q$52),($E$132)/(Inputs!$Q$52-Inputs!$Q$50-1),IF(Q$2=Inputs!$Q$52,-($E$132),0))))</f>
        <v>59888.888888888891</v>
      </c>
      <c r="R195" s="256">
        <f>IF(R$2&lt;Inputs!$Q$50,$E$129/(Inputs!$Q$50-1),IF(R$2=Inputs!$Q$50,-($E$129),IF(AND(R$2&gt;Inputs!$Q$50,R$2&lt;Inputs!$Q$52),($E$132)/(Inputs!$Q$52-Inputs!$Q$50-1),IF(R$2=Inputs!$Q$52,-($E$132),0))))</f>
        <v>59888.888888888891</v>
      </c>
      <c r="S195" s="256">
        <f>IF(S$2&lt;Inputs!$Q$50,$E$129/(Inputs!$Q$50-1),IF(S$2=Inputs!$Q$50,-($E$129),IF(AND(S$2&gt;Inputs!$Q$50,S$2&lt;Inputs!$Q$52),($E$132)/(Inputs!$Q$52-Inputs!$Q$50-1),IF(S$2=Inputs!$Q$52,-($E$132),0))))</f>
        <v>59888.888888888891</v>
      </c>
      <c r="T195" s="256">
        <f>IF(T$2&lt;Inputs!$Q$50,$E$129/(Inputs!$Q$50-1),IF(T$2=Inputs!$Q$50,-($E$129),IF(AND(T$2&gt;Inputs!$Q$50,T$2&lt;Inputs!$Q$52),($E$132)/(Inputs!$Q$52-Inputs!$Q$50-1),IF(T$2=Inputs!$Q$52,-($E$132),0))))</f>
        <v>59888.888888888891</v>
      </c>
      <c r="U195" s="256">
        <f>IF(U$2&lt;Inputs!$Q$50,$E$129/(Inputs!$Q$50-1),IF(U$2=Inputs!$Q$50,-($E$129),IF(AND(U$2&gt;Inputs!$Q$50,U$2&lt;Inputs!$Q$52),($E$132)/(Inputs!$Q$52-Inputs!$Q$50-1),IF(U$2=Inputs!$Q$52,-($E$132),0))))</f>
        <v>59888.888888888891</v>
      </c>
      <c r="V195" s="256">
        <f>IF(V$2&lt;Inputs!$Q$50,$E$129/(Inputs!$Q$50-1),IF(V$2=Inputs!$Q$50,-($E$129),IF(AND(V$2&gt;Inputs!$Q$50,V$2&lt;Inputs!$Q$52),($E$132)/(Inputs!$Q$52-Inputs!$Q$50-1),IF(V$2=Inputs!$Q$52,-($E$132),0))))</f>
        <v>59888.888888888891</v>
      </c>
      <c r="W195" s="256">
        <f>IF(W$2&lt;Inputs!$Q$50,$E$129/(Inputs!$Q$50-1),IF(W$2=Inputs!$Q$50,-($E$129),IF(AND(W$2&gt;Inputs!$Q$50,W$2&lt;Inputs!$Q$52),($E$132)/(Inputs!$Q$52-Inputs!$Q$50-1),IF(W$2=Inputs!$Q$52,-($E$132),0))))</f>
        <v>59888.888888888891</v>
      </c>
      <c r="X195" s="256">
        <f>IF(X$2&lt;Inputs!$Q$50,$E$129/(Inputs!$Q$50-1),IF(X$2=Inputs!$Q$50,-($E$129),IF(AND(X$2&gt;Inputs!$Q$50,X$2&lt;Inputs!$Q$52),($E$132)/(Inputs!$Q$52-Inputs!$Q$50-1),IF(X$2=Inputs!$Q$52,-($E$132),0))))</f>
        <v>59888.888888888891</v>
      </c>
      <c r="Y195" s="256">
        <f>IF(Y$2&lt;Inputs!$Q$50,$E$129/(Inputs!$Q$50-1),IF(Y$2=Inputs!$Q$50,-($E$129),IF(AND(Y$2&gt;Inputs!$Q$50,Y$2&lt;Inputs!$Q$52),($E$132)/(Inputs!$Q$52-Inputs!$Q$50-1),IF(Y$2=Inputs!$Q$52,-($E$132),0))))</f>
        <v>59888.888888888891</v>
      </c>
      <c r="Z195" s="256">
        <f>IF(Z$2&lt;Inputs!$Q$50,$E$129/(Inputs!$Q$50-1),IF(Z$2=Inputs!$Q$50,-($E$129),IF(AND(Z$2&gt;Inputs!$Q$50,Z$2&lt;Inputs!$Q$52),($E$132)/(Inputs!$Q$52-Inputs!$Q$50-1),IF(Z$2=Inputs!$Q$52,-($E$132),0))))</f>
        <v>-539000</v>
      </c>
      <c r="AA195" s="256">
        <f>IF(AA$2&lt;Inputs!$Q$50,$E$129/(Inputs!$Q$50-1),IF(AA$2=Inputs!$Q$50,-($E$129),IF(AND(AA$2&gt;Inputs!$Q$50,AA$2&lt;Inputs!$Q$52),($E$132)/(Inputs!$Q$52-Inputs!$Q$50-1),IF(AA$2=Inputs!$Q$52,-($E$132),0))))</f>
        <v>0</v>
      </c>
      <c r="AB195" s="256">
        <f>IF(AB$2&lt;Inputs!$Q$50,$E$129/(Inputs!$Q$50-1),IF(AB$2=Inputs!$Q$50,-($E$129),IF(AND(AB$2&gt;Inputs!$Q$50,AB$2&lt;Inputs!$Q$52),($E$132)/(Inputs!$Q$52-Inputs!$Q$50-1),IF(AB$2=Inputs!$Q$52,-($E$132),0))))</f>
        <v>0</v>
      </c>
      <c r="AC195" s="256">
        <f>IF(AC$2&lt;Inputs!$Q$50,$E$129/(Inputs!$Q$50-1),IF(AC$2=Inputs!$Q$50,-($E$129),IF(AND(AC$2&gt;Inputs!$Q$50,AC$2&lt;Inputs!$Q$52),($E$132)/(Inputs!$Q$52-Inputs!$Q$50-1),IF(AC$2=Inputs!$Q$52,-($E$132),0))))</f>
        <v>0</v>
      </c>
      <c r="AD195" s="256">
        <f>IF(AD$2&lt;Inputs!$Q$50,$E$129/(Inputs!$Q$50-1),IF(AD$2=Inputs!$Q$50,-($E$129),IF(AND(AD$2&gt;Inputs!$Q$50,AD$2&lt;Inputs!$Q$52),($E$132)/(Inputs!$Q$52-Inputs!$Q$50-1),IF(AD$2=Inputs!$Q$52,-($E$132),0))))</f>
        <v>0</v>
      </c>
      <c r="AE195" s="256">
        <f>IF(AE$2&lt;Inputs!$Q$50,$E$129/(Inputs!$Q$50-1),IF(AE$2=Inputs!$Q$50,-($E$129),IF(AND(AE$2&gt;Inputs!$Q$50,AE$2&lt;Inputs!$Q$52),($E$132)/(Inputs!$Q$52-Inputs!$Q$50-1),IF(AE$2=Inputs!$Q$52,-($E$132),0))))</f>
        <v>0</v>
      </c>
      <c r="AF195" s="256">
        <f>IF(AF$2&lt;Inputs!$Q$50,$E$129/(Inputs!$Q$50-1),IF(AF$2=Inputs!$Q$50,-($E$129),IF(AND(AF$2&gt;Inputs!$Q$50,AF$2&lt;Inputs!$Q$52),($E$132)/(Inputs!$Q$52-Inputs!$Q$50-1),IF(AF$2=Inputs!$Q$52,-($E$132),0))))</f>
        <v>0</v>
      </c>
      <c r="AG195" s="256">
        <f>IF(AG$2&lt;Inputs!$Q$50,$E$129/(Inputs!$Q$50-1),IF(AG$2=Inputs!$Q$50,-($E$129),IF(AND(AG$2&gt;Inputs!$Q$50,AG$2&lt;Inputs!$Q$52),($E$132)/(Inputs!$Q$52-Inputs!$Q$50-1),IF(AG$2=Inputs!$Q$52,-($E$132),0))))</f>
        <v>0</v>
      </c>
      <c r="AH195" s="256">
        <f>IF(AH$2&lt;Inputs!$Q$50,$E$129/(Inputs!$Q$50-1),IF(AH$2=Inputs!$Q$50,-($E$129),IF(AND(AH$2&gt;Inputs!$Q$50,AH$2&lt;Inputs!$Q$52),($E$132)/(Inputs!$Q$52-Inputs!$Q$50-1),IF(AH$2=Inputs!$Q$52,-($E$132),0))))</f>
        <v>0</v>
      </c>
      <c r="AI195" s="256">
        <f>IF(AI$2&lt;Inputs!$Q$50,$E$129/(Inputs!$Q$50-1),IF(AI$2=Inputs!$Q$50,-($E$129),IF(AND(AI$2&gt;Inputs!$Q$50,AI$2&lt;Inputs!$Q$52),($E$132)/(Inputs!$Q$52-Inputs!$Q$50-1),IF(AI$2=Inputs!$Q$52,-($E$132),0))))</f>
        <v>0</v>
      </c>
      <c r="AJ195" s="256">
        <f>IF(AJ$2&lt;Inputs!$Q$50,$E$129/(Inputs!$Q$50-1),IF(AJ$2=Inputs!$Q$50,-($E$129),IF(AND(AJ$2&gt;Inputs!$Q$50,AJ$2&lt;Inputs!$Q$52),($E$132)/(Inputs!$Q$52-Inputs!$Q$50-1),IF(AJ$2=Inputs!$Q$52,-($E$132),0))))</f>
        <v>0</v>
      </c>
    </row>
    <row r="196" spans="2:36" ht="15.75" x14ac:dyDescent="0.25">
      <c r="B196" s="238" t="s">
        <v>47</v>
      </c>
      <c r="C196" s="238"/>
      <c r="D196" s="238"/>
      <c r="E196" s="260"/>
      <c r="F196" s="277">
        <v>0</v>
      </c>
      <c r="G196" s="256">
        <f>IF(OR(G$2&gt;Inputs!$G$15,Inputs!$Q$57="salvage"),0,Inputs!$Q$58/Inputs!$Q$8)</f>
        <v>0</v>
      </c>
      <c r="H196" s="256">
        <f>IF(OR(H$2&gt;Inputs!$G$15,Inputs!$Q$57="salvage"),0,Inputs!$Q$58/Inputs!$Q$8)</f>
        <v>0</v>
      </c>
      <c r="I196" s="256">
        <f>IF(OR(I$2&gt;Inputs!$G$15,Inputs!$Q$57="salvage"),0,Inputs!$Q$58/Inputs!$Q$8)</f>
        <v>0</v>
      </c>
      <c r="J196" s="256">
        <f>IF(OR(J$2&gt;Inputs!$G$15,Inputs!$Q$57="salvage"),0,Inputs!$Q$58/Inputs!$Q$8)</f>
        <v>0</v>
      </c>
      <c r="K196" s="256">
        <f>IF(OR(K$2&gt;Inputs!$G$15,Inputs!$Q$57="salvage"),0,Inputs!$Q$58/Inputs!$Q$8)</f>
        <v>0</v>
      </c>
      <c r="L196" s="256">
        <f>IF(OR(L$2&gt;Inputs!$G$15,Inputs!$Q$57="salvage"),0,Inputs!$Q$58/Inputs!$Q$8)</f>
        <v>0</v>
      </c>
      <c r="M196" s="256">
        <f>IF(OR(M$2&gt;Inputs!$G$15,Inputs!$Q$57="salvage"),0,Inputs!$Q$58/Inputs!$Q$8)</f>
        <v>0</v>
      </c>
      <c r="N196" s="256">
        <f>IF(OR(N$2&gt;Inputs!$G$15,Inputs!$Q$57="salvage"),0,Inputs!$Q$58/Inputs!$Q$8)</f>
        <v>0</v>
      </c>
      <c r="O196" s="256">
        <f>IF(OR(O$2&gt;Inputs!$G$15,Inputs!$Q$57="salvage"),0,Inputs!$Q$58/Inputs!$Q$8)</f>
        <v>0</v>
      </c>
      <c r="P196" s="256">
        <f>IF(OR(P$2&gt;Inputs!$G$15,Inputs!$Q$57="salvage"),0,Inputs!$Q$58/Inputs!$Q$8)</f>
        <v>0</v>
      </c>
      <c r="Q196" s="256">
        <f>IF(OR(Q$2&gt;Inputs!$G$15,Inputs!$Q$57="salvage"),0,Inputs!$Q$58/Inputs!$Q$8)</f>
        <v>0</v>
      </c>
      <c r="R196" s="256">
        <f>IF(OR(R$2&gt;Inputs!$G$15,Inputs!$Q$57="salvage"),0,Inputs!$Q$58/Inputs!$Q$8)</f>
        <v>0</v>
      </c>
      <c r="S196" s="256">
        <f>IF(OR(S$2&gt;Inputs!$G$15,Inputs!$Q$57="salvage"),0,Inputs!$Q$58/Inputs!$Q$8)</f>
        <v>0</v>
      </c>
      <c r="T196" s="256">
        <f>IF(OR(T$2&gt;Inputs!$G$15,Inputs!$Q$57="salvage"),0,Inputs!$Q$58/Inputs!$Q$8)</f>
        <v>0</v>
      </c>
      <c r="U196" s="256">
        <f>IF(OR(U$2&gt;Inputs!$G$15,Inputs!$Q$57="salvage"),0,Inputs!$Q$58/Inputs!$Q$8)</f>
        <v>0</v>
      </c>
      <c r="V196" s="256">
        <f>IF(OR(V$2&gt;Inputs!$G$15,Inputs!$Q$57="salvage"),0,Inputs!$Q$58/Inputs!$Q$8)</f>
        <v>0</v>
      </c>
      <c r="W196" s="256">
        <f>IF(OR(W$2&gt;Inputs!$G$15,Inputs!$Q$57="salvage"),0,Inputs!$Q$58/Inputs!$Q$8)</f>
        <v>0</v>
      </c>
      <c r="X196" s="256">
        <f>IF(OR(X$2&gt;Inputs!$G$15,Inputs!$Q$57="salvage"),0,Inputs!$Q$58/Inputs!$Q$8)</f>
        <v>0</v>
      </c>
      <c r="Y196" s="256">
        <f>IF(OR(Y$2&gt;Inputs!$G$15,Inputs!$Q$57="salvage"),0,Inputs!$Q$58/Inputs!$Q$8)</f>
        <v>0</v>
      </c>
      <c r="Z196" s="256">
        <f>IF(OR(Z$2&gt;Inputs!$G$15,Inputs!$Q$57="salvage"),0,Inputs!$Q$58/Inputs!$Q$8)</f>
        <v>0</v>
      </c>
      <c r="AA196" s="256">
        <f>IF(OR(AA$2&gt;Inputs!$G$15,Inputs!$Q$57="salvage"),0,Inputs!$Q$58/Inputs!$Q$8)</f>
        <v>0</v>
      </c>
      <c r="AB196" s="256">
        <f>IF(OR(AB$2&gt;Inputs!$G$15,Inputs!$Q$57="salvage"),0,Inputs!$Q$58/Inputs!$Q$8)</f>
        <v>0</v>
      </c>
      <c r="AC196" s="256">
        <f>IF(OR(AC$2&gt;Inputs!$G$15,Inputs!$Q$57="salvage"),0,Inputs!$Q$58/Inputs!$Q$8)</f>
        <v>0</v>
      </c>
      <c r="AD196" s="256">
        <f>IF(OR(AD$2&gt;Inputs!$G$15,Inputs!$Q$57="salvage"),0,Inputs!$Q$58/Inputs!$Q$8)</f>
        <v>0</v>
      </c>
      <c r="AE196" s="256">
        <f>IF(OR(AE$2&gt;Inputs!$G$15,Inputs!$Q$57="salvage"),0,Inputs!$Q$58/Inputs!$Q$8)</f>
        <v>0</v>
      </c>
      <c r="AF196" s="256">
        <f>IF(OR(AF$2&gt;Inputs!$G$15,Inputs!$Q$57="salvage"),0,Inputs!$Q$58/Inputs!$Q$8)</f>
        <v>0</v>
      </c>
      <c r="AG196" s="256">
        <f>IF(OR(AG$2&gt;Inputs!$G$15,Inputs!$Q$57="salvage"),0,Inputs!$Q$58/Inputs!$Q$8)</f>
        <v>0</v>
      </c>
      <c r="AH196" s="256">
        <f>IF(OR(AH$2&gt;Inputs!$G$15,Inputs!$Q$57="salvage"),0,Inputs!$Q$58/Inputs!$Q$8)</f>
        <v>0</v>
      </c>
      <c r="AI196" s="256">
        <f>IF(OR(AI$2&gt;Inputs!$G$15,Inputs!$Q$57="salvage"),0,Inputs!$Q$58/Inputs!$Q$8)</f>
        <v>0</v>
      </c>
      <c r="AJ196" s="256">
        <f>IF(OR(AJ$2&gt;Inputs!$G$15,Inputs!$Q$57="salvage"),0,Inputs!$Q$58/Inputs!$Q$8)</f>
        <v>0</v>
      </c>
    </row>
    <row r="197" spans="2:36" ht="15.75" x14ac:dyDescent="0.25">
      <c r="B197" s="221" t="s">
        <v>95</v>
      </c>
      <c r="C197" s="221"/>
      <c r="D197" s="221"/>
      <c r="E197" s="260"/>
      <c r="F197" s="256">
        <f>IF(F$2&gt;Inputs!$G$15,0,SUM(F192:F196))</f>
        <v>203851.56837890603</v>
      </c>
      <c r="G197" s="256">
        <f>IF(G$2&gt;Inputs!$G$15,0,SUM(G192:G196))</f>
        <v>261296.01282335047</v>
      </c>
      <c r="H197" s="256">
        <f>IF(H$2&gt;Inputs!$G$15,0,SUM(H192:H196))</f>
        <v>318740.45726779493</v>
      </c>
      <c r="I197" s="256">
        <f>IF(I$2&gt;Inputs!$G$15,0,SUM(I192:I196))</f>
        <v>376184.90171223937</v>
      </c>
      <c r="J197" s="256">
        <f>IF(J$2&gt;Inputs!$G$15,0,SUM(J192:J196))</f>
        <v>433629.34615668381</v>
      </c>
      <c r="K197" s="256">
        <f>IF(K$2&gt;Inputs!$G$15,0,SUM(K192:K196))</f>
        <v>491073.79060112825</v>
      </c>
      <c r="L197" s="256">
        <f>IF(L$2&gt;Inputs!$G$15,0,SUM(L192:L196))</f>
        <v>548518.23504557274</v>
      </c>
      <c r="M197" s="256">
        <f>IF(M$2&gt;Inputs!$G$15,0,SUM(M192:M196))</f>
        <v>605962.67949001724</v>
      </c>
      <c r="N197" s="256">
        <f>IF(N$2&gt;Inputs!$G$15,0,SUM(N192:N196))</f>
        <v>663407.12393446174</v>
      </c>
      <c r="O197" s="256">
        <f>IF(O$2&gt;Inputs!$G$15,0,SUM(O192:O196))</f>
        <v>720851.56837890623</v>
      </c>
      <c r="P197" s="256">
        <f>IF(P$2&gt;Inputs!$G$15,0,SUM(P192:P196))</f>
        <v>203851.56837890623</v>
      </c>
      <c r="Q197" s="256">
        <f>IF(Q$2&gt;Inputs!$G$15,0,SUM(Q192:Q196))</f>
        <v>263740.45726779511</v>
      </c>
      <c r="R197" s="256">
        <f>IF(R$2&gt;Inputs!$G$15,0,SUM(R192:R196))</f>
        <v>323629.34615668398</v>
      </c>
      <c r="S197" s="256">
        <f>IF(S$2&gt;Inputs!$G$15,0,SUM(S192:S196))</f>
        <v>383518.23504557286</v>
      </c>
      <c r="T197" s="256">
        <f>IF(T$2&gt;Inputs!$G$15,0,SUM(T192:T196))</f>
        <v>443407.12393446174</v>
      </c>
      <c r="U197" s="256">
        <f>IF(U$2&gt;Inputs!$G$15,0,SUM(U192:U196))</f>
        <v>503296.01282335061</v>
      </c>
      <c r="V197" s="256">
        <f>IF(V$2&gt;Inputs!$G$15,0,SUM(V192:V196))</f>
        <v>563184.90171223949</v>
      </c>
      <c r="W197" s="256">
        <f>IF(W$2&gt;Inputs!$G$15,0,SUM(W192:W196))</f>
        <v>623073.79060112836</v>
      </c>
      <c r="X197" s="256">
        <f>IF(X$2&gt;Inputs!$G$15,0,SUM(X192:X196))</f>
        <v>682962.67949001724</v>
      </c>
      <c r="Y197" s="256">
        <f>IF(Y$2&gt;Inputs!$G$15,0,SUM(Y192:Y196))</f>
        <v>619828.47382668313</v>
      </c>
      <c r="Z197" s="256">
        <f>IF(Z$2&gt;Inputs!$G$15,0,SUM(Z192:Z196))</f>
        <v>80828.473826683126</v>
      </c>
      <c r="AA197" s="256">
        <f>IF(AA$2&gt;Inputs!$G$15,0,SUM(AA192:AA196))</f>
        <v>80828.473826683126</v>
      </c>
      <c r="AB197" s="256">
        <f>IF(AB$2&gt;Inputs!$G$15,0,SUM(AB192:AB196))</f>
        <v>80828.473826683126</v>
      </c>
      <c r="AC197" s="256">
        <f>IF(AC$2&gt;Inputs!$G$15,0,SUM(AC192:AC196))</f>
        <v>80828.473826683126</v>
      </c>
      <c r="AD197" s="256">
        <f>IF(AD$2&gt;Inputs!$G$15,0,SUM(AD192:AD196))</f>
        <v>80828.473826683126</v>
      </c>
      <c r="AE197" s="256">
        <f>IF(AE$2&gt;Inputs!$G$15,0,SUM(AE192:AE196))</f>
        <v>8.7311491370201111E-11</v>
      </c>
      <c r="AF197" s="256">
        <f>IF(AF$2&gt;Inputs!$G$15,0,SUM(AF192:AF196))</f>
        <v>0</v>
      </c>
      <c r="AG197" s="256">
        <f>IF(AG$2&gt;Inputs!$G$15,0,SUM(AG192:AG196))</f>
        <v>0</v>
      </c>
      <c r="AH197" s="256">
        <f>IF(AH$2&gt;Inputs!$G$15,0,SUM(AH192:AH196))</f>
        <v>0</v>
      </c>
      <c r="AI197" s="256">
        <f>IF(AI$2&gt;Inputs!$G$15,0,SUM(AI192:AI196))</f>
        <v>0</v>
      </c>
      <c r="AJ197" s="256">
        <f>IF(AJ$2&gt;Inputs!$G$15,0,SUM(AJ192:AJ196))</f>
        <v>0</v>
      </c>
    </row>
    <row r="198" spans="2:36" ht="15.75" x14ac:dyDescent="0.25">
      <c r="B198" s="220"/>
      <c r="C198" s="220"/>
      <c r="D198" s="220"/>
      <c r="E198" s="260"/>
      <c r="F198" s="256"/>
      <c r="G198" s="256"/>
      <c r="H198" s="256"/>
      <c r="I198" s="256"/>
      <c r="J198" s="256"/>
      <c r="K198" s="256"/>
      <c r="L198" s="256"/>
      <c r="M198" s="256"/>
      <c r="N198" s="260"/>
      <c r="O198" s="260"/>
      <c r="P198" s="260"/>
      <c r="Q198" s="260"/>
      <c r="R198" s="260"/>
      <c r="S198" s="260"/>
      <c r="T198" s="260"/>
      <c r="U198" s="260"/>
      <c r="V198" s="260"/>
      <c r="W198" s="260"/>
      <c r="X198" s="260"/>
      <c r="Y198" s="260"/>
      <c r="Z198" s="260"/>
      <c r="AA198" s="260"/>
      <c r="AB198" s="260"/>
      <c r="AC198" s="260"/>
      <c r="AD198" s="260"/>
      <c r="AE198" s="260"/>
      <c r="AF198" s="260"/>
      <c r="AG198" s="260"/>
      <c r="AH198" s="260"/>
      <c r="AI198" s="260"/>
      <c r="AJ198" s="260"/>
    </row>
    <row r="199" spans="2:36" ht="15.75" x14ac:dyDescent="0.25">
      <c r="B199" s="221" t="s">
        <v>208</v>
      </c>
      <c r="C199" s="221"/>
      <c r="D199" s="221"/>
      <c r="E199" s="260"/>
      <c r="F199" s="256"/>
      <c r="G199" s="256">
        <f>AVERAGE(G192,G197)*Inputs!$Q$67</f>
        <v>4651.4758120225652</v>
      </c>
      <c r="H199" s="256">
        <f>AVERAGE(H192,H197)*Inputs!$Q$67</f>
        <v>5800.3647009114538</v>
      </c>
      <c r="I199" s="256">
        <f>AVERAGE(I192,I197)*Inputs!$Q$67</f>
        <v>6949.2535898003425</v>
      </c>
      <c r="J199" s="256">
        <f>AVERAGE(J192,J197)*Inputs!$Q$67</f>
        <v>8098.1424786892321</v>
      </c>
      <c r="K199" s="256">
        <f>AVERAGE(K192,K197)*Inputs!$Q$67</f>
        <v>9247.0313675781199</v>
      </c>
      <c r="L199" s="256">
        <f>AVERAGE(L192,L197)*Inputs!$Q$67</f>
        <v>10395.92025646701</v>
      </c>
      <c r="M199" s="256">
        <f>AVERAGE(M192,M197)*Inputs!$Q$67</f>
        <v>11544.809145355901</v>
      </c>
      <c r="N199" s="256">
        <f>AVERAGE(N192,N197)*Inputs!$Q$67</f>
        <v>12693.69803424479</v>
      </c>
      <c r="O199" s="256">
        <f>AVERAGE(O192,O197)*Inputs!$Q$67</f>
        <v>13842.58692313368</v>
      </c>
      <c r="P199" s="256">
        <f>AVERAGE(P192,P197)*Inputs!$Q$67</f>
        <v>9247.0313675781254</v>
      </c>
      <c r="Q199" s="256">
        <f>AVERAGE(Q192,Q197)*Inputs!$Q$67</f>
        <v>4675.9202564670131</v>
      </c>
      <c r="R199" s="256">
        <f>AVERAGE(R192,R197)*Inputs!$Q$67</f>
        <v>5873.6980342447914</v>
      </c>
      <c r="S199" s="256">
        <f>AVERAGE(S192,S197)*Inputs!$Q$67</f>
        <v>7071.4758120225688</v>
      </c>
      <c r="T199" s="256">
        <f>AVERAGE(T192,T197)*Inputs!$Q$67</f>
        <v>8269.2535898003462</v>
      </c>
      <c r="U199" s="256">
        <f>AVERAGE(U192,U197)*Inputs!$Q$67</f>
        <v>9467.0313675781235</v>
      </c>
      <c r="V199" s="256">
        <f>AVERAGE(V192,V197)*Inputs!$Q$67</f>
        <v>10664.809145355901</v>
      </c>
      <c r="W199" s="256">
        <f>AVERAGE(W192,W197)*Inputs!$Q$67</f>
        <v>11862.58692313368</v>
      </c>
      <c r="X199" s="256">
        <f>AVERAGE(X192,X197)*Inputs!$Q$67</f>
        <v>13060.364700911456</v>
      </c>
      <c r="Y199" s="256">
        <f>AVERAGE(Y192,Y197)*Inputs!$Q$67</f>
        <v>13027.911533167004</v>
      </c>
      <c r="Z199" s="256">
        <f>AVERAGE(Z192,Z197)*Inputs!$Q$67</f>
        <v>7006.569476533663</v>
      </c>
      <c r="AA199" s="256">
        <f>AVERAGE(AA192,AA197)*Inputs!$Q$67</f>
        <v>1616.5694765336625</v>
      </c>
      <c r="AB199" s="256">
        <f>AVERAGE(AB192,AB197)*Inputs!$Q$67</f>
        <v>1616.5694765336625</v>
      </c>
      <c r="AC199" s="256">
        <f>AVERAGE(AC192,AC197)*Inputs!$Q$67</f>
        <v>1616.5694765336625</v>
      </c>
      <c r="AD199" s="256">
        <f>AVERAGE(AD192,AD197)*Inputs!$Q$67</f>
        <v>1616.5694765336625</v>
      </c>
      <c r="AE199" s="256">
        <f>AVERAGE(AE192,AE197)*Inputs!$Q$67</f>
        <v>808.28473826683216</v>
      </c>
      <c r="AF199" s="256">
        <f>AVERAGE(AF192,AF197)*Inputs!$Q$67</f>
        <v>8.7311491370201108E-13</v>
      </c>
      <c r="AG199" s="256">
        <f>AVERAGE(AG192,AG197)*Inputs!$Q$67</f>
        <v>0</v>
      </c>
      <c r="AH199" s="256">
        <f>AVERAGE(AH192,AH197)*Inputs!$Q$67</f>
        <v>0</v>
      </c>
      <c r="AI199" s="256">
        <f>AVERAGE(AI192,AI197)*Inputs!$Q$67</f>
        <v>0</v>
      </c>
      <c r="AJ199" s="256">
        <f>AVERAGE(AJ192,AJ197)*Inputs!$Q$67</f>
        <v>0</v>
      </c>
    </row>
    <row r="200" spans="2:36" ht="15.75" x14ac:dyDescent="0.25">
      <c r="B200" s="221" t="s">
        <v>209</v>
      </c>
      <c r="C200" s="221"/>
      <c r="D200" s="221"/>
      <c r="E200" s="260"/>
      <c r="F200" s="260"/>
      <c r="G200" s="256">
        <f>SUM(G193:G196)</f>
        <v>57444.444444444445</v>
      </c>
      <c r="H200" s="256">
        <f t="shared" ref="H200:AJ200" si="59">SUM(H193:H196)</f>
        <v>57444.444444444445</v>
      </c>
      <c r="I200" s="256">
        <f t="shared" si="59"/>
        <v>57444.444444444445</v>
      </c>
      <c r="J200" s="256">
        <f t="shared" si="59"/>
        <v>57444.444444444445</v>
      </c>
      <c r="K200" s="256">
        <f t="shared" si="59"/>
        <v>57444.444444444445</v>
      </c>
      <c r="L200" s="256">
        <f t="shared" si="59"/>
        <v>57444.444444444445</v>
      </c>
      <c r="M200" s="256">
        <f t="shared" si="59"/>
        <v>57444.444444444445</v>
      </c>
      <c r="N200" s="256">
        <f t="shared" si="59"/>
        <v>57444.444444444445</v>
      </c>
      <c r="O200" s="256">
        <f t="shared" si="59"/>
        <v>57444.444444444445</v>
      </c>
      <c r="P200" s="256">
        <f t="shared" si="59"/>
        <v>-517000</v>
      </c>
      <c r="Q200" s="256">
        <f t="shared" si="59"/>
        <v>59888.888888888891</v>
      </c>
      <c r="R200" s="256">
        <f t="shared" si="59"/>
        <v>59888.888888888891</v>
      </c>
      <c r="S200" s="256">
        <f t="shared" si="59"/>
        <v>59888.888888888891</v>
      </c>
      <c r="T200" s="256">
        <f t="shared" si="59"/>
        <v>59888.888888888891</v>
      </c>
      <c r="U200" s="256">
        <f t="shared" si="59"/>
        <v>59888.888888888891</v>
      </c>
      <c r="V200" s="256">
        <f t="shared" si="59"/>
        <v>59888.888888888891</v>
      </c>
      <c r="W200" s="256">
        <f t="shared" si="59"/>
        <v>59888.888888888891</v>
      </c>
      <c r="X200" s="256">
        <f t="shared" si="59"/>
        <v>59888.888888888891</v>
      </c>
      <c r="Y200" s="256">
        <f t="shared" si="59"/>
        <v>-63134.205663334098</v>
      </c>
      <c r="Z200" s="256">
        <f t="shared" si="59"/>
        <v>-539000</v>
      </c>
      <c r="AA200" s="256">
        <f t="shared" si="59"/>
        <v>0</v>
      </c>
      <c r="AB200" s="256">
        <f t="shared" si="59"/>
        <v>0</v>
      </c>
      <c r="AC200" s="256">
        <f t="shared" si="59"/>
        <v>0</v>
      </c>
      <c r="AD200" s="256">
        <f t="shared" si="59"/>
        <v>0</v>
      </c>
      <c r="AE200" s="256">
        <f t="shared" si="59"/>
        <v>-80828.473826683039</v>
      </c>
      <c r="AF200" s="256">
        <f t="shared" si="59"/>
        <v>0</v>
      </c>
      <c r="AG200" s="256">
        <f t="shared" si="59"/>
        <v>0</v>
      </c>
      <c r="AH200" s="256">
        <f t="shared" si="59"/>
        <v>0</v>
      </c>
      <c r="AI200" s="256">
        <f t="shared" si="59"/>
        <v>0</v>
      </c>
      <c r="AJ200" s="256">
        <f t="shared" si="59"/>
        <v>0</v>
      </c>
    </row>
    <row r="201" spans="2:36" ht="16.5" thickBot="1" x14ac:dyDescent="0.3">
      <c r="B201" s="261"/>
      <c r="C201" s="261"/>
      <c r="D201" s="261"/>
      <c r="E201" s="262"/>
      <c r="F201" s="263"/>
      <c r="G201" s="263"/>
      <c r="H201" s="263"/>
      <c r="I201" s="263"/>
      <c r="J201" s="263"/>
      <c r="K201" s="263"/>
      <c r="L201" s="263"/>
      <c r="M201" s="263"/>
      <c r="N201" s="263"/>
      <c r="O201" s="263"/>
      <c r="P201" s="263"/>
      <c r="Q201" s="263"/>
      <c r="R201" s="263"/>
      <c r="S201" s="263"/>
      <c r="T201" s="263"/>
      <c r="U201" s="263"/>
      <c r="V201" s="263"/>
      <c r="W201" s="263"/>
      <c r="X201" s="263"/>
      <c r="Y201" s="263"/>
      <c r="Z201" s="263"/>
      <c r="AA201" s="263"/>
      <c r="AB201" s="263"/>
      <c r="AC201" s="263"/>
      <c r="AD201" s="263"/>
      <c r="AE201" s="263"/>
      <c r="AF201" s="263"/>
      <c r="AG201" s="263"/>
      <c r="AH201" s="263"/>
      <c r="AI201" s="263"/>
      <c r="AJ201" s="263"/>
    </row>
    <row r="202" spans="2:36" ht="15.75" x14ac:dyDescent="0.25">
      <c r="B202" s="254"/>
      <c r="C202" s="254"/>
      <c r="D202" s="254"/>
      <c r="E202" s="260"/>
      <c r="F202" s="256"/>
      <c r="G202" s="367"/>
      <c r="H202" s="256"/>
      <c r="I202" s="256"/>
      <c r="J202" s="256"/>
      <c r="K202" s="256"/>
      <c r="L202" s="256"/>
      <c r="M202" s="256"/>
      <c r="N202" s="256"/>
      <c r="O202" s="256"/>
      <c r="P202" s="256"/>
      <c r="Q202" s="256"/>
      <c r="R202" s="256"/>
      <c r="S202" s="256"/>
      <c r="T202" s="256"/>
      <c r="U202" s="256"/>
      <c r="V202" s="256"/>
      <c r="W202" s="256"/>
      <c r="X202" s="256"/>
      <c r="Y202" s="256"/>
      <c r="Z202" s="256"/>
      <c r="AA202" s="256"/>
      <c r="AB202" s="256"/>
      <c r="AC202" s="256"/>
      <c r="AD202" s="256"/>
      <c r="AE202" s="256"/>
      <c r="AF202" s="256"/>
      <c r="AG202" s="256"/>
      <c r="AH202" s="256"/>
      <c r="AI202" s="256"/>
      <c r="AJ202" s="256"/>
    </row>
    <row r="203" spans="2:36" ht="15.75" x14ac:dyDescent="0.25">
      <c r="B203" s="373" t="s">
        <v>295</v>
      </c>
      <c r="C203" s="373"/>
      <c r="D203" s="373"/>
      <c r="E203" s="260"/>
      <c r="F203" s="256"/>
      <c r="G203" s="368" t="s">
        <v>296</v>
      </c>
      <c r="H203" s="256"/>
      <c r="I203" s="256"/>
      <c r="J203" s="260"/>
      <c r="K203" s="368" t="s">
        <v>296</v>
      </c>
      <c r="L203" s="256"/>
      <c r="M203" s="256"/>
      <c r="N203" s="260"/>
      <c r="O203" s="368" t="s">
        <v>296</v>
      </c>
      <c r="P203" s="256"/>
      <c r="Q203" s="256"/>
      <c r="R203" s="368" t="s">
        <v>298</v>
      </c>
      <c r="S203" s="368" t="s">
        <v>299</v>
      </c>
      <c r="T203" s="260"/>
      <c r="U203" s="260"/>
      <c r="V203" s="256"/>
      <c r="W203" s="256"/>
      <c r="X203" s="256"/>
      <c r="Y203" s="256"/>
      <c r="Z203" s="256"/>
      <c r="AA203" s="256"/>
      <c r="AB203" s="256"/>
      <c r="AC203" s="256"/>
      <c r="AD203" s="256"/>
      <c r="AE203" s="256"/>
      <c r="AF203" s="256"/>
      <c r="AG203" s="256"/>
      <c r="AH203" s="256"/>
      <c r="AI203" s="256"/>
      <c r="AJ203" s="256"/>
    </row>
    <row r="204" spans="2:36" ht="15.75" x14ac:dyDescent="0.25">
      <c r="B204" s="254" t="s">
        <v>300</v>
      </c>
      <c r="C204" s="254"/>
      <c r="D204" s="254"/>
      <c r="E204" s="260"/>
      <c r="F204" s="256"/>
      <c r="G204" s="256">
        <f>$D$72</f>
        <v>1094.5334120010107</v>
      </c>
      <c r="H204" s="256"/>
      <c r="I204" s="256"/>
      <c r="J204" s="260"/>
      <c r="K204" s="256">
        <f>$D$72</f>
        <v>1094.5334120010107</v>
      </c>
      <c r="L204" s="256"/>
      <c r="M204" s="256"/>
      <c r="N204" s="260"/>
      <c r="O204" s="256">
        <f>$D$72</f>
        <v>1094.5334120010107</v>
      </c>
      <c r="P204" s="256"/>
      <c r="Q204" s="256"/>
      <c r="R204" s="369">
        <f>LOOKUP(MIN($P$205:$P$215),$O$205:$O$215,$N$205:$N$215)</f>
        <v>28</v>
      </c>
      <c r="S204" s="369">
        <f>LOOKUP(MAX($Q$205:$Q$215),$O$205:$O$215,$N$205:$N$215)</f>
        <v>28.1</v>
      </c>
      <c r="T204" s="409"/>
      <c r="U204" s="260"/>
      <c r="V204" s="256"/>
      <c r="W204" s="256"/>
      <c r="X204" s="256"/>
      <c r="Y204" s="256"/>
      <c r="Z204" s="256"/>
      <c r="AA204" s="256"/>
      <c r="AB204" s="256"/>
      <c r="AC204" s="256"/>
      <c r="AD204" s="256"/>
      <c r="AE204" s="256"/>
      <c r="AF204" s="256"/>
      <c r="AG204" s="256"/>
      <c r="AH204" s="256"/>
      <c r="AI204" s="256"/>
      <c r="AJ204" s="256"/>
    </row>
    <row r="205" spans="2:36" ht="15.75" x14ac:dyDescent="0.25">
      <c r="B205" s="254"/>
      <c r="C205" s="254"/>
      <c r="D205" s="254"/>
      <c r="E205" s="260"/>
      <c r="F205" s="370">
        <v>0</v>
      </c>
      <c r="G205" s="256">
        <f t="dataTable" ref="G205:G215" dt2D="0" dtr="0" r1="G72"/>
        <v>-5181921.8174761049</v>
      </c>
      <c r="H205" s="256"/>
      <c r="I205" s="256"/>
      <c r="J205" s="371">
        <f>LOOKUP(MIN($H$205:$H$215),$G$205:$G$215,$F$205:$F$215)</f>
        <v>20</v>
      </c>
      <c r="K205" s="256">
        <f t="dataTable" ref="K205:K215" dt2D="0" dtr="0" r1="G72" ca="1"/>
        <v>-1295094.2498325829</v>
      </c>
      <c r="L205" s="256"/>
      <c r="M205" s="256"/>
      <c r="N205" s="371">
        <f>LOOKUP(MIN($L$205:$L$215),$K$205:$K$215,$J$205:$J$215)</f>
        <v>28</v>
      </c>
      <c r="O205" s="256">
        <f t="dataTable" ref="O205:O215" dt2D="0" dtr="0" r1="G72" ca="1"/>
        <v>-6410.4821177497579</v>
      </c>
      <c r="P205" s="256"/>
      <c r="Q205" s="256"/>
      <c r="R205" s="256"/>
      <c r="S205" s="256"/>
      <c r="T205" s="256"/>
      <c r="U205" s="256"/>
      <c r="V205" s="256"/>
      <c r="W205" s="256"/>
      <c r="X205" s="256"/>
      <c r="Y205" s="256"/>
      <c r="Z205" s="256"/>
      <c r="AA205" s="256"/>
      <c r="AB205" s="256"/>
      <c r="AC205" s="256"/>
      <c r="AD205" s="256"/>
      <c r="AE205" s="256"/>
      <c r="AF205" s="256"/>
      <c r="AG205" s="256"/>
      <c r="AH205" s="256"/>
      <c r="AI205" s="256"/>
      <c r="AJ205" s="256"/>
    </row>
    <row r="206" spans="2:36" ht="15.75" x14ac:dyDescent="0.25">
      <c r="B206" s="260"/>
      <c r="C206" s="260"/>
      <c r="D206" s="260"/>
      <c r="E206" s="260"/>
      <c r="F206" s="370">
        <v>10</v>
      </c>
      <c r="G206" s="256">
        <v>-3192486.4814854581</v>
      </c>
      <c r="H206" s="256" t="str">
        <f t="shared" ref="H206:H215" si="60">IF(AND($G206&lt;0,$G207&gt;0),$G206,"")</f>
        <v/>
      </c>
      <c r="I206" s="256" t="str">
        <f t="shared" ref="I206:I215" si="61">IF(AND($G206&gt;0,$G205&lt;0),$G206,"")</f>
        <v/>
      </c>
      <c r="J206" s="371">
        <f>J205+1</f>
        <v>21</v>
      </c>
      <c r="K206" s="256">
        <v>-1124961.1836043117</v>
      </c>
      <c r="L206" s="256" t="str">
        <f t="shared" ref="L206:L215" si="62">IF(AND($K206&lt;0,$K207&gt;0),$K206,"")</f>
        <v/>
      </c>
      <c r="M206" s="256" t="str">
        <f t="shared" ref="M206:M215" si="63">IF(AND($K206&gt;0,$K205&lt;0),$K206,"")</f>
        <v/>
      </c>
      <c r="N206" s="371">
        <f>N205+0.1</f>
        <v>28.1</v>
      </c>
      <c r="O206" s="256">
        <v>8599.5489413598934</v>
      </c>
      <c r="P206" s="256" t="str">
        <f>IF(AND($O206&lt;0,$O207&gt;0),$O206,"")</f>
        <v/>
      </c>
      <c r="Q206" s="256">
        <f>IF(AND($O206&gt;0,$O205&lt;0),$O206,"")</f>
        <v>8599.5489413598934</v>
      </c>
      <c r="R206" s="256"/>
      <c r="S206" s="256"/>
      <c r="T206" s="256"/>
      <c r="U206" s="256"/>
      <c r="V206" s="256"/>
      <c r="W206" s="256"/>
      <c r="X206" s="256"/>
      <c r="Y206" s="256"/>
      <c r="Z206" s="256"/>
      <c r="AA206" s="256"/>
      <c r="AB206" s="256"/>
      <c r="AC206" s="256"/>
      <c r="AD206" s="256"/>
      <c r="AE206" s="256"/>
      <c r="AF206" s="256"/>
      <c r="AG206" s="256"/>
      <c r="AH206" s="256"/>
      <c r="AI206" s="256"/>
      <c r="AJ206" s="256"/>
    </row>
    <row r="207" spans="2:36" ht="15.75" x14ac:dyDescent="0.25">
      <c r="B207" s="260"/>
      <c r="C207" s="260"/>
      <c r="D207" s="260"/>
      <c r="E207" s="260"/>
      <c r="F207" s="370">
        <v>20</v>
      </c>
      <c r="G207" s="256">
        <v>-1295094.2498325829</v>
      </c>
      <c r="H207" s="256">
        <f t="shared" si="60"/>
        <v>-1295094.2498325829</v>
      </c>
      <c r="I207" s="256" t="str">
        <f t="shared" si="61"/>
        <v/>
      </c>
      <c r="J207" s="371">
        <f t="shared" ref="J207:J214" si="64">J206+1</f>
        <v>22</v>
      </c>
      <c r="K207" s="256">
        <v>-957740.62303691742</v>
      </c>
      <c r="L207" s="256" t="str">
        <f t="shared" si="62"/>
        <v/>
      </c>
      <c r="M207" s="256" t="str">
        <f t="shared" si="63"/>
        <v/>
      </c>
      <c r="N207" s="371">
        <f t="shared" ref="N207:N214" si="65">N206+0.1</f>
        <v>28.200000000000003</v>
      </c>
      <c r="O207" s="256">
        <v>23609.57999890274</v>
      </c>
      <c r="P207" s="256" t="str">
        <f t="shared" ref="P207:P215" si="66">IF(AND($O207&lt;0,$O208&gt;0),$O207,"")</f>
        <v/>
      </c>
      <c r="Q207" s="256" t="str">
        <f t="shared" ref="Q207:Q215" si="67">IF(AND($O207&gt;0,$O206&lt;0),$O207,"")</f>
        <v/>
      </c>
      <c r="R207" s="256"/>
      <c r="S207" s="256"/>
      <c r="T207" s="256"/>
      <c r="U207" s="256"/>
      <c r="V207" s="256"/>
      <c r="W207" s="256"/>
      <c r="X207" s="256"/>
      <c r="Y207" s="256"/>
      <c r="Z207" s="256"/>
      <c r="AA207" s="256"/>
      <c r="AB207" s="256"/>
      <c r="AC207" s="256"/>
      <c r="AD207" s="256"/>
      <c r="AE207" s="256"/>
      <c r="AF207" s="256"/>
      <c r="AG207" s="256"/>
      <c r="AH207" s="256"/>
      <c r="AI207" s="256"/>
      <c r="AJ207" s="256"/>
    </row>
    <row r="208" spans="2:36" ht="15.75" x14ac:dyDescent="0.25">
      <c r="B208" s="260"/>
      <c r="C208" s="260"/>
      <c r="D208" s="260"/>
      <c r="E208" s="260"/>
      <c r="F208" s="370">
        <v>30</v>
      </c>
      <c r="G208" s="256">
        <v>292997.89909000328</v>
      </c>
      <c r="H208" s="256" t="str">
        <f t="shared" si="60"/>
        <v/>
      </c>
      <c r="I208" s="256">
        <f t="shared" si="61"/>
        <v>292997.89909000328</v>
      </c>
      <c r="J208" s="371">
        <f t="shared" si="64"/>
        <v>23</v>
      </c>
      <c r="K208" s="256">
        <v>-793352.8832957109</v>
      </c>
      <c r="L208" s="256" t="str">
        <f t="shared" si="62"/>
        <v/>
      </c>
      <c r="M208" s="256" t="str">
        <f t="shared" si="63"/>
        <v/>
      </c>
      <c r="N208" s="371">
        <f t="shared" si="65"/>
        <v>28.300000000000004</v>
      </c>
      <c r="O208" s="256">
        <v>38619.611054880123</v>
      </c>
      <c r="P208" s="256" t="str">
        <f t="shared" si="66"/>
        <v/>
      </c>
      <c r="Q208" s="256" t="str">
        <f t="shared" si="67"/>
        <v/>
      </c>
      <c r="R208" s="256"/>
      <c r="S208" s="256"/>
      <c r="T208" s="256"/>
      <c r="U208" s="256"/>
      <c r="V208" s="256"/>
      <c r="W208" s="256"/>
      <c r="X208" s="256"/>
      <c r="Y208" s="256"/>
      <c r="Z208" s="256"/>
      <c r="AA208" s="256"/>
      <c r="AB208" s="256"/>
      <c r="AC208" s="256"/>
      <c r="AD208" s="256"/>
      <c r="AE208" s="256"/>
      <c r="AF208" s="256"/>
      <c r="AG208" s="256"/>
      <c r="AH208" s="256"/>
      <c r="AI208" s="256"/>
      <c r="AJ208" s="256"/>
    </row>
    <row r="209" spans="2:36" ht="15.75" x14ac:dyDescent="0.25">
      <c r="B209" s="260"/>
      <c r="C209" s="260"/>
      <c r="D209" s="260"/>
      <c r="E209" s="260"/>
      <c r="F209" s="370">
        <v>40</v>
      </c>
      <c r="G209" s="256">
        <v>1705580.2038387775</v>
      </c>
      <c r="H209" s="256" t="str">
        <f t="shared" si="60"/>
        <v/>
      </c>
      <c r="I209" s="256" t="str">
        <f t="shared" si="61"/>
        <v/>
      </c>
      <c r="J209" s="371">
        <f t="shared" si="64"/>
        <v>24</v>
      </c>
      <c r="K209" s="256">
        <v>-631576.39309641882</v>
      </c>
      <c r="L209" s="256" t="str">
        <f t="shared" si="62"/>
        <v/>
      </c>
      <c r="M209" s="256" t="str">
        <f t="shared" si="63"/>
        <v/>
      </c>
      <c r="N209" s="371">
        <f t="shared" si="65"/>
        <v>28.400000000000006</v>
      </c>
      <c r="O209" s="256">
        <v>53629.642109292254</v>
      </c>
      <c r="P209" s="256" t="str">
        <f t="shared" si="66"/>
        <v/>
      </c>
      <c r="Q209" s="256" t="str">
        <f t="shared" si="67"/>
        <v/>
      </c>
      <c r="R209" s="256"/>
      <c r="S209" s="256"/>
      <c r="T209" s="256"/>
      <c r="U209" s="256"/>
      <c r="V209" s="256"/>
      <c r="W209" s="256"/>
      <c r="X209" s="256"/>
      <c r="Y209" s="256"/>
      <c r="Z209" s="256"/>
      <c r="AA209" s="256"/>
      <c r="AB209" s="256"/>
      <c r="AC209" s="256"/>
      <c r="AD209" s="256"/>
      <c r="AE209" s="256"/>
      <c r="AF209" s="256"/>
      <c r="AG209" s="256"/>
      <c r="AH209" s="256"/>
      <c r="AI209" s="256"/>
      <c r="AJ209" s="256"/>
    </row>
    <row r="210" spans="2:36" ht="15.75" x14ac:dyDescent="0.25">
      <c r="B210" s="260"/>
      <c r="C210" s="260"/>
      <c r="D210" s="260"/>
      <c r="E210" s="260"/>
      <c r="F210" s="370">
        <v>50</v>
      </c>
      <c r="G210" s="256">
        <v>3031376.1790119396</v>
      </c>
      <c r="H210" s="256" t="str">
        <f t="shared" si="60"/>
        <v/>
      </c>
      <c r="I210" s="256" t="str">
        <f t="shared" si="61"/>
        <v/>
      </c>
      <c r="J210" s="371">
        <f t="shared" si="64"/>
        <v>25</v>
      </c>
      <c r="K210" s="256">
        <v>-471769.06885388191</v>
      </c>
      <c r="L210" s="256" t="str">
        <f t="shared" si="62"/>
        <v/>
      </c>
      <c r="M210" s="256" t="str">
        <f t="shared" si="63"/>
        <v/>
      </c>
      <c r="N210" s="371">
        <f t="shared" si="65"/>
        <v>28.500000000000007</v>
      </c>
      <c r="O210" s="256">
        <v>68639.673162136751</v>
      </c>
      <c r="P210" s="256" t="str">
        <f t="shared" si="66"/>
        <v/>
      </c>
      <c r="Q210" s="256" t="str">
        <f t="shared" si="67"/>
        <v/>
      </c>
      <c r="R210" s="256"/>
      <c r="S210" s="256"/>
      <c r="T210" s="256"/>
      <c r="U210" s="256"/>
      <c r="V210" s="256"/>
      <c r="W210" s="256"/>
      <c r="X210" s="256"/>
      <c r="Y210" s="256"/>
      <c r="Z210" s="256"/>
      <c r="AA210" s="256"/>
      <c r="AB210" s="256"/>
      <c r="AC210" s="256"/>
      <c r="AD210" s="256"/>
      <c r="AE210" s="256"/>
      <c r="AF210" s="256"/>
      <c r="AG210" s="256"/>
      <c r="AH210" s="256"/>
      <c r="AI210" s="256"/>
      <c r="AJ210" s="256"/>
    </row>
    <row r="211" spans="2:36" ht="15.75" x14ac:dyDescent="0.25">
      <c r="B211" s="260"/>
      <c r="C211" s="260"/>
      <c r="D211" s="260"/>
      <c r="E211" s="260"/>
      <c r="F211" s="370">
        <v>60</v>
      </c>
      <c r="G211" s="256">
        <v>4310301.1217542561</v>
      </c>
      <c r="H211" s="256" t="str">
        <f t="shared" si="60"/>
        <v/>
      </c>
      <c r="I211" s="256" t="str">
        <f t="shared" si="61"/>
        <v/>
      </c>
      <c r="J211" s="371">
        <f t="shared" si="64"/>
        <v>26</v>
      </c>
      <c r="K211" s="256">
        <v>-314669.51885197934</v>
      </c>
      <c r="L211" s="256" t="str">
        <f t="shared" si="62"/>
        <v/>
      </c>
      <c r="M211" s="256" t="str">
        <f t="shared" si="63"/>
        <v/>
      </c>
      <c r="N211" s="371">
        <f t="shared" si="65"/>
        <v>28.600000000000009</v>
      </c>
      <c r="O211" s="256">
        <v>83649.704213415302</v>
      </c>
      <c r="P211" s="256" t="str">
        <f t="shared" si="66"/>
        <v/>
      </c>
      <c r="Q211" s="256" t="str">
        <f t="shared" si="67"/>
        <v/>
      </c>
      <c r="R211" s="256"/>
      <c r="S211" s="256"/>
      <c r="T211" s="256"/>
      <c r="U211" s="256"/>
      <c r="V211" s="256"/>
      <c r="W211" s="256"/>
      <c r="X211" s="256"/>
      <c r="Y211" s="256"/>
      <c r="Z211" s="256"/>
      <c r="AA211" s="256"/>
      <c r="AB211" s="256"/>
      <c r="AC211" s="256"/>
      <c r="AD211" s="256"/>
      <c r="AE211" s="256"/>
      <c r="AF211" s="256"/>
      <c r="AG211" s="256"/>
      <c r="AH211" s="256"/>
      <c r="AI211" s="256"/>
      <c r="AJ211" s="256"/>
    </row>
    <row r="212" spans="2:36" ht="15.75" x14ac:dyDescent="0.25">
      <c r="B212" s="260"/>
      <c r="C212" s="260"/>
      <c r="D212" s="260"/>
      <c r="E212" s="260"/>
      <c r="F212" s="370">
        <v>70</v>
      </c>
      <c r="G212" s="256">
        <v>5555785.8648219639</v>
      </c>
      <c r="H212" s="256" t="str">
        <f t="shared" si="60"/>
        <v/>
      </c>
      <c r="I212" s="256" t="str">
        <f t="shared" si="61"/>
        <v/>
      </c>
      <c r="J212" s="371">
        <f t="shared" si="64"/>
        <v>27</v>
      </c>
      <c r="K212" s="256">
        <v>-159768.25354345853</v>
      </c>
      <c r="L212" s="256" t="str">
        <f t="shared" si="62"/>
        <v/>
      </c>
      <c r="M212" s="256" t="str">
        <f t="shared" si="63"/>
        <v/>
      </c>
      <c r="N212" s="371">
        <f t="shared" si="65"/>
        <v>28.70000000000001</v>
      </c>
      <c r="O212" s="256">
        <v>98659.735263128707</v>
      </c>
      <c r="P212" s="256" t="str">
        <f t="shared" si="66"/>
        <v/>
      </c>
      <c r="Q212" s="256" t="str">
        <f t="shared" si="67"/>
        <v/>
      </c>
      <c r="R212" s="256"/>
      <c r="S212" s="256"/>
      <c r="T212" s="256"/>
      <c r="U212" s="256"/>
      <c r="V212" s="256"/>
      <c r="W212" s="256"/>
      <c r="X212" s="256"/>
      <c r="Y212" s="256"/>
      <c r="Z212" s="256"/>
      <c r="AA212" s="256"/>
      <c r="AB212" s="256"/>
      <c r="AC212" s="256"/>
      <c r="AD212" s="256"/>
      <c r="AE212" s="256"/>
      <c r="AF212" s="256"/>
      <c r="AG212" s="256"/>
      <c r="AH212" s="256"/>
      <c r="AI212" s="256"/>
      <c r="AJ212" s="256"/>
    </row>
    <row r="213" spans="2:36" ht="15.75" x14ac:dyDescent="0.25">
      <c r="B213" s="260"/>
      <c r="C213" s="260"/>
      <c r="D213" s="260"/>
      <c r="E213" s="260"/>
      <c r="F213" s="370">
        <v>80</v>
      </c>
      <c r="G213" s="256">
        <v>6789271.9174166629</v>
      </c>
      <c r="H213" s="256" t="str">
        <f t="shared" si="60"/>
        <v/>
      </c>
      <c r="I213" s="256" t="str">
        <f t="shared" si="61"/>
        <v/>
      </c>
      <c r="J213" s="371">
        <f t="shared" si="64"/>
        <v>28</v>
      </c>
      <c r="K213" s="256">
        <v>-6410.4821177497579</v>
      </c>
      <c r="L213" s="256">
        <f t="shared" si="62"/>
        <v>-6410.4821177497579</v>
      </c>
      <c r="M213" s="256" t="str">
        <f t="shared" si="63"/>
        <v/>
      </c>
      <c r="N213" s="371">
        <f t="shared" si="65"/>
        <v>28.800000000000011</v>
      </c>
      <c r="O213" s="256">
        <v>113669.76631127455</v>
      </c>
      <c r="P213" s="256" t="str">
        <f t="shared" si="66"/>
        <v/>
      </c>
      <c r="Q213" s="256" t="str">
        <f t="shared" si="67"/>
        <v/>
      </c>
      <c r="R213" s="256"/>
      <c r="S213" s="256"/>
      <c r="T213" s="256"/>
      <c r="U213" s="256"/>
      <c r="V213" s="256"/>
      <c r="W213" s="256"/>
      <c r="X213" s="256"/>
      <c r="Y213" s="256"/>
      <c r="Z213" s="256"/>
      <c r="AA213" s="256"/>
      <c r="AB213" s="256"/>
      <c r="AC213" s="256"/>
      <c r="AD213" s="256"/>
      <c r="AE213" s="256"/>
      <c r="AF213" s="256"/>
      <c r="AG213" s="256"/>
      <c r="AH213" s="256"/>
      <c r="AI213" s="256"/>
      <c r="AJ213" s="256"/>
    </row>
    <row r="214" spans="2:36" ht="15.75" x14ac:dyDescent="0.25">
      <c r="B214" s="260"/>
      <c r="C214" s="260"/>
      <c r="D214" s="260"/>
      <c r="E214" s="260"/>
      <c r="F214" s="370">
        <v>90</v>
      </c>
      <c r="G214" s="256">
        <v>8003724.9069954818</v>
      </c>
      <c r="H214" s="256" t="str">
        <f t="shared" si="60"/>
        <v/>
      </c>
      <c r="I214" s="256" t="str">
        <f t="shared" si="61"/>
        <v/>
      </c>
      <c r="J214" s="371">
        <f t="shared" si="64"/>
        <v>29</v>
      </c>
      <c r="K214" s="256">
        <v>143689.82840286833</v>
      </c>
      <c r="L214" s="256" t="str">
        <f t="shared" si="62"/>
        <v/>
      </c>
      <c r="M214" s="256">
        <f t="shared" si="63"/>
        <v>143689.82840286833</v>
      </c>
      <c r="N214" s="371">
        <f t="shared" si="65"/>
        <v>28.900000000000013</v>
      </c>
      <c r="O214" s="256">
        <v>128679.79735785504</v>
      </c>
      <c r="P214" s="256" t="str">
        <f t="shared" si="66"/>
        <v/>
      </c>
      <c r="Q214" s="256" t="str">
        <f t="shared" si="67"/>
        <v/>
      </c>
      <c r="R214" s="256"/>
      <c r="S214" s="256"/>
      <c r="T214" s="256"/>
      <c r="U214" s="256"/>
      <c r="V214" s="256"/>
      <c r="W214" s="256"/>
      <c r="X214" s="256"/>
      <c r="Y214" s="256"/>
      <c r="Z214" s="256"/>
      <c r="AA214" s="256"/>
      <c r="AB214" s="256"/>
      <c r="AC214" s="256"/>
      <c r="AD214" s="256"/>
      <c r="AE214" s="256"/>
      <c r="AF214" s="256"/>
      <c r="AG214" s="256"/>
      <c r="AH214" s="256"/>
      <c r="AI214" s="256"/>
      <c r="AJ214" s="256"/>
    </row>
    <row r="215" spans="2:36" ht="15.75" x14ac:dyDescent="0.25">
      <c r="B215" s="260"/>
      <c r="C215" s="260"/>
      <c r="D215" s="260"/>
      <c r="E215" s="260"/>
      <c r="F215" s="370">
        <v>100</v>
      </c>
      <c r="G215" s="256">
        <v>9218177.8545095026</v>
      </c>
      <c r="H215" s="256" t="str">
        <f t="shared" si="60"/>
        <v/>
      </c>
      <c r="I215" s="256" t="str">
        <f t="shared" si="61"/>
        <v/>
      </c>
      <c r="J215" s="371">
        <f>LOOKUP(MAX($I$205:$I$215),$G$205:$G$215,$F$205:$F$215)</f>
        <v>30</v>
      </c>
      <c r="K215" s="256">
        <v>292997.89909000328</v>
      </c>
      <c r="L215" s="256" t="str">
        <f t="shared" si="62"/>
        <v/>
      </c>
      <c r="M215" s="256" t="str">
        <f t="shared" si="63"/>
        <v/>
      </c>
      <c r="N215" s="371">
        <f>LOOKUP(MAX($M$205:$M$215),$K$205:$K$215,$J$205:$J$215)</f>
        <v>29</v>
      </c>
      <c r="O215" s="256">
        <v>143689.82840286833</v>
      </c>
      <c r="P215" s="256" t="str">
        <f t="shared" si="66"/>
        <v/>
      </c>
      <c r="Q215" s="256" t="str">
        <f t="shared" si="67"/>
        <v/>
      </c>
      <c r="R215" s="256"/>
      <c r="S215" s="256"/>
      <c r="T215" s="256"/>
      <c r="U215" s="256"/>
      <c r="V215" s="256"/>
      <c r="W215" s="256"/>
      <c r="X215" s="256"/>
      <c r="Y215" s="256"/>
      <c r="Z215" s="256"/>
      <c r="AA215" s="256"/>
      <c r="AB215" s="256"/>
      <c r="AC215" s="256"/>
      <c r="AD215" s="256"/>
      <c r="AE215" s="256"/>
      <c r="AF215" s="256"/>
      <c r="AG215" s="256"/>
      <c r="AH215" s="256"/>
      <c r="AI215" s="256"/>
      <c r="AJ215" s="256"/>
    </row>
    <row r="216" spans="2:36" ht="15.75" thickBot="1" x14ac:dyDescent="0.3">
      <c r="B216" s="262"/>
      <c r="C216" s="262"/>
      <c r="D216" s="262"/>
      <c r="E216" s="262"/>
      <c r="F216" s="372"/>
      <c r="G216" s="262"/>
      <c r="H216" s="262"/>
      <c r="I216" s="262"/>
      <c r="J216" s="262"/>
      <c r="K216" s="262"/>
      <c r="L216" s="262"/>
      <c r="M216" s="262"/>
      <c r="N216" s="262"/>
      <c r="O216" s="262"/>
      <c r="P216" s="262"/>
      <c r="Q216" s="262"/>
      <c r="R216" s="262"/>
      <c r="S216" s="262"/>
      <c r="T216" s="262"/>
      <c r="U216" s="262"/>
      <c r="V216" s="262"/>
      <c r="W216" s="262"/>
      <c r="X216" s="262"/>
      <c r="Y216" s="262"/>
      <c r="Z216" s="262"/>
      <c r="AA216" s="262"/>
      <c r="AB216" s="262"/>
      <c r="AC216" s="262"/>
      <c r="AD216" s="262"/>
      <c r="AE216" s="262"/>
      <c r="AF216" s="262"/>
      <c r="AG216" s="262"/>
      <c r="AH216" s="262"/>
      <c r="AI216" s="262"/>
      <c r="AJ216" s="262"/>
    </row>
    <row r="217" spans="2:36" x14ac:dyDescent="0.25">
      <c r="F217" s="366"/>
    </row>
    <row r="218" spans="2:36" x14ac:dyDescent="0.25">
      <c r="F218" s="366"/>
    </row>
    <row r="219" spans="2:36" x14ac:dyDescent="0.25">
      <c r="F219" s="366"/>
    </row>
    <row r="220" spans="2:36" x14ac:dyDescent="0.25">
      <c r="F220" s="366"/>
    </row>
    <row r="221" spans="2:36" x14ac:dyDescent="0.25">
      <c r="F221" s="366"/>
    </row>
    <row r="222" spans="2:36" x14ac:dyDescent="0.25">
      <c r="F222" s="366"/>
    </row>
    <row r="223" spans="2:36" x14ac:dyDescent="0.25">
      <c r="F223" s="366"/>
    </row>
    <row r="224" spans="2:36" x14ac:dyDescent="0.25">
      <c r="F224" s="366"/>
    </row>
    <row r="225" spans="6:6" x14ac:dyDescent="0.25">
      <c r="F225" s="366"/>
    </row>
    <row r="226" spans="6:6" x14ac:dyDescent="0.25">
      <c r="F226" s="366"/>
    </row>
    <row r="227" spans="6:6" x14ac:dyDescent="0.25">
      <c r="F227" s="366"/>
    </row>
    <row r="228" spans="6:6" x14ac:dyDescent="0.25">
      <c r="F228" s="366"/>
    </row>
  </sheetData>
  <mergeCells count="3">
    <mergeCell ref="C96:E96"/>
    <mergeCell ref="B70:C70"/>
    <mergeCell ref="B72:C72"/>
  </mergeCells>
  <dataValidations disablePrompts="1" count="1">
    <dataValidation type="list" allowBlank="1" showInputMessage="1" showErrorMessage="1" sqref="E65623 HW65623 RS65623 ABO65623 ALK65623 AVG65623 BFC65623 BOY65623 BYU65623 CIQ65623 CSM65623 DCI65623 DME65623 DWA65623 EFW65623 EPS65623 EZO65623 FJK65623 FTG65623 GDC65623 GMY65623 GWU65623 HGQ65623 HQM65623 IAI65623 IKE65623 IUA65623 JDW65623 JNS65623 JXO65623 KHK65623 KRG65623 LBC65623 LKY65623 LUU65623 MEQ65623 MOM65623 MYI65623 NIE65623 NSA65623 OBW65623 OLS65623 OVO65623 PFK65623 PPG65623 PZC65623 QIY65623 QSU65623 RCQ65623 RMM65623 RWI65623 SGE65623 SQA65623 SZW65623 TJS65623 TTO65623 UDK65623 UNG65623 UXC65623 VGY65623 VQU65623 WAQ65623 WKM65623 WUI65623 HW131159 RS131159 ABO131159 ALK131159 AVG131159 BFC131159 BOY131159 BYU131159 CIQ131159 CSM131159 DCI131159 DME131159 DWA131159 EFW131159 EPS131159 EZO131159 FJK131159 FTG131159 GDC131159 GMY131159 GWU131159 HGQ131159 HQM131159 IAI131159 IKE131159 IUA131159 JDW131159 JNS131159 JXO131159 KHK131159 KRG131159 LBC131159 LKY131159 LUU131159 MEQ131159 MOM131159 MYI131159 NIE131159 NSA131159 OBW131159 OLS131159 OVO131159 PFK131159 PPG131159 PZC131159 QIY131159 QSU131159 RCQ131159 RMM131159 RWI131159 SGE131159 SQA131159 SZW131159 TJS131159 TTO131159 UDK131159 UNG131159 UXC131159 VGY131159 VQU131159 WAQ131159 WKM131159 WUI131159 HW196695 RS196695 ABO196695 ALK196695 AVG196695 BFC196695 BOY196695 BYU196695 CIQ196695 CSM196695 DCI196695 DME196695 DWA196695 EFW196695 EPS196695 EZO196695 FJK196695 FTG196695 GDC196695 GMY196695 GWU196695 HGQ196695 HQM196695 IAI196695 IKE196695 IUA196695 JDW196695 JNS196695 JXO196695 KHK196695 KRG196695 LBC196695 LKY196695 LUU196695 MEQ196695 MOM196695 MYI196695 NIE196695 NSA196695 OBW196695 OLS196695 OVO196695 PFK196695 PPG196695 PZC196695 QIY196695 QSU196695 RCQ196695 RMM196695 RWI196695 SGE196695 SQA196695 SZW196695 TJS196695 TTO196695 UDK196695 UNG196695 UXC196695 VGY196695 VQU196695 WAQ196695 WKM196695 WUI196695 HW262231 RS262231 ABO262231 ALK262231 AVG262231 BFC262231 BOY262231 BYU262231 CIQ262231 CSM262231 DCI262231 DME262231 DWA262231 EFW262231 EPS262231 EZO262231 FJK262231 FTG262231 GDC262231 GMY262231 GWU262231 HGQ262231 HQM262231 IAI262231 IKE262231 IUA262231 JDW262231 JNS262231 JXO262231 KHK262231 KRG262231 LBC262231 LKY262231 LUU262231 MEQ262231 MOM262231 MYI262231 NIE262231 NSA262231 OBW262231 OLS262231 OVO262231 PFK262231 PPG262231 PZC262231 QIY262231 QSU262231 RCQ262231 RMM262231 RWI262231 SGE262231 SQA262231 SZW262231 TJS262231 TTO262231 UDK262231 UNG262231 UXC262231 VGY262231 VQU262231 WAQ262231 WKM262231 WUI262231 HW327767 RS327767 ABO327767 ALK327767 AVG327767 BFC327767 BOY327767 BYU327767 CIQ327767 CSM327767 DCI327767 DME327767 DWA327767 EFW327767 EPS327767 EZO327767 FJK327767 FTG327767 GDC327767 GMY327767 GWU327767 HGQ327767 HQM327767 IAI327767 IKE327767 IUA327767 JDW327767 JNS327767 JXO327767 KHK327767 KRG327767 LBC327767 LKY327767 LUU327767 MEQ327767 MOM327767 MYI327767 NIE327767 NSA327767 OBW327767 OLS327767 OVO327767 PFK327767 PPG327767 PZC327767 QIY327767 QSU327767 RCQ327767 RMM327767 RWI327767 SGE327767 SQA327767 SZW327767 TJS327767 TTO327767 UDK327767 UNG327767 UXC327767 VGY327767 VQU327767 WAQ327767 WKM327767 WUI327767 HW393303 RS393303 ABO393303 ALK393303 AVG393303 BFC393303 BOY393303 BYU393303 CIQ393303 CSM393303 DCI393303 DME393303 DWA393303 EFW393303 EPS393303 EZO393303 FJK393303 FTG393303 GDC393303 GMY393303 GWU393303 HGQ393303 HQM393303 IAI393303 IKE393303 IUA393303 JDW393303 JNS393303 JXO393303 KHK393303 KRG393303 LBC393303 LKY393303 LUU393303 MEQ393303 MOM393303 MYI393303 NIE393303 NSA393303 OBW393303 OLS393303 OVO393303 PFK393303 PPG393303 PZC393303 QIY393303 QSU393303 RCQ393303 RMM393303 RWI393303 SGE393303 SQA393303 SZW393303 TJS393303 TTO393303 UDK393303 UNG393303 UXC393303 VGY393303 VQU393303 WAQ393303 WKM393303 WUI393303 HW458839 RS458839 ABO458839 ALK458839 AVG458839 BFC458839 BOY458839 BYU458839 CIQ458839 CSM458839 DCI458839 DME458839 DWA458839 EFW458839 EPS458839 EZO458839 FJK458839 FTG458839 GDC458839 GMY458839 GWU458839 HGQ458839 HQM458839 IAI458839 IKE458839 IUA458839 JDW458839 JNS458839 JXO458839 KHK458839 KRG458839 LBC458839 LKY458839 LUU458839 MEQ458839 MOM458839 MYI458839 NIE458839 NSA458839 OBW458839 OLS458839 OVO458839 PFK458839 PPG458839 PZC458839 QIY458839 QSU458839 RCQ458839 RMM458839 RWI458839 SGE458839 SQA458839 SZW458839 TJS458839 TTO458839 UDK458839 UNG458839 UXC458839 VGY458839 VQU458839 WAQ458839 WKM458839 WUI458839 HW524375 RS524375 ABO524375 ALK524375 AVG524375 BFC524375 BOY524375 BYU524375 CIQ524375 CSM524375 DCI524375 DME524375 DWA524375 EFW524375 EPS524375 EZO524375 FJK524375 FTG524375 GDC524375 GMY524375 GWU524375 HGQ524375 HQM524375 IAI524375 IKE524375 IUA524375 JDW524375 JNS524375 JXO524375 KHK524375 KRG524375 LBC524375 LKY524375 LUU524375 MEQ524375 MOM524375 MYI524375 NIE524375 NSA524375 OBW524375 OLS524375 OVO524375 PFK524375 PPG524375 PZC524375 QIY524375 QSU524375 RCQ524375 RMM524375 RWI524375 SGE524375 SQA524375 SZW524375 TJS524375 TTO524375 UDK524375 UNG524375 UXC524375 VGY524375 VQU524375 WAQ524375 WKM524375 WUI524375 HW589911 RS589911 ABO589911 ALK589911 AVG589911 BFC589911 BOY589911 BYU589911 CIQ589911 CSM589911 DCI589911 DME589911 DWA589911 EFW589911 EPS589911 EZO589911 FJK589911 FTG589911 GDC589911 GMY589911 GWU589911 HGQ589911 HQM589911 IAI589911 IKE589911 IUA589911 JDW589911 JNS589911 JXO589911 KHK589911 KRG589911 LBC589911 LKY589911 LUU589911 MEQ589911 MOM589911 MYI589911 NIE589911 NSA589911 OBW589911 OLS589911 OVO589911 PFK589911 PPG589911 PZC589911 QIY589911 QSU589911 RCQ589911 RMM589911 RWI589911 SGE589911 SQA589911 SZW589911 TJS589911 TTO589911 UDK589911 UNG589911 UXC589911 VGY589911 VQU589911 WAQ589911 WKM589911 WUI589911 HW655447 RS655447 ABO655447 ALK655447 AVG655447 BFC655447 BOY655447 BYU655447 CIQ655447 CSM655447 DCI655447 DME655447 DWA655447 EFW655447 EPS655447 EZO655447 FJK655447 FTG655447 GDC655447 GMY655447 GWU655447 HGQ655447 HQM655447 IAI655447 IKE655447 IUA655447 JDW655447 JNS655447 JXO655447 KHK655447 KRG655447 LBC655447 LKY655447 LUU655447 MEQ655447 MOM655447 MYI655447 NIE655447 NSA655447 OBW655447 OLS655447 OVO655447 PFK655447 PPG655447 PZC655447 QIY655447 QSU655447 RCQ655447 RMM655447 RWI655447 SGE655447 SQA655447 SZW655447 TJS655447 TTO655447 UDK655447 UNG655447 UXC655447 VGY655447 VQU655447 WAQ655447 WKM655447 WUI655447 HW720983 RS720983 ABO720983 ALK720983 AVG720983 BFC720983 BOY720983 BYU720983 CIQ720983 CSM720983 DCI720983 DME720983 DWA720983 EFW720983 EPS720983 EZO720983 FJK720983 FTG720983 GDC720983 GMY720983 GWU720983 HGQ720983 HQM720983 IAI720983 IKE720983 IUA720983 JDW720983 JNS720983 JXO720983 KHK720983 KRG720983 LBC720983 LKY720983 LUU720983 MEQ720983 MOM720983 MYI720983 NIE720983 NSA720983 OBW720983 OLS720983 OVO720983 PFK720983 PPG720983 PZC720983 QIY720983 QSU720983 RCQ720983 RMM720983 RWI720983 SGE720983 SQA720983 SZW720983 TJS720983 TTO720983 UDK720983 UNG720983 UXC720983 VGY720983 VQU720983 WAQ720983 WKM720983 WUI720983 HW786519 RS786519 ABO786519 ALK786519 AVG786519 BFC786519 BOY786519 BYU786519 CIQ786519 CSM786519 DCI786519 DME786519 DWA786519 EFW786519 EPS786519 EZO786519 FJK786519 FTG786519 GDC786519 GMY786519 GWU786519 HGQ786519 HQM786519 IAI786519 IKE786519 IUA786519 JDW786519 JNS786519 JXO786519 KHK786519 KRG786519 LBC786519 LKY786519 LUU786519 MEQ786519 MOM786519 MYI786519 NIE786519 NSA786519 OBW786519 OLS786519 OVO786519 PFK786519 PPG786519 PZC786519 QIY786519 QSU786519 RCQ786519 RMM786519 RWI786519 SGE786519 SQA786519 SZW786519 TJS786519 TTO786519 UDK786519 UNG786519 UXC786519 VGY786519 VQU786519 WAQ786519 WKM786519 WUI786519 HW852055 RS852055 ABO852055 ALK852055 AVG852055 BFC852055 BOY852055 BYU852055 CIQ852055 CSM852055 DCI852055 DME852055 DWA852055 EFW852055 EPS852055 EZO852055 FJK852055 FTG852055 GDC852055 GMY852055 GWU852055 HGQ852055 HQM852055 IAI852055 IKE852055 IUA852055 JDW852055 JNS852055 JXO852055 KHK852055 KRG852055 LBC852055 LKY852055 LUU852055 MEQ852055 MOM852055 MYI852055 NIE852055 NSA852055 OBW852055 OLS852055 OVO852055 PFK852055 PPG852055 PZC852055 QIY852055 QSU852055 RCQ852055 RMM852055 RWI852055 SGE852055 SQA852055 SZW852055 TJS852055 TTO852055 UDK852055 UNG852055 UXC852055 VGY852055 VQU852055 WAQ852055 WKM852055 WUI852055 HW917591 RS917591 ABO917591 ALK917591 AVG917591 BFC917591 BOY917591 BYU917591 CIQ917591 CSM917591 DCI917591 DME917591 DWA917591 EFW917591 EPS917591 EZO917591 FJK917591 FTG917591 GDC917591 GMY917591 GWU917591 HGQ917591 HQM917591 IAI917591 IKE917591 IUA917591 JDW917591 JNS917591 JXO917591 KHK917591 KRG917591 LBC917591 LKY917591 LUU917591 MEQ917591 MOM917591 MYI917591 NIE917591 NSA917591 OBW917591 OLS917591 OVO917591 PFK917591 PPG917591 PZC917591 QIY917591 QSU917591 RCQ917591 RMM917591 RWI917591 SGE917591 SQA917591 SZW917591 TJS917591 TTO917591 UDK917591 UNG917591 UXC917591 VGY917591 VQU917591 WAQ917591 WKM917591 WUI917591 HW983127 RS983127 ABO983127 ALK983127 AVG983127 BFC983127 BOY983127 BYU983127 CIQ983127 CSM983127 DCI983127 DME983127 DWA983127 EFW983127 EPS983127 EZO983127 FJK983127 FTG983127 GDC983127 GMY983127 GWU983127 HGQ983127 HQM983127 IAI983127 IKE983127 IUA983127 JDW983127 JNS983127 JXO983127 KHK983127 KRG983127 LBC983127 LKY983127 LUU983127 MEQ983127 MOM983127 MYI983127 NIE983127 NSA983127 OBW983127 OLS983127 OVO983127 PFK983127 PPG983127 PZC983127 QIY983127 QSU983127 RCQ983127 RMM983127 RWI983127 SGE983127 SQA983127 SZW983127 TJS983127 TTO983127 UDK983127 UNG983127 UXC983127 VGY983127 VQU983127 WAQ983127 WKM983127 WUI983127 HW65634 RS65634 ABO65634 ALK65634 AVG65634 BFC65634 BOY65634 BYU65634 CIQ65634 CSM65634 DCI65634 DME65634 DWA65634 EFW65634 EPS65634 EZO65634 FJK65634 FTG65634 GDC65634 GMY65634 GWU65634 HGQ65634 HQM65634 IAI65634 IKE65634 IUA65634 JDW65634 JNS65634 JXO65634 KHK65634 KRG65634 LBC65634 LKY65634 LUU65634 MEQ65634 MOM65634 MYI65634 NIE65634 NSA65634 OBW65634 OLS65634 OVO65634 PFK65634 PPG65634 PZC65634 QIY65634 QSU65634 RCQ65634 RMM65634 RWI65634 SGE65634 SQA65634 SZW65634 TJS65634 TTO65634 UDK65634 UNG65634 UXC65634 VGY65634 VQU65634 WAQ65634 WKM65634 WUI65634 HW131170 RS131170 ABO131170 ALK131170 AVG131170 BFC131170 BOY131170 BYU131170 CIQ131170 CSM131170 DCI131170 DME131170 DWA131170 EFW131170 EPS131170 EZO131170 FJK131170 FTG131170 GDC131170 GMY131170 GWU131170 HGQ131170 HQM131170 IAI131170 IKE131170 IUA131170 JDW131170 JNS131170 JXO131170 KHK131170 KRG131170 LBC131170 LKY131170 LUU131170 MEQ131170 MOM131170 MYI131170 NIE131170 NSA131170 OBW131170 OLS131170 OVO131170 PFK131170 PPG131170 PZC131170 QIY131170 QSU131170 RCQ131170 RMM131170 RWI131170 SGE131170 SQA131170 SZW131170 TJS131170 TTO131170 UDK131170 UNG131170 UXC131170 VGY131170 VQU131170 WAQ131170 WKM131170 WUI131170 HW196706 RS196706 ABO196706 ALK196706 AVG196706 BFC196706 BOY196706 BYU196706 CIQ196706 CSM196706 DCI196706 DME196706 DWA196706 EFW196706 EPS196706 EZO196706 FJK196706 FTG196706 GDC196706 GMY196706 GWU196706 HGQ196706 HQM196706 IAI196706 IKE196706 IUA196706 JDW196706 JNS196706 JXO196706 KHK196706 KRG196706 LBC196706 LKY196706 LUU196706 MEQ196706 MOM196706 MYI196706 NIE196706 NSA196706 OBW196706 OLS196706 OVO196706 PFK196706 PPG196706 PZC196706 QIY196706 QSU196706 RCQ196706 RMM196706 RWI196706 SGE196706 SQA196706 SZW196706 TJS196706 TTO196706 UDK196706 UNG196706 UXC196706 VGY196706 VQU196706 WAQ196706 WKM196706 WUI196706 HW262242 RS262242 ABO262242 ALK262242 AVG262242 BFC262242 BOY262242 BYU262242 CIQ262242 CSM262242 DCI262242 DME262242 DWA262242 EFW262242 EPS262242 EZO262242 FJK262242 FTG262242 GDC262242 GMY262242 GWU262242 HGQ262242 HQM262242 IAI262242 IKE262242 IUA262242 JDW262242 JNS262242 JXO262242 KHK262242 KRG262242 LBC262242 LKY262242 LUU262242 MEQ262242 MOM262242 MYI262242 NIE262242 NSA262242 OBW262242 OLS262242 OVO262242 PFK262242 PPG262242 PZC262242 QIY262242 QSU262242 RCQ262242 RMM262242 RWI262242 SGE262242 SQA262242 SZW262242 TJS262242 TTO262242 UDK262242 UNG262242 UXC262242 VGY262242 VQU262242 WAQ262242 WKM262242 WUI262242 HW327778 RS327778 ABO327778 ALK327778 AVG327778 BFC327778 BOY327778 BYU327778 CIQ327778 CSM327778 DCI327778 DME327778 DWA327778 EFW327778 EPS327778 EZO327778 FJK327778 FTG327778 GDC327778 GMY327778 GWU327778 HGQ327778 HQM327778 IAI327778 IKE327778 IUA327778 JDW327778 JNS327778 JXO327778 KHK327778 KRG327778 LBC327778 LKY327778 LUU327778 MEQ327778 MOM327778 MYI327778 NIE327778 NSA327778 OBW327778 OLS327778 OVO327778 PFK327778 PPG327778 PZC327778 QIY327778 QSU327778 RCQ327778 RMM327778 RWI327778 SGE327778 SQA327778 SZW327778 TJS327778 TTO327778 UDK327778 UNG327778 UXC327778 VGY327778 VQU327778 WAQ327778 WKM327778 WUI327778 HW393314 RS393314 ABO393314 ALK393314 AVG393314 BFC393314 BOY393314 BYU393314 CIQ393314 CSM393314 DCI393314 DME393314 DWA393314 EFW393314 EPS393314 EZO393314 FJK393314 FTG393314 GDC393314 GMY393314 GWU393314 HGQ393314 HQM393314 IAI393314 IKE393314 IUA393314 JDW393314 JNS393314 JXO393314 KHK393314 KRG393314 LBC393314 LKY393314 LUU393314 MEQ393314 MOM393314 MYI393314 NIE393314 NSA393314 OBW393314 OLS393314 OVO393314 PFK393314 PPG393314 PZC393314 QIY393314 QSU393314 RCQ393314 RMM393314 RWI393314 SGE393314 SQA393314 SZW393314 TJS393314 TTO393314 UDK393314 UNG393314 UXC393314 VGY393314 VQU393314 WAQ393314 WKM393314 WUI393314 HW458850 RS458850 ABO458850 ALK458850 AVG458850 BFC458850 BOY458850 BYU458850 CIQ458850 CSM458850 DCI458850 DME458850 DWA458850 EFW458850 EPS458850 EZO458850 FJK458850 FTG458850 GDC458850 GMY458850 GWU458850 HGQ458850 HQM458850 IAI458850 IKE458850 IUA458850 JDW458850 JNS458850 JXO458850 KHK458850 KRG458850 LBC458850 LKY458850 LUU458850 MEQ458850 MOM458850 MYI458850 NIE458850 NSA458850 OBW458850 OLS458850 OVO458850 PFK458850 PPG458850 PZC458850 QIY458850 QSU458850 RCQ458850 RMM458850 RWI458850 SGE458850 SQA458850 SZW458850 TJS458850 TTO458850 UDK458850 UNG458850 UXC458850 VGY458850 VQU458850 WAQ458850 WKM458850 WUI458850 HW524386 RS524386 ABO524386 ALK524386 AVG524386 BFC524386 BOY524386 BYU524386 CIQ524386 CSM524386 DCI524386 DME524386 DWA524386 EFW524386 EPS524386 EZO524386 FJK524386 FTG524386 GDC524386 GMY524386 GWU524386 HGQ524386 HQM524386 IAI524386 IKE524386 IUA524386 JDW524386 JNS524386 JXO524386 KHK524386 KRG524386 LBC524386 LKY524386 LUU524386 MEQ524386 MOM524386 MYI524386 NIE524386 NSA524386 OBW524386 OLS524386 OVO524386 PFK524386 PPG524386 PZC524386 QIY524386 QSU524386 RCQ524386 RMM524386 RWI524386 SGE524386 SQA524386 SZW524386 TJS524386 TTO524386 UDK524386 UNG524386 UXC524386 VGY524386 VQU524386 WAQ524386 WKM524386 WUI524386 HW589922 RS589922 ABO589922 ALK589922 AVG589922 BFC589922 BOY589922 BYU589922 CIQ589922 CSM589922 DCI589922 DME589922 DWA589922 EFW589922 EPS589922 EZO589922 FJK589922 FTG589922 GDC589922 GMY589922 GWU589922 HGQ589922 HQM589922 IAI589922 IKE589922 IUA589922 JDW589922 JNS589922 JXO589922 KHK589922 KRG589922 LBC589922 LKY589922 LUU589922 MEQ589922 MOM589922 MYI589922 NIE589922 NSA589922 OBW589922 OLS589922 OVO589922 PFK589922 PPG589922 PZC589922 QIY589922 QSU589922 RCQ589922 RMM589922 RWI589922 SGE589922 SQA589922 SZW589922 TJS589922 TTO589922 UDK589922 UNG589922 UXC589922 VGY589922 VQU589922 WAQ589922 WKM589922 WUI589922 HW655458 RS655458 ABO655458 ALK655458 AVG655458 BFC655458 BOY655458 BYU655458 CIQ655458 CSM655458 DCI655458 DME655458 DWA655458 EFW655458 EPS655458 EZO655458 FJK655458 FTG655458 GDC655458 GMY655458 GWU655458 HGQ655458 HQM655458 IAI655458 IKE655458 IUA655458 JDW655458 JNS655458 JXO655458 KHK655458 KRG655458 LBC655458 LKY655458 LUU655458 MEQ655458 MOM655458 MYI655458 NIE655458 NSA655458 OBW655458 OLS655458 OVO655458 PFK655458 PPG655458 PZC655458 QIY655458 QSU655458 RCQ655458 RMM655458 RWI655458 SGE655458 SQA655458 SZW655458 TJS655458 TTO655458 UDK655458 UNG655458 UXC655458 VGY655458 VQU655458 WAQ655458 WKM655458 WUI655458 HW720994 RS720994 ABO720994 ALK720994 AVG720994 BFC720994 BOY720994 BYU720994 CIQ720994 CSM720994 DCI720994 DME720994 DWA720994 EFW720994 EPS720994 EZO720994 FJK720994 FTG720994 GDC720994 GMY720994 GWU720994 HGQ720994 HQM720994 IAI720994 IKE720994 IUA720994 JDW720994 JNS720994 JXO720994 KHK720994 KRG720994 LBC720994 LKY720994 LUU720994 MEQ720994 MOM720994 MYI720994 NIE720994 NSA720994 OBW720994 OLS720994 OVO720994 PFK720994 PPG720994 PZC720994 QIY720994 QSU720994 RCQ720994 RMM720994 RWI720994 SGE720994 SQA720994 SZW720994 TJS720994 TTO720994 UDK720994 UNG720994 UXC720994 VGY720994 VQU720994 WAQ720994 WKM720994 WUI720994 HW786530 RS786530 ABO786530 ALK786530 AVG786530 BFC786530 BOY786530 BYU786530 CIQ786530 CSM786530 DCI786530 DME786530 DWA786530 EFW786530 EPS786530 EZO786530 FJK786530 FTG786530 GDC786530 GMY786530 GWU786530 HGQ786530 HQM786530 IAI786530 IKE786530 IUA786530 JDW786530 JNS786530 JXO786530 KHK786530 KRG786530 LBC786530 LKY786530 LUU786530 MEQ786530 MOM786530 MYI786530 NIE786530 NSA786530 OBW786530 OLS786530 OVO786530 PFK786530 PPG786530 PZC786530 QIY786530 QSU786530 RCQ786530 RMM786530 RWI786530 SGE786530 SQA786530 SZW786530 TJS786530 TTO786530 UDK786530 UNG786530 UXC786530 VGY786530 VQU786530 WAQ786530 WKM786530 WUI786530 HW852066 RS852066 ABO852066 ALK852066 AVG852066 BFC852066 BOY852066 BYU852066 CIQ852066 CSM852066 DCI852066 DME852066 DWA852066 EFW852066 EPS852066 EZO852066 FJK852066 FTG852066 GDC852066 GMY852066 GWU852066 HGQ852066 HQM852066 IAI852066 IKE852066 IUA852066 JDW852066 JNS852066 JXO852066 KHK852066 KRG852066 LBC852066 LKY852066 LUU852066 MEQ852066 MOM852066 MYI852066 NIE852066 NSA852066 OBW852066 OLS852066 OVO852066 PFK852066 PPG852066 PZC852066 QIY852066 QSU852066 RCQ852066 RMM852066 RWI852066 SGE852066 SQA852066 SZW852066 TJS852066 TTO852066 UDK852066 UNG852066 UXC852066 VGY852066 VQU852066 WAQ852066 WKM852066 WUI852066 HW917602 RS917602 ABO917602 ALK917602 AVG917602 BFC917602 BOY917602 BYU917602 CIQ917602 CSM917602 DCI917602 DME917602 DWA917602 EFW917602 EPS917602 EZO917602 FJK917602 FTG917602 GDC917602 GMY917602 GWU917602 HGQ917602 HQM917602 IAI917602 IKE917602 IUA917602 JDW917602 JNS917602 JXO917602 KHK917602 KRG917602 LBC917602 LKY917602 LUU917602 MEQ917602 MOM917602 MYI917602 NIE917602 NSA917602 OBW917602 OLS917602 OVO917602 PFK917602 PPG917602 PZC917602 QIY917602 QSU917602 RCQ917602 RMM917602 RWI917602 SGE917602 SQA917602 SZW917602 TJS917602 TTO917602 UDK917602 UNG917602 UXC917602 VGY917602 VQU917602 WAQ917602 WKM917602 WUI917602 HW983138 RS983138 ABO983138 ALK983138 AVG983138 BFC983138 BOY983138 BYU983138 CIQ983138 CSM983138 DCI983138 DME983138 DWA983138 EFW983138 EPS983138 EZO983138 FJK983138 FTG983138 GDC983138 GMY983138 GWU983138 HGQ983138 HQM983138 IAI983138 IKE983138 IUA983138 JDW983138 JNS983138 JXO983138 KHK983138 KRG983138 LBC983138 LKY983138 LUU983138 MEQ983138 MOM983138 MYI983138 NIE983138 NSA983138 OBW983138 OLS983138 OVO983138 PFK983138 PPG983138 PZC983138 QIY983138 QSU983138 RCQ983138 RMM983138 RWI983138 SGE983138 SQA983138 SZW983138 TJS983138 TTO983138 UDK983138 UNG983138 UXC983138 VGY983138 VQU983138 WAQ983138 WKM983138 WUI983138 HW65629 RS65629 ABO65629 ALK65629 AVG65629 BFC65629 BOY65629 BYU65629 CIQ65629 CSM65629 DCI65629 DME65629 DWA65629 EFW65629 EPS65629 EZO65629 FJK65629 FTG65629 GDC65629 GMY65629 GWU65629 HGQ65629 HQM65629 IAI65629 IKE65629 IUA65629 JDW65629 JNS65629 JXO65629 KHK65629 KRG65629 LBC65629 LKY65629 LUU65629 MEQ65629 MOM65629 MYI65629 NIE65629 NSA65629 OBW65629 OLS65629 OVO65629 PFK65629 PPG65629 PZC65629 QIY65629 QSU65629 RCQ65629 RMM65629 RWI65629 SGE65629 SQA65629 SZW65629 TJS65629 TTO65629 UDK65629 UNG65629 UXC65629 VGY65629 VQU65629 WAQ65629 WKM65629 WUI65629 HW131165 RS131165 ABO131165 ALK131165 AVG131165 BFC131165 BOY131165 BYU131165 CIQ131165 CSM131165 DCI131165 DME131165 DWA131165 EFW131165 EPS131165 EZO131165 FJK131165 FTG131165 GDC131165 GMY131165 GWU131165 HGQ131165 HQM131165 IAI131165 IKE131165 IUA131165 JDW131165 JNS131165 JXO131165 KHK131165 KRG131165 LBC131165 LKY131165 LUU131165 MEQ131165 MOM131165 MYI131165 NIE131165 NSA131165 OBW131165 OLS131165 OVO131165 PFK131165 PPG131165 PZC131165 QIY131165 QSU131165 RCQ131165 RMM131165 RWI131165 SGE131165 SQA131165 SZW131165 TJS131165 TTO131165 UDK131165 UNG131165 UXC131165 VGY131165 VQU131165 WAQ131165 WKM131165 WUI131165 HW196701 RS196701 ABO196701 ALK196701 AVG196701 BFC196701 BOY196701 BYU196701 CIQ196701 CSM196701 DCI196701 DME196701 DWA196701 EFW196701 EPS196701 EZO196701 FJK196701 FTG196701 GDC196701 GMY196701 GWU196701 HGQ196701 HQM196701 IAI196701 IKE196701 IUA196701 JDW196701 JNS196701 JXO196701 KHK196701 KRG196701 LBC196701 LKY196701 LUU196701 MEQ196701 MOM196701 MYI196701 NIE196701 NSA196701 OBW196701 OLS196701 OVO196701 PFK196701 PPG196701 PZC196701 QIY196701 QSU196701 RCQ196701 RMM196701 RWI196701 SGE196701 SQA196701 SZW196701 TJS196701 TTO196701 UDK196701 UNG196701 UXC196701 VGY196701 VQU196701 WAQ196701 WKM196701 WUI196701 HW262237 RS262237 ABO262237 ALK262237 AVG262237 BFC262237 BOY262237 BYU262237 CIQ262237 CSM262237 DCI262237 DME262237 DWA262237 EFW262237 EPS262237 EZO262237 FJK262237 FTG262237 GDC262237 GMY262237 GWU262237 HGQ262237 HQM262237 IAI262237 IKE262237 IUA262237 JDW262237 JNS262237 JXO262237 KHK262237 KRG262237 LBC262237 LKY262237 LUU262237 MEQ262237 MOM262237 MYI262237 NIE262237 NSA262237 OBW262237 OLS262237 OVO262237 PFK262237 PPG262237 PZC262237 QIY262237 QSU262237 RCQ262237 RMM262237 RWI262237 SGE262237 SQA262237 SZW262237 TJS262237 TTO262237 UDK262237 UNG262237 UXC262237 VGY262237 VQU262237 WAQ262237 WKM262237 WUI262237 HW327773 RS327773 ABO327773 ALK327773 AVG327773 BFC327773 BOY327773 BYU327773 CIQ327773 CSM327773 DCI327773 DME327773 DWA327773 EFW327773 EPS327773 EZO327773 FJK327773 FTG327773 GDC327773 GMY327773 GWU327773 HGQ327773 HQM327773 IAI327773 IKE327773 IUA327773 JDW327773 JNS327773 JXO327773 KHK327773 KRG327773 LBC327773 LKY327773 LUU327773 MEQ327773 MOM327773 MYI327773 NIE327773 NSA327773 OBW327773 OLS327773 OVO327773 PFK327773 PPG327773 PZC327773 QIY327773 QSU327773 RCQ327773 RMM327773 RWI327773 SGE327773 SQA327773 SZW327773 TJS327773 TTO327773 UDK327773 UNG327773 UXC327773 VGY327773 VQU327773 WAQ327773 WKM327773 WUI327773 HW393309 RS393309 ABO393309 ALK393309 AVG393309 BFC393309 BOY393309 BYU393309 CIQ393309 CSM393309 DCI393309 DME393309 DWA393309 EFW393309 EPS393309 EZO393309 FJK393309 FTG393309 GDC393309 GMY393309 GWU393309 HGQ393309 HQM393309 IAI393309 IKE393309 IUA393309 JDW393309 JNS393309 JXO393309 KHK393309 KRG393309 LBC393309 LKY393309 LUU393309 MEQ393309 MOM393309 MYI393309 NIE393309 NSA393309 OBW393309 OLS393309 OVO393309 PFK393309 PPG393309 PZC393309 QIY393309 QSU393309 RCQ393309 RMM393309 RWI393309 SGE393309 SQA393309 SZW393309 TJS393309 TTO393309 UDK393309 UNG393309 UXC393309 VGY393309 VQU393309 WAQ393309 WKM393309 WUI393309 HW458845 RS458845 ABO458845 ALK458845 AVG458845 BFC458845 BOY458845 BYU458845 CIQ458845 CSM458845 DCI458845 DME458845 DWA458845 EFW458845 EPS458845 EZO458845 FJK458845 FTG458845 GDC458845 GMY458845 GWU458845 HGQ458845 HQM458845 IAI458845 IKE458845 IUA458845 JDW458845 JNS458845 JXO458845 KHK458845 KRG458845 LBC458845 LKY458845 LUU458845 MEQ458845 MOM458845 MYI458845 NIE458845 NSA458845 OBW458845 OLS458845 OVO458845 PFK458845 PPG458845 PZC458845 QIY458845 QSU458845 RCQ458845 RMM458845 RWI458845 SGE458845 SQA458845 SZW458845 TJS458845 TTO458845 UDK458845 UNG458845 UXC458845 VGY458845 VQU458845 WAQ458845 WKM458845 WUI458845 HW524381 RS524381 ABO524381 ALK524381 AVG524381 BFC524381 BOY524381 BYU524381 CIQ524381 CSM524381 DCI524381 DME524381 DWA524381 EFW524381 EPS524381 EZO524381 FJK524381 FTG524381 GDC524381 GMY524381 GWU524381 HGQ524381 HQM524381 IAI524381 IKE524381 IUA524381 JDW524381 JNS524381 JXO524381 KHK524381 KRG524381 LBC524381 LKY524381 LUU524381 MEQ524381 MOM524381 MYI524381 NIE524381 NSA524381 OBW524381 OLS524381 OVO524381 PFK524381 PPG524381 PZC524381 QIY524381 QSU524381 RCQ524381 RMM524381 RWI524381 SGE524381 SQA524381 SZW524381 TJS524381 TTO524381 UDK524381 UNG524381 UXC524381 VGY524381 VQU524381 WAQ524381 WKM524381 WUI524381 HW589917 RS589917 ABO589917 ALK589917 AVG589917 BFC589917 BOY589917 BYU589917 CIQ589917 CSM589917 DCI589917 DME589917 DWA589917 EFW589917 EPS589917 EZO589917 FJK589917 FTG589917 GDC589917 GMY589917 GWU589917 HGQ589917 HQM589917 IAI589917 IKE589917 IUA589917 JDW589917 JNS589917 JXO589917 KHK589917 KRG589917 LBC589917 LKY589917 LUU589917 MEQ589917 MOM589917 MYI589917 NIE589917 NSA589917 OBW589917 OLS589917 OVO589917 PFK589917 PPG589917 PZC589917 QIY589917 QSU589917 RCQ589917 RMM589917 RWI589917 SGE589917 SQA589917 SZW589917 TJS589917 TTO589917 UDK589917 UNG589917 UXC589917 VGY589917 VQU589917 WAQ589917 WKM589917 WUI589917 HW655453 RS655453 ABO655453 ALK655453 AVG655453 BFC655453 BOY655453 BYU655453 CIQ655453 CSM655453 DCI655453 DME655453 DWA655453 EFW655453 EPS655453 EZO655453 FJK655453 FTG655453 GDC655453 GMY655453 GWU655453 HGQ655453 HQM655453 IAI655453 IKE655453 IUA655453 JDW655453 JNS655453 JXO655453 KHK655453 KRG655453 LBC655453 LKY655453 LUU655453 MEQ655453 MOM655453 MYI655453 NIE655453 NSA655453 OBW655453 OLS655453 OVO655453 PFK655453 PPG655453 PZC655453 QIY655453 QSU655453 RCQ655453 RMM655453 RWI655453 SGE655453 SQA655453 SZW655453 TJS655453 TTO655453 UDK655453 UNG655453 UXC655453 VGY655453 VQU655453 WAQ655453 WKM655453 WUI655453 HW720989 RS720989 ABO720989 ALK720989 AVG720989 BFC720989 BOY720989 BYU720989 CIQ720989 CSM720989 DCI720989 DME720989 DWA720989 EFW720989 EPS720989 EZO720989 FJK720989 FTG720989 GDC720989 GMY720989 GWU720989 HGQ720989 HQM720989 IAI720989 IKE720989 IUA720989 JDW720989 JNS720989 JXO720989 KHK720989 KRG720989 LBC720989 LKY720989 LUU720989 MEQ720989 MOM720989 MYI720989 NIE720989 NSA720989 OBW720989 OLS720989 OVO720989 PFK720989 PPG720989 PZC720989 QIY720989 QSU720989 RCQ720989 RMM720989 RWI720989 SGE720989 SQA720989 SZW720989 TJS720989 TTO720989 UDK720989 UNG720989 UXC720989 VGY720989 VQU720989 WAQ720989 WKM720989 WUI720989 HW786525 RS786525 ABO786525 ALK786525 AVG786525 BFC786525 BOY786525 BYU786525 CIQ786525 CSM786525 DCI786525 DME786525 DWA786525 EFW786525 EPS786525 EZO786525 FJK786525 FTG786525 GDC786525 GMY786525 GWU786525 HGQ786525 HQM786525 IAI786525 IKE786525 IUA786525 JDW786525 JNS786525 JXO786525 KHK786525 KRG786525 LBC786525 LKY786525 LUU786525 MEQ786525 MOM786525 MYI786525 NIE786525 NSA786525 OBW786525 OLS786525 OVO786525 PFK786525 PPG786525 PZC786525 QIY786525 QSU786525 RCQ786525 RMM786525 RWI786525 SGE786525 SQA786525 SZW786525 TJS786525 TTO786525 UDK786525 UNG786525 UXC786525 VGY786525 VQU786525 WAQ786525 WKM786525 WUI786525 HW852061 RS852061 ABO852061 ALK852061 AVG852061 BFC852061 BOY852061 BYU852061 CIQ852061 CSM852061 DCI852061 DME852061 DWA852061 EFW852061 EPS852061 EZO852061 FJK852061 FTG852061 GDC852061 GMY852061 GWU852061 HGQ852061 HQM852061 IAI852061 IKE852061 IUA852061 JDW852061 JNS852061 JXO852061 KHK852061 KRG852061 LBC852061 LKY852061 LUU852061 MEQ852061 MOM852061 MYI852061 NIE852061 NSA852061 OBW852061 OLS852061 OVO852061 PFK852061 PPG852061 PZC852061 QIY852061 QSU852061 RCQ852061 RMM852061 RWI852061 SGE852061 SQA852061 SZW852061 TJS852061 TTO852061 UDK852061 UNG852061 UXC852061 VGY852061 VQU852061 WAQ852061 WKM852061 WUI852061 HW917597 RS917597 ABO917597 ALK917597 AVG917597 BFC917597 BOY917597 BYU917597 CIQ917597 CSM917597 DCI917597 DME917597 DWA917597 EFW917597 EPS917597 EZO917597 FJK917597 FTG917597 GDC917597 GMY917597 GWU917597 HGQ917597 HQM917597 IAI917597 IKE917597 IUA917597 JDW917597 JNS917597 JXO917597 KHK917597 KRG917597 LBC917597 LKY917597 LUU917597 MEQ917597 MOM917597 MYI917597 NIE917597 NSA917597 OBW917597 OLS917597 OVO917597 PFK917597 PPG917597 PZC917597 QIY917597 QSU917597 RCQ917597 RMM917597 RWI917597 SGE917597 SQA917597 SZW917597 TJS917597 TTO917597 UDK917597 UNG917597 UXC917597 VGY917597 VQU917597 WAQ917597 WKM917597 WUI917597 HW983133 RS983133 ABO983133 ALK983133 AVG983133 BFC983133 BOY983133 BYU983133 CIQ983133 CSM983133 DCI983133 DME983133 DWA983133 EFW983133 EPS983133 EZO983133 FJK983133 FTG983133 GDC983133 GMY983133 GWU983133 HGQ983133 HQM983133 IAI983133 IKE983133 IUA983133 JDW983133 JNS983133 JXO983133 KHK983133 KRG983133 LBC983133 LKY983133 LUU983133 MEQ983133 MOM983133 MYI983133 NIE983133 NSA983133 OBW983133 OLS983133 OVO983133 PFK983133 PPG983133 PZC983133 QIY983133 QSU983133 RCQ983133 RMM983133 RWI983133 SGE983133 SQA983133 SZW983133 TJS983133 TTO983133 UDK983133 UNG983133 UXC983133 VGY983133 VQU983133 WAQ983133 WKM983133 WUI983133 E983133 E917597 E852061 E786525 E720989 E655453 E589917 E524381 E458845 E393309 E327773 E262237 E196701 E131165 E65629 E983138 E917602 E852066 E786530 E720994 E655458 E589922 E524386 E458850 E393314 E327778 E262242 E196706 E131170 E65634 E983127 E917591 E852055 E786519 E720983 E655447 E589911 E524375 E458839 E393303 E327767 E262231 E196695 E131159" xr:uid="{00000000-0002-0000-0400-000000000000}">
      <formula1>"Yes,No"</formula1>
    </dataValidation>
  </dataValidations>
  <pageMargins left="0.7" right="0.7" top="0.75" bottom="0.75" header="0.3" footer="0.3"/>
  <pageSetup orientation="portrait" horizontalDpi="4294967293" r:id="rId1"/>
  <ignoredErrors>
    <ignoredError sqref="D108 E107" formula="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N159"/>
  <sheetViews>
    <sheetView showGridLines="0" zoomScale="70" zoomScaleNormal="70" workbookViewId="0">
      <pane xSplit="1" ySplit="3" topLeftCell="B4" activePane="bottomRight" state="frozen"/>
      <selection pane="topRight" activeCell="B1" sqref="B1"/>
      <selection pane="bottomLeft" activeCell="A4" sqref="A4"/>
      <selection pane="bottomRight" activeCell="E5" sqref="E5"/>
    </sheetView>
  </sheetViews>
  <sheetFormatPr defaultColWidth="9.7109375" defaultRowHeight="15" x14ac:dyDescent="0.25"/>
  <cols>
    <col min="1" max="1" width="2.7109375" customWidth="1"/>
    <col min="2" max="2" width="69.7109375" customWidth="1"/>
    <col min="3" max="4" width="15.7109375" customWidth="1"/>
    <col min="5" max="5" width="48.140625" customWidth="1"/>
    <col min="6" max="7" width="13.7109375" customWidth="1"/>
    <col min="8" max="11" width="25.85546875" customWidth="1"/>
    <col min="12" max="14" width="13.7109375" customWidth="1"/>
  </cols>
  <sheetData>
    <row r="1" spans="2:11" ht="15.75" thickBot="1" x14ac:dyDescent="0.3">
      <c r="D1" s="44"/>
    </row>
    <row r="2" spans="2:11" ht="30" customHeight="1" thickBot="1" x14ac:dyDescent="0.3">
      <c r="B2" s="68" t="s">
        <v>243</v>
      </c>
      <c r="C2" s="47"/>
      <c r="D2" s="69"/>
      <c r="E2" s="48"/>
      <c r="G2" s="283"/>
      <c r="H2" s="283"/>
      <c r="I2" s="283"/>
      <c r="J2" s="283"/>
      <c r="K2" s="283"/>
    </row>
    <row r="3" spans="2:11" ht="18.75" thickBot="1" x14ac:dyDescent="0.3">
      <c r="B3" s="70" t="s">
        <v>173</v>
      </c>
      <c r="C3" s="71"/>
      <c r="D3" s="72"/>
      <c r="E3" s="79"/>
      <c r="G3" s="283"/>
      <c r="H3" s="283"/>
      <c r="I3" s="283"/>
      <c r="J3" s="283"/>
      <c r="K3" s="283"/>
    </row>
    <row r="4" spans="2:11" ht="15.75" thickBot="1" x14ac:dyDescent="0.3">
      <c r="D4" s="44"/>
    </row>
    <row r="5" spans="2:11" ht="30.75" thickBot="1" x14ac:dyDescent="0.3">
      <c r="B5" s="94" t="str">
        <f>Inputs!E20</f>
        <v>Generation Equipment</v>
      </c>
      <c r="C5" s="84" t="s">
        <v>0</v>
      </c>
      <c r="D5" s="85" t="s">
        <v>100</v>
      </c>
      <c r="E5" s="74" t="s">
        <v>169</v>
      </c>
    </row>
    <row r="6" spans="2:11" ht="15.75" x14ac:dyDescent="0.25">
      <c r="B6" s="116" t="s">
        <v>182</v>
      </c>
      <c r="C6" s="117">
        <v>3500000</v>
      </c>
      <c r="D6" s="118">
        <v>1</v>
      </c>
      <c r="E6" s="273" t="s">
        <v>22</v>
      </c>
    </row>
    <row r="7" spans="2:11" ht="15.75" x14ac:dyDescent="0.25">
      <c r="B7" s="119" t="s">
        <v>193</v>
      </c>
      <c r="C7" s="120">
        <v>500000</v>
      </c>
      <c r="D7" s="118">
        <v>1</v>
      </c>
      <c r="E7" s="273" t="s">
        <v>22</v>
      </c>
    </row>
    <row r="8" spans="2:11" ht="15.75" x14ac:dyDescent="0.25">
      <c r="B8" s="119" t="s">
        <v>194</v>
      </c>
      <c r="C8" s="120">
        <v>800000</v>
      </c>
      <c r="D8" s="118">
        <v>1</v>
      </c>
      <c r="E8" s="273" t="s">
        <v>22</v>
      </c>
    </row>
    <row r="9" spans="2:11" ht="15.75" x14ac:dyDescent="0.25">
      <c r="B9" s="119" t="s">
        <v>183</v>
      </c>
      <c r="C9" s="120">
        <v>200000</v>
      </c>
      <c r="D9" s="118">
        <v>1</v>
      </c>
      <c r="E9" s="273" t="s">
        <v>24</v>
      </c>
    </row>
    <row r="10" spans="2:11" ht="15.75" x14ac:dyDescent="0.25">
      <c r="B10" s="119" t="s">
        <v>184</v>
      </c>
      <c r="C10" s="120">
        <v>1000000</v>
      </c>
      <c r="D10" s="118">
        <v>1</v>
      </c>
      <c r="E10" s="273" t="s">
        <v>22</v>
      </c>
    </row>
    <row r="11" spans="2:11" ht="15.75" x14ac:dyDescent="0.25">
      <c r="B11" s="119" t="s">
        <v>101</v>
      </c>
      <c r="C11" s="120">
        <v>0</v>
      </c>
      <c r="D11" s="118">
        <v>1</v>
      </c>
      <c r="E11" s="273" t="s">
        <v>22</v>
      </c>
    </row>
    <row r="12" spans="2:11" ht="15.75" x14ac:dyDescent="0.25">
      <c r="B12" s="119" t="s">
        <v>101</v>
      </c>
      <c r="C12" s="120">
        <v>0</v>
      </c>
      <c r="D12" s="118">
        <v>1</v>
      </c>
      <c r="E12" s="273" t="s">
        <v>22</v>
      </c>
    </row>
    <row r="13" spans="2:11" ht="15.75" x14ac:dyDescent="0.25">
      <c r="B13" s="119" t="s">
        <v>101</v>
      </c>
      <c r="C13" s="120">
        <v>0</v>
      </c>
      <c r="D13" s="118">
        <v>1</v>
      </c>
      <c r="E13" s="273" t="s">
        <v>22</v>
      </c>
    </row>
    <row r="14" spans="2:11" ht="15.75" x14ac:dyDescent="0.25">
      <c r="B14" s="119" t="s">
        <v>101</v>
      </c>
      <c r="C14" s="120">
        <v>0</v>
      </c>
      <c r="D14" s="118">
        <v>1</v>
      </c>
      <c r="E14" s="273" t="s">
        <v>22</v>
      </c>
    </row>
    <row r="15" spans="2:11" ht="15.75" x14ac:dyDescent="0.25">
      <c r="B15" s="119" t="s">
        <v>101</v>
      </c>
      <c r="C15" s="120">
        <v>0</v>
      </c>
      <c r="D15" s="118">
        <v>1</v>
      </c>
      <c r="E15" s="273" t="s">
        <v>22</v>
      </c>
    </row>
    <row r="16" spans="2:11" ht="15.75" x14ac:dyDescent="0.25">
      <c r="B16" s="119" t="s">
        <v>101</v>
      </c>
      <c r="C16" s="120">
        <v>0</v>
      </c>
      <c r="D16" s="118">
        <v>1</v>
      </c>
      <c r="E16" s="273" t="s">
        <v>22</v>
      </c>
    </row>
    <row r="17" spans="2:5" ht="15.75" x14ac:dyDescent="0.25">
      <c r="B17" s="119" t="s">
        <v>101</v>
      </c>
      <c r="C17" s="120">
        <v>0</v>
      </c>
      <c r="D17" s="118">
        <v>1</v>
      </c>
      <c r="E17" s="273" t="s">
        <v>22</v>
      </c>
    </row>
    <row r="18" spans="2:5" ht="15.75" x14ac:dyDescent="0.25">
      <c r="B18" s="119" t="s">
        <v>101</v>
      </c>
      <c r="C18" s="120">
        <v>0</v>
      </c>
      <c r="D18" s="118">
        <v>1</v>
      </c>
      <c r="E18" s="273" t="s">
        <v>22</v>
      </c>
    </row>
    <row r="19" spans="2:5" ht="15.75" x14ac:dyDescent="0.25">
      <c r="B19" s="119" t="s">
        <v>101</v>
      </c>
      <c r="C19" s="120">
        <v>0</v>
      </c>
      <c r="D19" s="118">
        <v>1</v>
      </c>
      <c r="E19" s="273" t="s">
        <v>22</v>
      </c>
    </row>
    <row r="20" spans="2:5" ht="15.75" x14ac:dyDescent="0.25">
      <c r="B20" s="119" t="s">
        <v>101</v>
      </c>
      <c r="C20" s="120">
        <v>0</v>
      </c>
      <c r="D20" s="118">
        <v>1</v>
      </c>
      <c r="E20" s="273" t="s">
        <v>22</v>
      </c>
    </row>
    <row r="21" spans="2:5" ht="15.75" x14ac:dyDescent="0.25">
      <c r="B21" s="119" t="s">
        <v>101</v>
      </c>
      <c r="C21" s="120">
        <v>0</v>
      </c>
      <c r="D21" s="118">
        <v>1</v>
      </c>
      <c r="E21" s="273" t="s">
        <v>22</v>
      </c>
    </row>
    <row r="22" spans="2:5" ht="15.75" x14ac:dyDescent="0.25">
      <c r="B22" s="119" t="s">
        <v>101</v>
      </c>
      <c r="C22" s="120">
        <v>0</v>
      </c>
      <c r="D22" s="118">
        <v>1</v>
      </c>
      <c r="E22" s="273" t="s">
        <v>22</v>
      </c>
    </row>
    <row r="23" spans="2:5" ht="15.75" x14ac:dyDescent="0.25">
      <c r="B23" s="119" t="s">
        <v>101</v>
      </c>
      <c r="C23" s="120">
        <v>0</v>
      </c>
      <c r="D23" s="118">
        <v>1</v>
      </c>
      <c r="E23" s="273" t="s">
        <v>22</v>
      </c>
    </row>
    <row r="24" spans="2:5" ht="15.75" x14ac:dyDescent="0.25">
      <c r="B24" s="119" t="s">
        <v>101</v>
      </c>
      <c r="C24" s="120">
        <v>0</v>
      </c>
      <c r="D24" s="118">
        <v>1</v>
      </c>
      <c r="E24" s="273" t="s">
        <v>22</v>
      </c>
    </row>
    <row r="25" spans="2:5" ht="16.5" thickBot="1" x14ac:dyDescent="0.3">
      <c r="B25" s="121" t="s">
        <v>101</v>
      </c>
      <c r="C25" s="122">
        <v>0</v>
      </c>
      <c r="D25" s="123">
        <v>1</v>
      </c>
      <c r="E25" s="273" t="s">
        <v>22</v>
      </c>
    </row>
    <row r="26" spans="2:5" ht="30" customHeight="1" thickTop="1" x14ac:dyDescent="0.25">
      <c r="B26" s="80" t="s">
        <v>174</v>
      </c>
      <c r="C26" s="81">
        <f>SUM(C6:C25)</f>
        <v>6000000</v>
      </c>
      <c r="D26" s="55">
        <f>SUMPRODUCT(C6:C25,D6:D25)/C26</f>
        <v>1</v>
      </c>
      <c r="E26" s="82"/>
    </row>
    <row r="27" spans="2:5" ht="16.5" customHeight="1" x14ac:dyDescent="0.25">
      <c r="B27" s="89"/>
      <c r="C27" s="90"/>
      <c r="D27" s="75"/>
    </row>
    <row r="28" spans="2:5" ht="30" customHeight="1" x14ac:dyDescent="0.25">
      <c r="B28" s="52" t="s">
        <v>102</v>
      </c>
      <c r="C28" s="90"/>
      <c r="D28" s="75"/>
    </row>
    <row r="29" spans="2:5" ht="16.5" thickBot="1" x14ac:dyDescent="0.3">
      <c r="B29" s="91"/>
      <c r="C29" s="92"/>
      <c r="D29" s="93"/>
      <c r="E29" s="88"/>
    </row>
    <row r="30" spans="2:5" ht="30" customHeight="1" thickBot="1" x14ac:dyDescent="0.3">
      <c r="B30" s="94" t="str">
        <f>Inputs!E21</f>
        <v>Balance of Plant</v>
      </c>
      <c r="C30" s="84" t="s">
        <v>0</v>
      </c>
      <c r="D30" s="85" t="s">
        <v>100</v>
      </c>
      <c r="E30" s="74" t="s">
        <v>169</v>
      </c>
    </row>
    <row r="31" spans="2:5" ht="15.75" x14ac:dyDescent="0.25">
      <c r="B31" s="116" t="s">
        <v>195</v>
      </c>
      <c r="C31" s="117">
        <v>175000</v>
      </c>
      <c r="D31" s="118">
        <v>1</v>
      </c>
      <c r="E31" s="273" t="s">
        <v>25</v>
      </c>
    </row>
    <row r="32" spans="2:5" ht="15.75" x14ac:dyDescent="0.25">
      <c r="B32" s="119" t="s">
        <v>233</v>
      </c>
      <c r="C32" s="120">
        <v>2150000</v>
      </c>
      <c r="D32" s="118">
        <v>1</v>
      </c>
      <c r="E32" s="273" t="s">
        <v>22</v>
      </c>
    </row>
    <row r="33" spans="2:5" ht="15.75" x14ac:dyDescent="0.25">
      <c r="B33" s="119" t="s">
        <v>185</v>
      </c>
      <c r="C33" s="120">
        <v>0</v>
      </c>
      <c r="D33" s="118">
        <v>0</v>
      </c>
      <c r="E33" s="273" t="s">
        <v>25</v>
      </c>
    </row>
    <row r="34" spans="2:5" ht="15.75" x14ac:dyDescent="0.25">
      <c r="B34" s="119" t="s">
        <v>186</v>
      </c>
      <c r="C34" s="120">
        <v>100000</v>
      </c>
      <c r="D34" s="118">
        <v>1</v>
      </c>
      <c r="E34" s="273" t="s">
        <v>25</v>
      </c>
    </row>
    <row r="35" spans="2:5" ht="15.75" x14ac:dyDescent="0.25">
      <c r="B35" s="119" t="s">
        <v>75</v>
      </c>
      <c r="C35" s="120">
        <v>25000</v>
      </c>
      <c r="D35" s="118">
        <v>1</v>
      </c>
      <c r="E35" s="273" t="s">
        <v>22</v>
      </c>
    </row>
    <row r="36" spans="2:5" ht="15.75" x14ac:dyDescent="0.25">
      <c r="B36" s="119" t="s">
        <v>196</v>
      </c>
      <c r="C36" s="120">
        <v>50000</v>
      </c>
      <c r="D36" s="118">
        <v>1</v>
      </c>
      <c r="E36" s="273" t="s">
        <v>22</v>
      </c>
    </row>
    <row r="37" spans="2:5" ht="15.75" x14ac:dyDescent="0.25">
      <c r="B37" s="119" t="s">
        <v>101</v>
      </c>
      <c r="C37" s="120">
        <v>0</v>
      </c>
      <c r="D37" s="118">
        <v>1</v>
      </c>
      <c r="E37" s="273" t="s">
        <v>22</v>
      </c>
    </row>
    <row r="38" spans="2:5" ht="15.75" x14ac:dyDescent="0.25">
      <c r="B38" s="119" t="s">
        <v>101</v>
      </c>
      <c r="C38" s="120">
        <v>0</v>
      </c>
      <c r="D38" s="118">
        <v>1</v>
      </c>
      <c r="E38" s="273" t="s">
        <v>22</v>
      </c>
    </row>
    <row r="39" spans="2:5" ht="15.75" x14ac:dyDescent="0.25">
      <c r="B39" s="119" t="s">
        <v>101</v>
      </c>
      <c r="C39" s="120">
        <v>0</v>
      </c>
      <c r="D39" s="118">
        <v>1</v>
      </c>
      <c r="E39" s="273" t="s">
        <v>22</v>
      </c>
    </row>
    <row r="40" spans="2:5" ht="15.75" x14ac:dyDescent="0.25">
      <c r="B40" s="119" t="s">
        <v>101</v>
      </c>
      <c r="C40" s="120">
        <v>0</v>
      </c>
      <c r="D40" s="118">
        <v>1</v>
      </c>
      <c r="E40" s="273" t="s">
        <v>22</v>
      </c>
    </row>
    <row r="41" spans="2:5" ht="15.75" x14ac:dyDescent="0.25">
      <c r="B41" s="119" t="s">
        <v>101</v>
      </c>
      <c r="C41" s="120">
        <v>0</v>
      </c>
      <c r="D41" s="118">
        <v>1</v>
      </c>
      <c r="E41" s="273" t="s">
        <v>22</v>
      </c>
    </row>
    <row r="42" spans="2:5" ht="15.75" x14ac:dyDescent="0.25">
      <c r="B42" s="119" t="s">
        <v>101</v>
      </c>
      <c r="C42" s="120">
        <v>0</v>
      </c>
      <c r="D42" s="118">
        <v>1</v>
      </c>
      <c r="E42" s="273" t="s">
        <v>22</v>
      </c>
    </row>
    <row r="43" spans="2:5" ht="15.75" x14ac:dyDescent="0.25">
      <c r="B43" s="119" t="s">
        <v>101</v>
      </c>
      <c r="C43" s="120">
        <v>0</v>
      </c>
      <c r="D43" s="118">
        <v>1</v>
      </c>
      <c r="E43" s="273" t="s">
        <v>22</v>
      </c>
    </row>
    <row r="44" spans="2:5" ht="15.75" x14ac:dyDescent="0.25">
      <c r="B44" s="119" t="s">
        <v>101</v>
      </c>
      <c r="C44" s="120">
        <v>0</v>
      </c>
      <c r="D44" s="118">
        <v>1</v>
      </c>
      <c r="E44" s="273" t="s">
        <v>22</v>
      </c>
    </row>
    <row r="45" spans="2:5" ht="15.75" x14ac:dyDescent="0.25">
      <c r="B45" s="119" t="s">
        <v>101</v>
      </c>
      <c r="C45" s="120">
        <v>0</v>
      </c>
      <c r="D45" s="118">
        <v>1</v>
      </c>
      <c r="E45" s="273" t="s">
        <v>22</v>
      </c>
    </row>
    <row r="46" spans="2:5" ht="15.75" x14ac:dyDescent="0.25">
      <c r="B46" s="119" t="s">
        <v>101</v>
      </c>
      <c r="C46" s="120">
        <v>0</v>
      </c>
      <c r="D46" s="118">
        <v>1</v>
      </c>
      <c r="E46" s="273" t="s">
        <v>22</v>
      </c>
    </row>
    <row r="47" spans="2:5" ht="15.75" x14ac:dyDescent="0.25">
      <c r="B47" s="119" t="s">
        <v>101</v>
      </c>
      <c r="C47" s="120">
        <v>0</v>
      </c>
      <c r="D47" s="118">
        <v>1</v>
      </c>
      <c r="E47" s="273" t="s">
        <v>22</v>
      </c>
    </row>
    <row r="48" spans="2:5" ht="15.75" x14ac:dyDescent="0.25">
      <c r="B48" s="119" t="s">
        <v>101</v>
      </c>
      <c r="C48" s="120">
        <v>0</v>
      </c>
      <c r="D48" s="118">
        <v>1</v>
      </c>
      <c r="E48" s="273" t="s">
        <v>22</v>
      </c>
    </row>
    <row r="49" spans="2:5" ht="15.75" x14ac:dyDescent="0.25">
      <c r="B49" s="119" t="s">
        <v>101</v>
      </c>
      <c r="C49" s="120">
        <v>0</v>
      </c>
      <c r="D49" s="118">
        <v>1</v>
      </c>
      <c r="E49" s="273" t="s">
        <v>22</v>
      </c>
    </row>
    <row r="50" spans="2:5" ht="16.5" thickBot="1" x14ac:dyDescent="0.3">
      <c r="B50" s="121" t="s">
        <v>101</v>
      </c>
      <c r="C50" s="122">
        <v>0</v>
      </c>
      <c r="D50" s="123">
        <v>1</v>
      </c>
      <c r="E50" s="273" t="s">
        <v>22</v>
      </c>
    </row>
    <row r="51" spans="2:5" ht="30" customHeight="1" thickTop="1" x14ac:dyDescent="0.25">
      <c r="B51" s="80" t="s">
        <v>176</v>
      </c>
      <c r="C51" s="81">
        <f>SUM(C31:C50)</f>
        <v>2500000</v>
      </c>
      <c r="D51" s="55">
        <f>SUMPRODUCT(C31:C50,D31:D50)/C51</f>
        <v>1</v>
      </c>
      <c r="E51" s="51"/>
    </row>
    <row r="53" spans="2:5" ht="30" customHeight="1" x14ac:dyDescent="0.25">
      <c r="B53" s="52" t="s">
        <v>102</v>
      </c>
    </row>
    <row r="54" spans="2:5" ht="15.75" thickBot="1" x14ac:dyDescent="0.3"/>
    <row r="55" spans="2:5" ht="30.75" thickBot="1" x14ac:dyDescent="0.3">
      <c r="B55" s="45" t="str">
        <f>Inputs!E22</f>
        <v>Interconnection</v>
      </c>
      <c r="C55" s="84" t="s">
        <v>0</v>
      </c>
      <c r="D55" s="85" t="s">
        <v>100</v>
      </c>
      <c r="E55" s="74" t="s">
        <v>169</v>
      </c>
    </row>
    <row r="56" spans="2:5" ht="15.75" x14ac:dyDescent="0.25">
      <c r="B56" s="116" t="s">
        <v>103</v>
      </c>
      <c r="C56" s="117">
        <v>200000</v>
      </c>
      <c r="D56" s="118">
        <v>0.5</v>
      </c>
      <c r="E56" s="273" t="s">
        <v>25</v>
      </c>
    </row>
    <row r="57" spans="2:5" ht="15.75" x14ac:dyDescent="0.25">
      <c r="B57" s="119" t="s">
        <v>198</v>
      </c>
      <c r="C57" s="120">
        <v>50000</v>
      </c>
      <c r="D57" s="118">
        <v>0.5</v>
      </c>
      <c r="E57" s="273" t="s">
        <v>25</v>
      </c>
    </row>
    <row r="58" spans="2:5" ht="15.75" x14ac:dyDescent="0.25">
      <c r="B58" s="119" t="s">
        <v>197</v>
      </c>
      <c r="C58" s="120">
        <v>25000</v>
      </c>
      <c r="D58" s="118">
        <v>0.5</v>
      </c>
      <c r="E58" s="273" t="s">
        <v>25</v>
      </c>
    </row>
    <row r="59" spans="2:5" ht="15.75" x14ac:dyDescent="0.25">
      <c r="B59" s="119" t="s">
        <v>199</v>
      </c>
      <c r="C59" s="120">
        <v>0</v>
      </c>
      <c r="D59" s="118">
        <v>0.5</v>
      </c>
      <c r="E59" s="273" t="s">
        <v>25</v>
      </c>
    </row>
    <row r="60" spans="2:5" ht="15.75" x14ac:dyDescent="0.25">
      <c r="B60" s="274" t="s">
        <v>101</v>
      </c>
      <c r="C60" s="275">
        <v>0</v>
      </c>
      <c r="D60" s="118">
        <v>0.5</v>
      </c>
      <c r="E60" s="273" t="s">
        <v>25</v>
      </c>
    </row>
    <row r="61" spans="2:5" ht="15.75" x14ac:dyDescent="0.25">
      <c r="B61" s="274" t="s">
        <v>101</v>
      </c>
      <c r="C61" s="275">
        <v>0</v>
      </c>
      <c r="D61" s="118">
        <v>0.5</v>
      </c>
      <c r="E61" s="273" t="s">
        <v>25</v>
      </c>
    </row>
    <row r="62" spans="2:5" ht="15.75" x14ac:dyDescent="0.25">
      <c r="B62" s="274" t="s">
        <v>101</v>
      </c>
      <c r="C62" s="275">
        <v>0</v>
      </c>
      <c r="D62" s="118">
        <v>0.5</v>
      </c>
      <c r="E62" s="273" t="s">
        <v>25</v>
      </c>
    </row>
    <row r="63" spans="2:5" ht="15.75" x14ac:dyDescent="0.25">
      <c r="B63" s="274" t="s">
        <v>101</v>
      </c>
      <c r="C63" s="275">
        <v>0</v>
      </c>
      <c r="D63" s="118">
        <v>0.5</v>
      </c>
      <c r="E63" s="273" t="s">
        <v>25</v>
      </c>
    </row>
    <row r="64" spans="2:5" ht="15.75" x14ac:dyDescent="0.25">
      <c r="B64" s="274" t="s">
        <v>101</v>
      </c>
      <c r="C64" s="275">
        <v>0</v>
      </c>
      <c r="D64" s="118">
        <v>0.5</v>
      </c>
      <c r="E64" s="273" t="s">
        <v>25</v>
      </c>
    </row>
    <row r="65" spans="2:5" ht="15.75" x14ac:dyDescent="0.25">
      <c r="B65" s="274" t="s">
        <v>101</v>
      </c>
      <c r="C65" s="275">
        <v>0</v>
      </c>
      <c r="D65" s="118">
        <v>0.5</v>
      </c>
      <c r="E65" s="273" t="s">
        <v>25</v>
      </c>
    </row>
    <row r="66" spans="2:5" ht="15.75" x14ac:dyDescent="0.25">
      <c r="B66" s="274" t="s">
        <v>101</v>
      </c>
      <c r="C66" s="275">
        <v>0</v>
      </c>
      <c r="D66" s="118">
        <v>0.5</v>
      </c>
      <c r="E66" s="273" t="s">
        <v>25</v>
      </c>
    </row>
    <row r="67" spans="2:5" ht="15.75" x14ac:dyDescent="0.25">
      <c r="B67" s="274" t="s">
        <v>101</v>
      </c>
      <c r="C67" s="275">
        <v>0</v>
      </c>
      <c r="D67" s="118">
        <v>0.5</v>
      </c>
      <c r="E67" s="273" t="s">
        <v>25</v>
      </c>
    </row>
    <row r="68" spans="2:5" ht="15.75" x14ac:dyDescent="0.25">
      <c r="B68" s="274" t="s">
        <v>101</v>
      </c>
      <c r="C68" s="275">
        <v>0</v>
      </c>
      <c r="D68" s="118">
        <v>0.5</v>
      </c>
      <c r="E68" s="273" t="s">
        <v>25</v>
      </c>
    </row>
    <row r="69" spans="2:5" ht="15.75" x14ac:dyDescent="0.25">
      <c r="B69" s="274" t="s">
        <v>101</v>
      </c>
      <c r="C69" s="275">
        <v>0</v>
      </c>
      <c r="D69" s="118">
        <v>0.5</v>
      </c>
      <c r="E69" s="273" t="s">
        <v>25</v>
      </c>
    </row>
    <row r="70" spans="2:5" ht="15.75" x14ac:dyDescent="0.25">
      <c r="B70" s="274" t="s">
        <v>101</v>
      </c>
      <c r="C70" s="275">
        <v>0</v>
      </c>
      <c r="D70" s="118">
        <v>0.5</v>
      </c>
      <c r="E70" s="273" t="s">
        <v>25</v>
      </c>
    </row>
    <row r="71" spans="2:5" ht="15.75" x14ac:dyDescent="0.25">
      <c r="B71" s="274" t="s">
        <v>101</v>
      </c>
      <c r="C71" s="275">
        <v>0</v>
      </c>
      <c r="D71" s="118">
        <v>0.5</v>
      </c>
      <c r="E71" s="273" t="s">
        <v>25</v>
      </c>
    </row>
    <row r="72" spans="2:5" ht="15.75" x14ac:dyDescent="0.25">
      <c r="B72" s="274" t="s">
        <v>101</v>
      </c>
      <c r="C72" s="275">
        <v>0</v>
      </c>
      <c r="D72" s="118">
        <v>0.5</v>
      </c>
      <c r="E72" s="273" t="s">
        <v>25</v>
      </c>
    </row>
    <row r="73" spans="2:5" ht="15.75" x14ac:dyDescent="0.25">
      <c r="B73" s="274" t="s">
        <v>101</v>
      </c>
      <c r="C73" s="275">
        <v>0</v>
      </c>
      <c r="D73" s="118">
        <v>0.5</v>
      </c>
      <c r="E73" s="273" t="s">
        <v>25</v>
      </c>
    </row>
    <row r="74" spans="2:5" ht="15.75" x14ac:dyDescent="0.25">
      <c r="B74" s="274" t="s">
        <v>101</v>
      </c>
      <c r="C74" s="275">
        <v>0</v>
      </c>
      <c r="D74" s="118">
        <v>0.5</v>
      </c>
      <c r="E74" s="273" t="s">
        <v>25</v>
      </c>
    </row>
    <row r="75" spans="2:5" ht="16.5" thickBot="1" x14ac:dyDescent="0.3">
      <c r="B75" s="121" t="s">
        <v>101</v>
      </c>
      <c r="C75" s="122">
        <v>0</v>
      </c>
      <c r="D75" s="123">
        <v>0.5</v>
      </c>
      <c r="E75" s="273" t="s">
        <v>25</v>
      </c>
    </row>
    <row r="76" spans="2:5" ht="30" customHeight="1" thickTop="1" x14ac:dyDescent="0.25">
      <c r="B76" s="80" t="s">
        <v>177</v>
      </c>
      <c r="C76" s="81">
        <f>SUM(C56:C75)</f>
        <v>275000</v>
      </c>
      <c r="D76" s="55">
        <f>SUMPRODUCT(C56:C75,D56:D75)/C76</f>
        <v>0.5</v>
      </c>
      <c r="E76" s="53"/>
    </row>
    <row r="77" spans="2:5" ht="15.75" customHeight="1" x14ac:dyDescent="0.25"/>
    <row r="78" spans="2:5" ht="30" customHeight="1" x14ac:dyDescent="0.25">
      <c r="B78" s="52" t="s">
        <v>102</v>
      </c>
    </row>
    <row r="79" spans="2:5" ht="15.75" customHeight="1" thickBot="1" x14ac:dyDescent="0.3">
      <c r="B79" s="52"/>
    </row>
    <row r="80" spans="2:5" ht="30.75" thickBot="1" x14ac:dyDescent="0.3">
      <c r="B80" s="45" t="str">
        <f>Inputs!E23</f>
        <v>Development Costs &amp; Fee</v>
      </c>
      <c r="C80" s="84" t="s">
        <v>0</v>
      </c>
      <c r="D80" s="85" t="s">
        <v>100</v>
      </c>
      <c r="E80" s="74" t="s">
        <v>169</v>
      </c>
    </row>
    <row r="81" spans="2:5" ht="15.75" x14ac:dyDescent="0.25">
      <c r="B81" s="116" t="s">
        <v>187</v>
      </c>
      <c r="C81" s="117">
        <v>100000</v>
      </c>
      <c r="D81" s="118">
        <v>1</v>
      </c>
      <c r="E81" s="273" t="s">
        <v>24</v>
      </c>
    </row>
    <row r="82" spans="2:5" ht="15.75" x14ac:dyDescent="0.25">
      <c r="B82" s="119" t="s">
        <v>190</v>
      </c>
      <c r="C82" s="120">
        <v>10000</v>
      </c>
      <c r="D82" s="118">
        <v>1</v>
      </c>
      <c r="E82" s="273" t="s">
        <v>25</v>
      </c>
    </row>
    <row r="83" spans="2:5" ht="15.75" x14ac:dyDescent="0.25">
      <c r="B83" s="119" t="s">
        <v>188</v>
      </c>
      <c r="C83" s="120">
        <v>350000</v>
      </c>
      <c r="D83" s="118">
        <v>1</v>
      </c>
      <c r="E83" s="273" t="s">
        <v>22</v>
      </c>
    </row>
    <row r="84" spans="2:5" ht="15.75" x14ac:dyDescent="0.25">
      <c r="B84" s="119" t="s">
        <v>189</v>
      </c>
      <c r="C84" s="120">
        <v>500000</v>
      </c>
      <c r="D84" s="118">
        <v>1</v>
      </c>
      <c r="E84" s="273" t="s">
        <v>22</v>
      </c>
    </row>
    <row r="85" spans="2:5" ht="15.75" x14ac:dyDescent="0.25">
      <c r="B85" s="119" t="s">
        <v>192</v>
      </c>
      <c r="C85" s="120">
        <v>20000</v>
      </c>
      <c r="D85" s="118">
        <v>1</v>
      </c>
      <c r="E85" s="273" t="s">
        <v>25</v>
      </c>
    </row>
    <row r="86" spans="2:5" ht="15.75" x14ac:dyDescent="0.25">
      <c r="B86" s="119" t="s">
        <v>191</v>
      </c>
      <c r="C86" s="120">
        <v>300000</v>
      </c>
      <c r="D86" s="118">
        <v>1</v>
      </c>
      <c r="E86" s="273" t="s">
        <v>22</v>
      </c>
    </row>
    <row r="87" spans="2:5" ht="15.75" x14ac:dyDescent="0.25">
      <c r="B87" s="119" t="s">
        <v>101</v>
      </c>
      <c r="C87" s="120">
        <v>0</v>
      </c>
      <c r="D87" s="118">
        <v>1</v>
      </c>
      <c r="E87" s="273" t="s">
        <v>22</v>
      </c>
    </row>
    <row r="88" spans="2:5" ht="15.75" x14ac:dyDescent="0.25">
      <c r="B88" s="119" t="s">
        <v>101</v>
      </c>
      <c r="C88" s="120">
        <v>0</v>
      </c>
      <c r="D88" s="118">
        <v>1</v>
      </c>
      <c r="E88" s="273" t="s">
        <v>22</v>
      </c>
    </row>
    <row r="89" spans="2:5" ht="15.75" x14ac:dyDescent="0.25">
      <c r="B89" s="119" t="s">
        <v>101</v>
      </c>
      <c r="C89" s="120">
        <v>0</v>
      </c>
      <c r="D89" s="118">
        <v>1</v>
      </c>
      <c r="E89" s="273" t="s">
        <v>22</v>
      </c>
    </row>
    <row r="90" spans="2:5" ht="15.75" x14ac:dyDescent="0.25">
      <c r="B90" s="119" t="s">
        <v>101</v>
      </c>
      <c r="C90" s="120">
        <v>0</v>
      </c>
      <c r="D90" s="118">
        <v>1</v>
      </c>
      <c r="E90" s="273" t="s">
        <v>22</v>
      </c>
    </row>
    <row r="91" spans="2:5" ht="15.75" x14ac:dyDescent="0.25">
      <c r="B91" s="119" t="s">
        <v>101</v>
      </c>
      <c r="C91" s="120">
        <v>0</v>
      </c>
      <c r="D91" s="118">
        <v>1</v>
      </c>
      <c r="E91" s="273" t="s">
        <v>22</v>
      </c>
    </row>
    <row r="92" spans="2:5" ht="15.75" x14ac:dyDescent="0.25">
      <c r="B92" s="119" t="s">
        <v>101</v>
      </c>
      <c r="C92" s="120">
        <v>0</v>
      </c>
      <c r="D92" s="118">
        <v>1</v>
      </c>
      <c r="E92" s="273" t="s">
        <v>22</v>
      </c>
    </row>
    <row r="93" spans="2:5" ht="15.75" x14ac:dyDescent="0.25">
      <c r="B93" s="119" t="s">
        <v>101</v>
      </c>
      <c r="C93" s="120">
        <v>0</v>
      </c>
      <c r="D93" s="118">
        <v>1</v>
      </c>
      <c r="E93" s="273" t="s">
        <v>22</v>
      </c>
    </row>
    <row r="94" spans="2:5" ht="15.75" x14ac:dyDescent="0.25">
      <c r="B94" s="119" t="s">
        <v>101</v>
      </c>
      <c r="C94" s="120">
        <v>0</v>
      </c>
      <c r="D94" s="118">
        <v>1</v>
      </c>
      <c r="E94" s="273" t="s">
        <v>22</v>
      </c>
    </row>
    <row r="95" spans="2:5" ht="15.75" x14ac:dyDescent="0.25">
      <c r="B95" s="119" t="s">
        <v>101</v>
      </c>
      <c r="C95" s="120">
        <v>0</v>
      </c>
      <c r="D95" s="118">
        <v>1</v>
      </c>
      <c r="E95" s="273" t="s">
        <v>22</v>
      </c>
    </row>
    <row r="96" spans="2:5" ht="15.75" x14ac:dyDescent="0.25">
      <c r="B96" s="119" t="s">
        <v>101</v>
      </c>
      <c r="C96" s="120">
        <v>0</v>
      </c>
      <c r="D96" s="118">
        <v>1</v>
      </c>
      <c r="E96" s="273" t="s">
        <v>22</v>
      </c>
    </row>
    <row r="97" spans="2:5" ht="15.75" x14ac:dyDescent="0.25">
      <c r="B97" s="119" t="s">
        <v>101</v>
      </c>
      <c r="C97" s="120">
        <v>0</v>
      </c>
      <c r="D97" s="118">
        <v>1</v>
      </c>
      <c r="E97" s="273" t="s">
        <v>22</v>
      </c>
    </row>
    <row r="98" spans="2:5" ht="15.75" x14ac:dyDescent="0.25">
      <c r="B98" s="119" t="s">
        <v>101</v>
      </c>
      <c r="C98" s="120">
        <v>0</v>
      </c>
      <c r="D98" s="118">
        <v>1</v>
      </c>
      <c r="E98" s="273" t="s">
        <v>22</v>
      </c>
    </row>
    <row r="99" spans="2:5" ht="15.75" x14ac:dyDescent="0.25">
      <c r="B99" s="119" t="s">
        <v>101</v>
      </c>
      <c r="C99" s="120">
        <v>0</v>
      </c>
      <c r="D99" s="118">
        <v>1</v>
      </c>
      <c r="E99" s="273" t="s">
        <v>22</v>
      </c>
    </row>
    <row r="100" spans="2:5" ht="16.5" thickBot="1" x14ac:dyDescent="0.3">
      <c r="B100" s="121" t="s">
        <v>101</v>
      </c>
      <c r="C100" s="122">
        <v>0</v>
      </c>
      <c r="D100" s="123">
        <v>1</v>
      </c>
      <c r="E100" s="273" t="s">
        <v>22</v>
      </c>
    </row>
    <row r="101" spans="2:5" ht="30" customHeight="1" thickTop="1" x14ac:dyDescent="0.25">
      <c r="B101" s="80" t="s">
        <v>181</v>
      </c>
      <c r="C101" s="81">
        <f>SUM(C81:C100)</f>
        <v>1280000</v>
      </c>
      <c r="D101" s="55">
        <f>SUMPRODUCT(C81:C100,D81:D100)/C101</f>
        <v>1</v>
      </c>
      <c r="E101" s="53"/>
    </row>
    <row r="102" spans="2:5" ht="15.75" customHeight="1" x14ac:dyDescent="0.25">
      <c r="B102" s="89"/>
      <c r="C102" s="90"/>
      <c r="D102" s="75"/>
      <c r="E102" s="103"/>
    </row>
    <row r="103" spans="2:5" ht="30" customHeight="1" x14ac:dyDescent="0.25">
      <c r="B103" s="52" t="s">
        <v>102</v>
      </c>
      <c r="C103" s="90"/>
      <c r="D103" s="75"/>
      <c r="E103" s="103"/>
    </row>
    <row r="104" spans="2:5" ht="15.75" customHeight="1" thickBot="1" x14ac:dyDescent="0.3">
      <c r="B104" s="89"/>
      <c r="C104" s="90"/>
      <c r="D104" s="75"/>
      <c r="E104" s="103"/>
    </row>
    <row r="105" spans="2:5" ht="30" customHeight="1" thickBot="1" x14ac:dyDescent="0.3">
      <c r="B105" s="45" t="str">
        <f>Inputs!E24</f>
        <v>Reserves &amp; Financing Costs</v>
      </c>
      <c r="C105" s="84" t="s">
        <v>0</v>
      </c>
      <c r="D105" s="85" t="s">
        <v>100</v>
      </c>
      <c r="E105" s="74" t="s">
        <v>169</v>
      </c>
    </row>
    <row r="106" spans="2:5" ht="15.75" customHeight="1" x14ac:dyDescent="0.25">
      <c r="B106" s="80" t="s">
        <v>179</v>
      </c>
      <c r="C106" s="81">
        <f>((C26+C51+C76+C101)*Inputs!$G$51*Inputs!$G$54)</f>
        <v>135742.5</v>
      </c>
      <c r="D106" s="118">
        <v>0</v>
      </c>
      <c r="E106" s="273" t="s">
        <v>26</v>
      </c>
    </row>
    <row r="107" spans="2:5" ht="15.75" customHeight="1" x14ac:dyDescent="0.25">
      <c r="B107" s="49" t="s">
        <v>40</v>
      </c>
      <c r="C107" s="105">
        <f>(C26+C51+C76+C101)*(Inputs!$G$47/12)*(Inputs!$G$46/2)</f>
        <v>125687.5</v>
      </c>
      <c r="D107" s="118">
        <v>0</v>
      </c>
      <c r="E107" s="273" t="s">
        <v>25</v>
      </c>
    </row>
    <row r="108" spans="2:5" ht="15.75" customHeight="1" x14ac:dyDescent="0.25">
      <c r="B108" s="9" t="s">
        <v>52</v>
      </c>
      <c r="C108" s="105">
        <f>Inputs!$G$64</f>
        <v>0</v>
      </c>
      <c r="D108" s="118">
        <v>0</v>
      </c>
      <c r="E108" s="273" t="s">
        <v>25</v>
      </c>
    </row>
    <row r="109" spans="2:5" ht="15.75" customHeight="1" thickBot="1" x14ac:dyDescent="0.3">
      <c r="B109" s="106" t="s">
        <v>180</v>
      </c>
      <c r="C109" s="107">
        <f>Inputs!$Q$63+Inputs!$Q$66</f>
        <v>203851.56837890603</v>
      </c>
      <c r="D109" s="123">
        <v>0</v>
      </c>
      <c r="E109" s="273" t="s">
        <v>26</v>
      </c>
    </row>
    <row r="110" spans="2:5" ht="30.75" customHeight="1" thickTop="1" x14ac:dyDescent="0.25">
      <c r="B110" s="97" t="s">
        <v>143</v>
      </c>
      <c r="C110" s="81">
        <f>SUM(C106:C109)</f>
        <v>465281.568378906</v>
      </c>
      <c r="D110" s="55">
        <f>SUMPRODUCT(C106:C109,D106:D109)/C110</f>
        <v>0</v>
      </c>
      <c r="E110" s="73"/>
    </row>
    <row r="111" spans="2:5" ht="15.75" customHeight="1" x14ac:dyDescent="0.25">
      <c r="B111" s="86"/>
      <c r="C111" s="104"/>
      <c r="D111" s="87"/>
      <c r="E111" s="88"/>
    </row>
    <row r="112" spans="2:5" ht="30" customHeight="1" x14ac:dyDescent="0.25">
      <c r="B112" s="52" t="s">
        <v>102</v>
      </c>
      <c r="C112" s="104"/>
      <c r="D112" s="87"/>
      <c r="E112" s="88"/>
    </row>
    <row r="113" spans="2:14" ht="15.75" customHeight="1" thickBot="1" x14ac:dyDescent="0.3">
      <c r="B113" s="86"/>
      <c r="C113" s="104"/>
      <c r="D113" s="87"/>
      <c r="E113" s="88"/>
    </row>
    <row r="114" spans="2:14" ht="16.5" thickBot="1" x14ac:dyDescent="0.3">
      <c r="B114" s="45" t="s">
        <v>175</v>
      </c>
      <c r="C114" s="46"/>
      <c r="D114" s="46"/>
      <c r="E114" s="76" t="s">
        <v>99</v>
      </c>
      <c r="F114" s="77"/>
      <c r="G114" s="77"/>
      <c r="H114" s="77"/>
      <c r="I114" s="77"/>
      <c r="J114" s="77"/>
      <c r="K114" s="77"/>
      <c r="L114" s="77"/>
      <c r="M114" s="77"/>
      <c r="N114" s="78"/>
    </row>
    <row r="115" spans="2:14" ht="45.75" thickBot="1" x14ac:dyDescent="0.3">
      <c r="B115" s="94" t="s">
        <v>29</v>
      </c>
      <c r="C115" s="84" t="s">
        <v>0</v>
      </c>
      <c r="D115" s="85" t="s">
        <v>178</v>
      </c>
      <c r="E115" s="85" t="s">
        <v>29</v>
      </c>
      <c r="F115" s="85" t="s">
        <v>22</v>
      </c>
      <c r="G115" s="85" t="s">
        <v>136</v>
      </c>
      <c r="H115" s="85" t="s">
        <v>23</v>
      </c>
      <c r="I115" s="85" t="s">
        <v>137</v>
      </c>
      <c r="J115" s="85" t="s">
        <v>138</v>
      </c>
      <c r="K115" s="85" t="s">
        <v>24</v>
      </c>
      <c r="L115" s="85" t="s">
        <v>25</v>
      </c>
      <c r="M115" s="85" t="s">
        <v>139</v>
      </c>
      <c r="N115" s="115" t="s">
        <v>26</v>
      </c>
    </row>
    <row r="116" spans="2:14" ht="15.75" customHeight="1" x14ac:dyDescent="0.25">
      <c r="B116" s="97" t="s">
        <v>168</v>
      </c>
      <c r="C116" s="100">
        <f>C26</f>
        <v>6000000</v>
      </c>
      <c r="D116" s="113">
        <f>C26*D26</f>
        <v>6000000</v>
      </c>
      <c r="E116" s="114" t="s">
        <v>168</v>
      </c>
      <c r="F116" s="100">
        <f>SUMIF($E$5:$E$26,F$115,$C$5:$C$26)</f>
        <v>5800000</v>
      </c>
      <c r="G116" s="100">
        <f t="shared" ref="G116:N116" si="0">SUMIF($E$5:$E$26,G$115,$C$5:$C$26)</f>
        <v>0</v>
      </c>
      <c r="H116" s="100">
        <f t="shared" si="0"/>
        <v>0</v>
      </c>
      <c r="I116" s="100">
        <f t="shared" si="0"/>
        <v>0</v>
      </c>
      <c r="J116" s="100">
        <f t="shared" si="0"/>
        <v>0</v>
      </c>
      <c r="K116" s="100">
        <f t="shared" si="0"/>
        <v>200000</v>
      </c>
      <c r="L116" s="100">
        <f t="shared" si="0"/>
        <v>0</v>
      </c>
      <c r="M116" s="100">
        <f t="shared" si="0"/>
        <v>0</v>
      </c>
      <c r="N116" s="100">
        <f t="shared" si="0"/>
        <v>0</v>
      </c>
    </row>
    <row r="117" spans="2:14" ht="15.75" customHeight="1" x14ac:dyDescent="0.25">
      <c r="B117" s="50" t="s">
        <v>170</v>
      </c>
      <c r="C117" s="95">
        <f>C51</f>
        <v>2500000</v>
      </c>
      <c r="D117" s="102">
        <f>C51*D51</f>
        <v>2500000</v>
      </c>
      <c r="E117" s="111" t="s">
        <v>170</v>
      </c>
      <c r="F117" s="95">
        <f>SUMIF($E$30:$E$51,F$115,$C$30:$C$51)</f>
        <v>2225000</v>
      </c>
      <c r="G117" s="95">
        <f t="shared" ref="G117:N117" si="1">SUMIF($E$30:$E$51,G$115,$C$30:$C$51)</f>
        <v>0</v>
      </c>
      <c r="H117" s="95">
        <f t="shared" si="1"/>
        <v>0</v>
      </c>
      <c r="I117" s="95">
        <f t="shared" si="1"/>
        <v>0</v>
      </c>
      <c r="J117" s="95">
        <f t="shared" si="1"/>
        <v>0</v>
      </c>
      <c r="K117" s="95">
        <f t="shared" si="1"/>
        <v>0</v>
      </c>
      <c r="L117" s="95">
        <f t="shared" si="1"/>
        <v>275000</v>
      </c>
      <c r="M117" s="95">
        <f t="shared" si="1"/>
        <v>0</v>
      </c>
      <c r="N117" s="95">
        <f t="shared" si="1"/>
        <v>0</v>
      </c>
    </row>
    <row r="118" spans="2:14" ht="15.75" customHeight="1" x14ac:dyDescent="0.25">
      <c r="B118" s="50" t="s">
        <v>171</v>
      </c>
      <c r="C118" s="95">
        <f>C76</f>
        <v>275000</v>
      </c>
      <c r="D118" s="102">
        <f>C76*D76</f>
        <v>137500</v>
      </c>
      <c r="E118" s="111" t="s">
        <v>171</v>
      </c>
      <c r="F118" s="95">
        <f>SUMIF($E$55:$E$76,F$115,$C$55:$C$76)</f>
        <v>0</v>
      </c>
      <c r="G118" s="95">
        <f t="shared" ref="G118:N118" si="2">SUMIF($E$55:$E$76,G$115,$C$55:$C$76)</f>
        <v>0</v>
      </c>
      <c r="H118" s="95">
        <f t="shared" si="2"/>
        <v>0</v>
      </c>
      <c r="I118" s="95">
        <f t="shared" si="2"/>
        <v>0</v>
      </c>
      <c r="J118" s="95">
        <f t="shared" si="2"/>
        <v>0</v>
      </c>
      <c r="K118" s="95">
        <f t="shared" si="2"/>
        <v>0</v>
      </c>
      <c r="L118" s="95">
        <f t="shared" si="2"/>
        <v>275000</v>
      </c>
      <c r="M118" s="95">
        <f t="shared" si="2"/>
        <v>0</v>
      </c>
      <c r="N118" s="95">
        <f t="shared" si="2"/>
        <v>0</v>
      </c>
    </row>
    <row r="119" spans="2:14" ht="15.75" customHeight="1" x14ac:dyDescent="0.25">
      <c r="B119" s="50" t="s">
        <v>172</v>
      </c>
      <c r="C119" s="95">
        <f>C101</f>
        <v>1280000</v>
      </c>
      <c r="D119" s="102">
        <f>C101*D101</f>
        <v>1280000</v>
      </c>
      <c r="E119" s="111" t="s">
        <v>172</v>
      </c>
      <c r="F119" s="95">
        <f>SUMIF($E$80:$E$101,F$115,$C$80:$C$101)</f>
        <v>1150000</v>
      </c>
      <c r="G119" s="95">
        <f t="shared" ref="G119:N119" si="3">SUMIF($E$80:$E$101,G$115,$C$80:$C$101)</f>
        <v>0</v>
      </c>
      <c r="H119" s="95">
        <f t="shared" si="3"/>
        <v>0</v>
      </c>
      <c r="I119" s="95">
        <f t="shared" si="3"/>
        <v>0</v>
      </c>
      <c r="J119" s="95">
        <f t="shared" si="3"/>
        <v>0</v>
      </c>
      <c r="K119" s="95">
        <f t="shared" si="3"/>
        <v>100000</v>
      </c>
      <c r="L119" s="95">
        <f t="shared" si="3"/>
        <v>30000</v>
      </c>
      <c r="M119" s="95">
        <f t="shared" si="3"/>
        <v>0</v>
      </c>
      <c r="N119" s="95">
        <f t="shared" si="3"/>
        <v>0</v>
      </c>
    </row>
    <row r="120" spans="2:14" ht="15.75" customHeight="1" thickBot="1" x14ac:dyDescent="0.3">
      <c r="B120" s="98" t="s">
        <v>104</v>
      </c>
      <c r="C120" s="99">
        <f>C110</f>
        <v>465281.568378906</v>
      </c>
      <c r="D120" s="108">
        <f>C110*D110</f>
        <v>0</v>
      </c>
      <c r="E120" s="112" t="s">
        <v>104</v>
      </c>
      <c r="F120" s="110">
        <f>SUMIF($E$105:$E$110,F$115,$C$105:$C$110)</f>
        <v>0</v>
      </c>
      <c r="G120" s="110">
        <f t="shared" ref="G120:N120" si="4">SUMIF($E$105:$E$110,G$115,$C$105:$C$110)</f>
        <v>0</v>
      </c>
      <c r="H120" s="110">
        <f t="shared" si="4"/>
        <v>0</v>
      </c>
      <c r="I120" s="110">
        <f t="shared" si="4"/>
        <v>0</v>
      </c>
      <c r="J120" s="110">
        <f t="shared" si="4"/>
        <v>0</v>
      </c>
      <c r="K120" s="110">
        <f t="shared" si="4"/>
        <v>0</v>
      </c>
      <c r="L120" s="110">
        <f t="shared" si="4"/>
        <v>125687.5</v>
      </c>
      <c r="M120" s="110">
        <f t="shared" si="4"/>
        <v>0</v>
      </c>
      <c r="N120" s="110">
        <f t="shared" si="4"/>
        <v>339594.068378906</v>
      </c>
    </row>
    <row r="121" spans="2:14" ht="30" customHeight="1" thickTop="1" x14ac:dyDescent="0.25">
      <c r="B121" s="96" t="s">
        <v>143</v>
      </c>
      <c r="C121" s="101">
        <f>SUM(C116:C120)</f>
        <v>10520281.568378907</v>
      </c>
      <c r="D121" s="101">
        <f>SUM(D116:D120)</f>
        <v>9917500</v>
      </c>
      <c r="E121" s="50"/>
      <c r="F121" s="101">
        <f>SUM(F116:F120)</f>
        <v>9175000</v>
      </c>
      <c r="G121" s="101">
        <f t="shared" ref="G121:N121" si="5">SUM(G116:G120)</f>
        <v>0</v>
      </c>
      <c r="H121" s="101">
        <f t="shared" si="5"/>
        <v>0</v>
      </c>
      <c r="I121" s="101">
        <f t="shared" si="5"/>
        <v>0</v>
      </c>
      <c r="J121" s="101">
        <f t="shared" si="5"/>
        <v>0</v>
      </c>
      <c r="K121" s="101">
        <f t="shared" si="5"/>
        <v>300000</v>
      </c>
      <c r="L121" s="101">
        <f t="shared" si="5"/>
        <v>705687.5</v>
      </c>
      <c r="M121" s="101">
        <f t="shared" si="5"/>
        <v>0</v>
      </c>
      <c r="N121" s="101">
        <f t="shared" si="5"/>
        <v>339594.068378906</v>
      </c>
    </row>
    <row r="123" spans="2:14" ht="15.75" x14ac:dyDescent="0.25">
      <c r="B123" s="217" t="s">
        <v>218</v>
      </c>
      <c r="C123" s="218" t="str">
        <f>Inputs!G73</f>
        <v>Yes</v>
      </c>
    </row>
    <row r="124" spans="2:14" ht="15.75" thickBot="1" x14ac:dyDescent="0.3">
      <c r="B124" s="284"/>
      <c r="C124" s="284"/>
      <c r="D124" s="284"/>
      <c r="E124" s="284"/>
      <c r="F124" s="284"/>
      <c r="G124" s="284"/>
      <c r="H124" s="284"/>
      <c r="I124" s="284"/>
      <c r="J124" s="284"/>
      <c r="K124" s="284"/>
      <c r="L124" s="284"/>
      <c r="M124" s="284"/>
      <c r="N124" s="284"/>
    </row>
    <row r="125" spans="2:14" ht="15.75" thickBot="1" x14ac:dyDescent="0.3">
      <c r="D125" s="272"/>
      <c r="E125" s="272"/>
    </row>
    <row r="126" spans="2:14" ht="30" customHeight="1" thickBot="1" x14ac:dyDescent="0.3">
      <c r="B126" s="735" t="s">
        <v>242</v>
      </c>
      <c r="C126" s="736"/>
      <c r="D126" s="736"/>
      <c r="E126" s="737"/>
    </row>
    <row r="127" spans="2:14" ht="15.75" thickBot="1" x14ac:dyDescent="0.3"/>
    <row r="128" spans="2:14" ht="60.75" thickBot="1" x14ac:dyDescent="0.3">
      <c r="C128" s="281" t="s">
        <v>278</v>
      </c>
      <c r="D128" s="282" t="s">
        <v>281</v>
      </c>
    </row>
    <row r="129" spans="3:6" ht="15.75" x14ac:dyDescent="0.25">
      <c r="C129" s="433">
        <f>'Cash Flow'!G2</f>
        <v>1</v>
      </c>
      <c r="D129" s="434">
        <v>5</v>
      </c>
      <c r="F129" s="333"/>
    </row>
    <row r="130" spans="3:6" ht="15.75" x14ac:dyDescent="0.25">
      <c r="C130" s="435">
        <f>C129+1</f>
        <v>2</v>
      </c>
      <c r="D130" s="436">
        <v>5.0999999999999996</v>
      </c>
      <c r="F130" s="333"/>
    </row>
    <row r="131" spans="3:6" ht="15.75" x14ac:dyDescent="0.25">
      <c r="C131" s="435">
        <f t="shared" ref="C131:C158" si="6">C130+1</f>
        <v>3</v>
      </c>
      <c r="D131" s="436">
        <v>5.202</v>
      </c>
      <c r="F131" s="333"/>
    </row>
    <row r="132" spans="3:6" ht="15.75" x14ac:dyDescent="0.25">
      <c r="C132" s="435">
        <f t="shared" si="6"/>
        <v>4</v>
      </c>
      <c r="D132" s="436">
        <v>5.3060400000000003</v>
      </c>
      <c r="F132" s="333"/>
    </row>
    <row r="133" spans="3:6" ht="15.75" x14ac:dyDescent="0.25">
      <c r="C133" s="435">
        <f t="shared" si="6"/>
        <v>5</v>
      </c>
      <c r="D133" s="436">
        <v>5.4121608000000005</v>
      </c>
      <c r="F133" s="333"/>
    </row>
    <row r="134" spans="3:6" ht="15.75" x14ac:dyDescent="0.25">
      <c r="C134" s="435">
        <f t="shared" si="6"/>
        <v>6</v>
      </c>
      <c r="D134" s="436">
        <v>5.5204040160000005</v>
      </c>
      <c r="F134" s="333"/>
    </row>
    <row r="135" spans="3:6" ht="15.75" x14ac:dyDescent="0.25">
      <c r="C135" s="435">
        <f t="shared" si="6"/>
        <v>7</v>
      </c>
      <c r="D135" s="436">
        <v>5.6308120963200006</v>
      </c>
      <c r="F135" s="333"/>
    </row>
    <row r="136" spans="3:6" ht="15.75" x14ac:dyDescent="0.25">
      <c r="C136" s="435">
        <f t="shared" si="6"/>
        <v>8</v>
      </c>
      <c r="D136" s="436">
        <v>5.7434283382464004</v>
      </c>
      <c r="E136" s="109"/>
      <c r="F136" s="333"/>
    </row>
    <row r="137" spans="3:6" ht="15.75" x14ac:dyDescent="0.25">
      <c r="C137" s="435">
        <f t="shared" si="6"/>
        <v>9</v>
      </c>
      <c r="D137" s="436">
        <v>5.8582969050113283</v>
      </c>
      <c r="E137" s="17"/>
      <c r="F137" s="333"/>
    </row>
    <row r="138" spans="3:6" ht="15.75" x14ac:dyDescent="0.25">
      <c r="C138" s="435">
        <f t="shared" si="6"/>
        <v>10</v>
      </c>
      <c r="D138" s="436">
        <v>5.9754628431115551</v>
      </c>
      <c r="E138" s="17"/>
      <c r="F138" s="333"/>
    </row>
    <row r="139" spans="3:6" ht="15.75" x14ac:dyDescent="0.25">
      <c r="C139" s="435">
        <f t="shared" si="6"/>
        <v>11</v>
      </c>
      <c r="D139" s="436">
        <v>6.094972099973786</v>
      </c>
      <c r="E139" s="17"/>
      <c r="F139" s="333"/>
    </row>
    <row r="140" spans="3:6" ht="15.75" x14ac:dyDescent="0.25">
      <c r="C140" s="435">
        <f t="shared" si="6"/>
        <v>12</v>
      </c>
      <c r="D140" s="436">
        <v>6.2168715419732621</v>
      </c>
      <c r="E140" s="17"/>
      <c r="F140" s="333"/>
    </row>
    <row r="141" spans="3:6" ht="15.75" x14ac:dyDescent="0.25">
      <c r="C141" s="435">
        <f t="shared" si="6"/>
        <v>13</v>
      </c>
      <c r="D141" s="436">
        <v>6.3412089728127281</v>
      </c>
      <c r="E141" s="17"/>
      <c r="F141" s="333"/>
    </row>
    <row r="142" spans="3:6" ht="15.75" x14ac:dyDescent="0.25">
      <c r="C142" s="435">
        <f t="shared" si="6"/>
        <v>14</v>
      </c>
      <c r="D142" s="436">
        <v>6.4680331522689825</v>
      </c>
      <c r="E142" s="17"/>
      <c r="F142" s="333"/>
    </row>
    <row r="143" spans="3:6" ht="15.75" x14ac:dyDescent="0.25">
      <c r="C143" s="435">
        <f t="shared" si="6"/>
        <v>15</v>
      </c>
      <c r="D143" s="436">
        <v>6.5973938153143621</v>
      </c>
      <c r="E143" s="17"/>
      <c r="F143" s="333"/>
    </row>
    <row r="144" spans="3:6" ht="15.75" x14ac:dyDescent="0.25">
      <c r="C144" s="435">
        <f t="shared" si="6"/>
        <v>16</v>
      </c>
      <c r="D144" s="436">
        <v>6.7293416916206494</v>
      </c>
      <c r="E144" s="17"/>
      <c r="F144" s="333"/>
    </row>
    <row r="145" spans="3:6" ht="15.75" x14ac:dyDescent="0.25">
      <c r="C145" s="435">
        <f t="shared" si="6"/>
        <v>17</v>
      </c>
      <c r="D145" s="436">
        <v>6.8639285254530638</v>
      </c>
      <c r="E145" s="17"/>
      <c r="F145" s="333"/>
    </row>
    <row r="146" spans="3:6" ht="15.75" x14ac:dyDescent="0.25">
      <c r="C146" s="435">
        <f t="shared" si="6"/>
        <v>18</v>
      </c>
      <c r="D146" s="436">
        <v>7.0012070959621253</v>
      </c>
      <c r="F146" s="333"/>
    </row>
    <row r="147" spans="3:6" ht="15.75" x14ac:dyDescent="0.25">
      <c r="C147" s="435">
        <f t="shared" si="6"/>
        <v>19</v>
      </c>
      <c r="D147" s="436">
        <v>7.1412312378813683</v>
      </c>
      <c r="F147" s="333"/>
    </row>
    <row r="148" spans="3:6" ht="15.75" x14ac:dyDescent="0.25">
      <c r="C148" s="435">
        <f t="shared" si="6"/>
        <v>20</v>
      </c>
      <c r="D148" s="436">
        <v>7.2840558626389953</v>
      </c>
      <c r="F148" s="333"/>
    </row>
    <row r="149" spans="3:6" ht="15.75" x14ac:dyDescent="0.25">
      <c r="C149" s="435">
        <f t="shared" si="6"/>
        <v>21</v>
      </c>
      <c r="D149" s="436">
        <v>7.4297369798917758</v>
      </c>
      <c r="F149" s="333"/>
    </row>
    <row r="150" spans="3:6" ht="15.75" x14ac:dyDescent="0.25">
      <c r="C150" s="435">
        <f t="shared" si="6"/>
        <v>22</v>
      </c>
      <c r="D150" s="436">
        <v>7.5783317194896114</v>
      </c>
      <c r="F150" s="333"/>
    </row>
    <row r="151" spans="3:6" ht="15.75" x14ac:dyDescent="0.25">
      <c r="C151" s="435">
        <f t="shared" si="6"/>
        <v>23</v>
      </c>
      <c r="D151" s="436">
        <v>7.7298983538794035</v>
      </c>
      <c r="F151" s="333"/>
    </row>
    <row r="152" spans="3:6" ht="15.75" x14ac:dyDescent="0.25">
      <c r="C152" s="435">
        <f t="shared" si="6"/>
        <v>24</v>
      </c>
      <c r="D152" s="436">
        <v>7.8844963209569912</v>
      </c>
      <c r="F152" s="333"/>
    </row>
    <row r="153" spans="3:6" ht="15.75" x14ac:dyDescent="0.25">
      <c r="C153" s="435">
        <f t="shared" si="6"/>
        <v>25</v>
      </c>
      <c r="D153" s="436">
        <v>8.0421862473761312</v>
      </c>
      <c r="F153" s="333"/>
    </row>
    <row r="154" spans="3:6" ht="15.75" x14ac:dyDescent="0.25">
      <c r="C154" s="435">
        <f t="shared" si="6"/>
        <v>26</v>
      </c>
      <c r="D154" s="436">
        <v>8.2030299723236535</v>
      </c>
      <c r="F154" s="333"/>
    </row>
    <row r="155" spans="3:6" ht="15.75" x14ac:dyDescent="0.25">
      <c r="C155" s="435">
        <f t="shared" si="6"/>
        <v>27</v>
      </c>
      <c r="D155" s="436">
        <v>8.3670905717701274</v>
      </c>
      <c r="F155" s="333"/>
    </row>
    <row r="156" spans="3:6" ht="15.75" x14ac:dyDescent="0.25">
      <c r="C156" s="435">
        <f t="shared" si="6"/>
        <v>28</v>
      </c>
      <c r="D156" s="436">
        <v>8.5344323832055302</v>
      </c>
      <c r="F156" s="333"/>
    </row>
    <row r="157" spans="3:6" ht="15.75" x14ac:dyDescent="0.25">
      <c r="C157" s="435">
        <f t="shared" si="6"/>
        <v>29</v>
      </c>
      <c r="D157" s="436">
        <v>8.7051210308696394</v>
      </c>
      <c r="F157" s="333"/>
    </row>
    <row r="158" spans="3:6" ht="15.75" x14ac:dyDescent="0.25">
      <c r="C158" s="435">
        <f t="shared" si="6"/>
        <v>30</v>
      </c>
      <c r="D158" s="436">
        <v>8.8792234514870323</v>
      </c>
      <c r="F158" s="333"/>
    </row>
    <row r="159" spans="3:6" ht="30" customHeight="1" x14ac:dyDescent="0.25">
      <c r="C159" s="738" t="s">
        <v>244</v>
      </c>
      <c r="D159" s="739"/>
    </row>
  </sheetData>
  <protectedRanges>
    <protectedRange sqref="D129:D158" name="Market Value"/>
    <protectedRange sqref="B6:E25 B31:E50 B56:E75 B81:E100 D106:E109" name="Complex Inputs"/>
  </protectedRanges>
  <mergeCells count="2">
    <mergeCell ref="B126:E126"/>
    <mergeCell ref="C159:D159"/>
  </mergeCells>
  <conditionalFormatting sqref="D106:E110 D6:E26 D56:E76 D31:E51 D81:E101 D116:N121">
    <cfRule type="expression" dxfId="2" priority="1">
      <formula>$C$123="No"</formula>
    </cfRule>
  </conditionalFormatting>
  <conditionalFormatting sqref="B108">
    <cfRule type="expression" dxfId="1" priority="5">
      <formula>#REF!="100% Equity"</formula>
    </cfRule>
  </conditionalFormatting>
  <conditionalFormatting sqref="B108">
    <cfRule type="expression" dxfId="0" priority="6">
      <formula>#REF!="(use dropdown)"</formula>
    </cfRule>
  </conditionalFormatting>
  <dataValidations count="1">
    <dataValidation type="list" allowBlank="1" showInputMessage="1" showErrorMessage="1" sqref="E6:E25 E31:E50 E106:E109 E56:E75 E81:E100" xr:uid="{00000000-0002-0000-0500-000000000000}">
      <formula1>$F$115:$N$115</formula1>
    </dataValidation>
  </dataValidations>
  <hyperlinks>
    <hyperlink ref="B53" location="Inputs!A1" display="Click Here to Return to Inputs Worksheet" xr:uid="{00000000-0004-0000-0500-000000000000}"/>
    <hyperlink ref="B78" location="Inputs!A1" display="Click Here to Return to Inputs Worksheet" xr:uid="{00000000-0004-0000-0500-000001000000}"/>
    <hyperlink ref="B28" location="Inputs!A1" display="Click Here to Return to Inputs Worksheet" xr:uid="{00000000-0004-0000-0500-000002000000}"/>
    <hyperlink ref="B103" location="Inputs!A1" display="Click Here to Return to Inputs Worksheet" xr:uid="{00000000-0004-0000-0500-000003000000}"/>
    <hyperlink ref="B112" location="Inputs!A1" display="Click Here to Return to Inputs Worksheet" xr:uid="{00000000-0004-0000-0500-000004000000}"/>
  </hyperlink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Introduction</vt:lpstr>
      <vt:lpstr>Inputs</vt:lpstr>
      <vt:lpstr>Summary Results</vt:lpstr>
      <vt:lpstr>Annual Cash Flows &amp; Returns</vt:lpstr>
      <vt:lpstr>Cash Flow</vt:lpstr>
      <vt:lpstr>Complex Inputs</vt:lpstr>
      <vt:lpstr>Inputs!_ftn1</vt:lpstr>
      <vt:lpstr>Inputs!_ftnref1</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CREST Model for Solar</dc:title>
  <dc:subject>A model to assess project economics, design cost-based incentives, and evaluate the impact of state and federal support structures on renewable energy</dc:subject>
  <dc:creator/>
  <cp:keywords/>
  <dc:description/>
  <cp:lastModifiedBy>Wayland</cp:lastModifiedBy>
  <cp:lastPrinted>2010-07-30T20:36:23Z</cp:lastPrinted>
  <dcterms:created xsi:type="dcterms:W3CDTF">2010-03-29T19:24:38Z</dcterms:created>
  <dcterms:modified xsi:type="dcterms:W3CDTF">2023-02-18T05:48:36Z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e60b7dcc-1d58-4ba8-afd2-560de27538d4</vt:lpwstr>
  </property>
</Properties>
</file>